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1_{D66D921C-35C7-4B78-AFAF-B9BF307E6B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794" i="1" l="1"/>
  <c r="AT794" i="1"/>
  <c r="AT795" i="1"/>
  <c r="AT796" i="1"/>
  <c r="AT797" i="1"/>
  <c r="AT798" i="1"/>
  <c r="AV798" i="1" s="1"/>
  <c r="AT799" i="1"/>
  <c r="AV799" i="1" s="1"/>
  <c r="AT800" i="1"/>
  <c r="AT801" i="1"/>
  <c r="AV801" i="1" s="1"/>
  <c r="AT802" i="1"/>
  <c r="AT803" i="1"/>
  <c r="AT804" i="1"/>
  <c r="AT805" i="1"/>
  <c r="AT806" i="1"/>
  <c r="AT807" i="1"/>
  <c r="AV807" i="1" s="1"/>
  <c r="AT808" i="1"/>
  <c r="AV808" i="1" s="1"/>
  <c r="AT809" i="1"/>
  <c r="AV809" i="1" s="1"/>
  <c r="AV795" i="1"/>
  <c r="AV796" i="1"/>
  <c r="AV800" i="1"/>
  <c r="AV797" i="1"/>
  <c r="AV802" i="1"/>
  <c r="AV803" i="1"/>
  <c r="AV804" i="1"/>
  <c r="AV805" i="1"/>
  <c r="AV806" i="1"/>
  <c r="AR393" i="2"/>
  <c r="AR394" i="2"/>
  <c r="AR388" i="2"/>
  <c r="AR387" i="2"/>
  <c r="AR391" i="2"/>
  <c r="AR390" i="2"/>
  <c r="AR389" i="2"/>
  <c r="AR386" i="2"/>
  <c r="AR392" i="2"/>
  <c r="AR349" i="2"/>
  <c r="AR348" i="2"/>
  <c r="AR347" i="2"/>
  <c r="AR346" i="2"/>
  <c r="AR345" i="2"/>
  <c r="AR344" i="2"/>
  <c r="AR343" i="2"/>
  <c r="AR342" i="2"/>
  <c r="AR341" i="2"/>
  <c r="AR303" i="2" l="1"/>
  <c r="AR304" i="2"/>
  <c r="AR298" i="2"/>
  <c r="AR297" i="2"/>
  <c r="AR301" i="2"/>
  <c r="AR300" i="2"/>
  <c r="AR299" i="2"/>
  <c r="AR296" i="2"/>
  <c r="AR302" i="2"/>
  <c r="AN438" i="2"/>
  <c r="AN439" i="2"/>
  <c r="AN433" i="2"/>
  <c r="AN432" i="2"/>
  <c r="AN436" i="2"/>
  <c r="AN435" i="2"/>
  <c r="AN434" i="2"/>
  <c r="AN431" i="2"/>
  <c r="AN437" i="2"/>
  <c r="AN393" i="2"/>
  <c r="AN394" i="2"/>
  <c r="AN388" i="2"/>
  <c r="AN387" i="2"/>
  <c r="AN391" i="2"/>
  <c r="AN390" i="2"/>
  <c r="AN389" i="2"/>
  <c r="AN386" i="2"/>
  <c r="AN392" i="2"/>
  <c r="AN348" i="2"/>
  <c r="AN349" i="2"/>
  <c r="AN343" i="2"/>
  <c r="AN342" i="2"/>
  <c r="AN346" i="2"/>
  <c r="AN345" i="2"/>
  <c r="AN344" i="2"/>
  <c r="AN341" i="2"/>
  <c r="AN347" i="2"/>
  <c r="AN303" i="2"/>
  <c r="AN304" i="2"/>
  <c r="AN298" i="2"/>
  <c r="AN297" i="2"/>
  <c r="AN301" i="2"/>
  <c r="AN300" i="2"/>
  <c r="AN299" i="2"/>
  <c r="AN296" i="2"/>
  <c r="AN302" i="2"/>
  <c r="AT1633" i="1" l="1"/>
  <c r="AV1633" i="1" s="1"/>
  <c r="AT1632" i="1"/>
  <c r="AV1632" i="1" s="1"/>
  <c r="AS1631" i="1" l="1"/>
  <c r="AT1631" i="1" s="1"/>
  <c r="AS1630" i="1"/>
  <c r="AT1630" i="1" s="1"/>
  <c r="AS1629" i="1"/>
  <c r="AT1629" i="1" s="1"/>
  <c r="AV1629" i="1" s="1"/>
  <c r="AS1628" i="1"/>
  <c r="AN1628" i="1" s="1"/>
  <c r="AS1627" i="1"/>
  <c r="AN1627" i="1" s="1"/>
  <c r="AS1626" i="1"/>
  <c r="AT1626" i="1" s="1"/>
  <c r="AV1626" i="1" s="1"/>
  <c r="AS1625" i="1"/>
  <c r="AT1625" i="1" s="1"/>
  <c r="AV1625" i="1" s="1"/>
  <c r="AS1624" i="1"/>
  <c r="AN1624" i="1" s="1"/>
  <c r="AS1623" i="1"/>
  <c r="AN1623" i="1" s="1"/>
  <c r="AS1622" i="1"/>
  <c r="AT1622" i="1" s="1"/>
  <c r="AV1622" i="1" s="1"/>
  <c r="AS1621" i="1"/>
  <c r="AT1621" i="1" s="1"/>
  <c r="AV1621" i="1" s="1"/>
  <c r="AS1620" i="1"/>
  <c r="AN1620" i="1" s="1"/>
  <c r="AN1626" i="1" l="1"/>
  <c r="AN1629" i="1"/>
  <c r="AN1622" i="1"/>
  <c r="AN1625" i="1"/>
  <c r="AN1631" i="1"/>
  <c r="AV1631" i="1" s="1"/>
  <c r="AN1630" i="1"/>
  <c r="AV1630" i="1" s="1"/>
  <c r="AT1628" i="1"/>
  <c r="AV1628" i="1" s="1"/>
  <c r="AN1621" i="1"/>
  <c r="AT1620" i="1"/>
  <c r="AV1620" i="1" s="1"/>
  <c r="AT1624" i="1"/>
  <c r="AV1624" i="1" s="1"/>
  <c r="AT1623" i="1"/>
  <c r="AV1623" i="1" s="1"/>
  <c r="AT1627" i="1"/>
  <c r="AV1627" i="1" s="1"/>
  <c r="AT316" i="1"/>
  <c r="AJ1555" i="1" l="1"/>
  <c r="AJ1554" i="1"/>
  <c r="AJ1553" i="1"/>
  <c r="AJ1552" i="1"/>
  <c r="AJ1551" i="1"/>
  <c r="J171" i="2" l="1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170" i="2"/>
  <c r="AN1614" i="1" l="1"/>
  <c r="AS1614" i="1" s="1"/>
  <c r="AT1614" i="1" s="1"/>
  <c r="AV1614" i="1" s="1"/>
  <c r="AN1605" i="1"/>
  <c r="AS1605" i="1" s="1"/>
  <c r="AT1605" i="1" s="1"/>
  <c r="AV1605" i="1" s="1"/>
  <c r="AN1604" i="1"/>
  <c r="AS1604" i="1" s="1"/>
  <c r="AT1604" i="1" s="1"/>
  <c r="AV1604" i="1" s="1"/>
  <c r="AN1616" i="1"/>
  <c r="AS1616" i="1" s="1"/>
  <c r="AT1616" i="1" s="1"/>
  <c r="AV1616" i="1" s="1"/>
  <c r="AN1607" i="1"/>
  <c r="AS1607" i="1" s="1"/>
  <c r="AT1607" i="1" s="1"/>
  <c r="AV1607" i="1" s="1"/>
  <c r="AN1615" i="1"/>
  <c r="AS1615" i="1" s="1"/>
  <c r="AT1615" i="1" s="1"/>
  <c r="AV1615" i="1" s="1"/>
  <c r="AN1606" i="1"/>
  <c r="AS1606" i="1" s="1"/>
  <c r="AT1606" i="1" s="1"/>
  <c r="AV1606" i="1" s="1"/>
  <c r="AT1567" i="1" l="1"/>
  <c r="AV1567" i="1" s="1"/>
  <c r="AN1567" i="1"/>
  <c r="AT1566" i="1"/>
  <c r="AV1566" i="1" s="1"/>
  <c r="AN1566" i="1"/>
  <c r="AT1565" i="1"/>
  <c r="AV1565" i="1" s="1"/>
  <c r="AN1565" i="1"/>
  <c r="AT1564" i="1"/>
  <c r="AV1564" i="1" s="1"/>
  <c r="AN1564" i="1"/>
  <c r="AT1563" i="1"/>
  <c r="AV1563" i="1" s="1"/>
  <c r="AN1563" i="1"/>
  <c r="AT1562" i="1"/>
  <c r="AV1562" i="1" s="1"/>
  <c r="AN1562" i="1"/>
  <c r="AT1561" i="1"/>
  <c r="AV1561" i="1" s="1"/>
  <c r="AN1561" i="1"/>
  <c r="AT1560" i="1"/>
  <c r="AV1560" i="1" s="1"/>
  <c r="AN1560" i="1"/>
  <c r="AT1559" i="1"/>
  <c r="AV1559" i="1" s="1"/>
  <c r="AN1559" i="1"/>
  <c r="AT1558" i="1"/>
  <c r="AV1558" i="1" s="1"/>
  <c r="AN1558" i="1"/>
  <c r="AT1557" i="1"/>
  <c r="AV1557" i="1" s="1"/>
  <c r="AN1557" i="1"/>
  <c r="AT1556" i="1"/>
  <c r="AV1556" i="1" s="1"/>
  <c r="AN1556" i="1"/>
  <c r="AS1555" i="1" l="1"/>
  <c r="AN1555" i="1"/>
  <c r="AS1554" i="1"/>
  <c r="AN1554" i="1"/>
  <c r="AS1553" i="1"/>
  <c r="AN1553" i="1"/>
  <c r="AS1552" i="1"/>
  <c r="AN1552" i="1"/>
  <c r="AS1551" i="1"/>
  <c r="AN1551" i="1"/>
  <c r="AL1552" i="1" l="1"/>
  <c r="AV1552" i="1" s="1"/>
  <c r="AL1554" i="1"/>
  <c r="AV1554" i="1" s="1"/>
  <c r="AL1551" i="1"/>
  <c r="AV1551" i="1" s="1"/>
  <c r="AL1555" i="1"/>
  <c r="AV1555" i="1" s="1"/>
  <c r="AL1553" i="1"/>
  <c r="AV1553" i="1" s="1"/>
  <c r="AV1549" i="1" l="1"/>
  <c r="AV1546" i="1"/>
  <c r="AS1548" i="1"/>
  <c r="AT1548" i="1" s="1"/>
  <c r="AV1548" i="1" s="1"/>
  <c r="AS1545" i="1"/>
  <c r="AT1545" i="1" s="1"/>
  <c r="AV1545" i="1" s="1"/>
  <c r="AN1527" i="1"/>
  <c r="AS1527" i="1" s="1"/>
  <c r="AT1527" i="1" s="1"/>
  <c r="AV1527" i="1" s="1"/>
  <c r="AN1526" i="1"/>
  <c r="AS1526" i="1" s="1"/>
  <c r="AT1526" i="1" s="1"/>
  <c r="AV1526" i="1" s="1"/>
  <c r="AN1524" i="1"/>
  <c r="AS1524" i="1" s="1"/>
  <c r="AT1524" i="1" s="1"/>
  <c r="AV1524" i="1" s="1"/>
  <c r="AN1525" i="1"/>
  <c r="AS1525" i="1" s="1"/>
  <c r="AT1525" i="1" s="1"/>
  <c r="AV1525" i="1" s="1"/>
  <c r="AN1529" i="1"/>
  <c r="AS1529" i="1" s="1"/>
  <c r="AT1529" i="1" s="1"/>
  <c r="AV1529" i="1" s="1"/>
  <c r="AN1528" i="1"/>
  <c r="AS1528" i="1" s="1"/>
  <c r="AT1528" i="1" s="1"/>
  <c r="AV1528" i="1" s="1"/>
  <c r="AN1520" i="1"/>
  <c r="AS1520" i="1" s="1"/>
  <c r="AT1520" i="1" s="1"/>
  <c r="AV1520" i="1" s="1"/>
  <c r="AN1514" i="1"/>
  <c r="AS1514" i="1" s="1"/>
  <c r="AT1514" i="1" s="1"/>
  <c r="AV1514" i="1" s="1"/>
  <c r="AN1508" i="1"/>
  <c r="AS1508" i="1" s="1"/>
  <c r="AT1508" i="1" s="1"/>
  <c r="AV1508" i="1" s="1"/>
  <c r="AN1502" i="1"/>
  <c r="AS1502" i="1" s="1"/>
  <c r="AT1502" i="1" s="1"/>
  <c r="AV1502" i="1" s="1"/>
  <c r="AN1519" i="1"/>
  <c r="AS1519" i="1" s="1"/>
  <c r="AT1519" i="1" s="1"/>
  <c r="AV1519" i="1" s="1"/>
  <c r="AN1513" i="1"/>
  <c r="AS1513" i="1" s="1"/>
  <c r="AT1513" i="1" s="1"/>
  <c r="AV1513" i="1" s="1"/>
  <c r="AN1507" i="1"/>
  <c r="AS1507" i="1" s="1"/>
  <c r="AT1507" i="1" s="1"/>
  <c r="AV1507" i="1" s="1"/>
  <c r="AN1501" i="1"/>
  <c r="AS1501" i="1" s="1"/>
  <c r="AT1501" i="1" s="1"/>
  <c r="AV1501" i="1" s="1"/>
  <c r="AN1518" i="1"/>
  <c r="AS1518" i="1" s="1"/>
  <c r="AT1518" i="1" s="1"/>
  <c r="AV1518" i="1" s="1"/>
  <c r="AN1512" i="1"/>
  <c r="AS1512" i="1" s="1"/>
  <c r="AT1512" i="1" s="1"/>
  <c r="AV1512" i="1" s="1"/>
  <c r="AN1506" i="1"/>
  <c r="AS1506" i="1" s="1"/>
  <c r="AT1506" i="1" s="1"/>
  <c r="AV1506" i="1" s="1"/>
  <c r="AN1500" i="1"/>
  <c r="AS1500" i="1" s="1"/>
  <c r="AT1500" i="1" s="1"/>
  <c r="AV1500" i="1" s="1"/>
  <c r="AN1449" i="1" l="1"/>
  <c r="AS1450" i="1"/>
  <c r="AT1450" i="1" s="1"/>
  <c r="AV1450" i="1" s="1"/>
  <c r="AS1449" i="1"/>
  <c r="AT1449" i="1" s="1"/>
  <c r="AV1449" i="1" s="1"/>
  <c r="AS1448" i="1"/>
  <c r="AT1448" i="1" s="1"/>
  <c r="AV1448" i="1" s="1"/>
  <c r="AS1447" i="1"/>
  <c r="AT1447" i="1" s="1"/>
  <c r="AV1447" i="1" s="1"/>
  <c r="AS1446" i="1"/>
  <c r="AT1446" i="1" s="1"/>
  <c r="AV1446" i="1" s="1"/>
  <c r="AS1445" i="1"/>
  <c r="AT1445" i="1" s="1"/>
  <c r="AV1445" i="1" s="1"/>
  <c r="AN1450" i="1"/>
  <c r="AN1448" i="1"/>
  <c r="AN1447" i="1"/>
  <c r="AN1446" i="1"/>
  <c r="AN1445" i="1"/>
  <c r="AS1452" i="1"/>
  <c r="AT1452" i="1" s="1"/>
  <c r="AV1452" i="1" s="1"/>
  <c r="AN1452" i="1"/>
  <c r="AS1451" i="1"/>
  <c r="AT1451" i="1" s="1"/>
  <c r="AV1451" i="1" s="1"/>
  <c r="AN1451" i="1"/>
  <c r="AS1454" i="1"/>
  <c r="AT1454" i="1" s="1"/>
  <c r="AV1454" i="1" s="1"/>
  <c r="AN1454" i="1"/>
  <c r="AS1453" i="1"/>
  <c r="AT1453" i="1" s="1"/>
  <c r="AV1453" i="1" s="1"/>
  <c r="AN1453" i="1"/>
  <c r="AT1441" i="1"/>
  <c r="AV1441" i="1" s="1"/>
  <c r="AS1441" i="1"/>
  <c r="AN1441" i="1" s="1"/>
  <c r="AT1440" i="1"/>
  <c r="AV1440" i="1" s="1"/>
  <c r="AS1440" i="1"/>
  <c r="AN1440" i="1" s="1"/>
  <c r="AT1439" i="1"/>
  <c r="AV1439" i="1" s="1"/>
  <c r="AS1439" i="1"/>
  <c r="AN1439" i="1" s="1"/>
  <c r="AT1435" i="1"/>
  <c r="AV1435" i="1" s="1"/>
  <c r="AS1435" i="1"/>
  <c r="AN1435" i="1" s="1"/>
  <c r="AT1434" i="1"/>
  <c r="AV1434" i="1" s="1"/>
  <c r="AS1434" i="1"/>
  <c r="AN1434" i="1" s="1"/>
  <c r="AT1433" i="1"/>
  <c r="AV1433" i="1" s="1"/>
  <c r="AS1433" i="1"/>
  <c r="AN1433" i="1" s="1"/>
  <c r="J1423" i="1" l="1"/>
  <c r="J1424" i="1"/>
  <c r="J1425" i="1"/>
  <c r="J1426" i="1"/>
  <c r="J1427" i="1"/>
  <c r="J1428" i="1"/>
  <c r="J1429" i="1"/>
  <c r="J1430" i="1"/>
  <c r="J1431" i="1"/>
  <c r="J1432" i="1"/>
  <c r="AT1420" i="1"/>
  <c r="AV1420" i="1" s="1"/>
  <c r="AT1422" i="1"/>
  <c r="AV1422" i="1" s="1"/>
  <c r="AN1422" i="1"/>
  <c r="J1422" i="1"/>
  <c r="AT1421" i="1"/>
  <c r="AV1421" i="1" s="1"/>
  <c r="AN1421" i="1"/>
  <c r="J1421" i="1"/>
  <c r="AN1420" i="1"/>
  <c r="J1420" i="1"/>
  <c r="AT1419" i="1"/>
  <c r="AV1419" i="1" s="1"/>
  <c r="AN1419" i="1"/>
  <c r="J1419" i="1"/>
  <c r="AT1418" i="1"/>
  <c r="AV1418" i="1" s="1"/>
  <c r="AN1418" i="1"/>
  <c r="J1418" i="1"/>
  <c r="AT1414" i="1"/>
  <c r="AV1414" i="1" s="1"/>
  <c r="AN1414" i="1"/>
  <c r="AT1413" i="1"/>
  <c r="AV1413" i="1" s="1"/>
  <c r="AN1413" i="1"/>
  <c r="AT1412" i="1"/>
  <c r="AV1412" i="1" s="1"/>
  <c r="AN1412" i="1"/>
  <c r="AN1404" i="1"/>
  <c r="AS1404" i="1" s="1"/>
  <c r="AT1404" i="1" s="1"/>
  <c r="AV1404" i="1" s="1"/>
  <c r="AN1402" i="1"/>
  <c r="AS1402" i="1" s="1"/>
  <c r="AT1402" i="1" s="1"/>
  <c r="AV1402" i="1" s="1"/>
  <c r="AN1403" i="1"/>
  <c r="AS1403" i="1" s="1"/>
  <c r="AT1403" i="1" s="1"/>
  <c r="AV1403" i="1" s="1"/>
  <c r="AN1405" i="1"/>
  <c r="AS1405" i="1" s="1"/>
  <c r="AT1405" i="1" s="1"/>
  <c r="AV1405" i="1" s="1"/>
  <c r="AN1394" i="1"/>
  <c r="AV1394" i="1" s="1"/>
  <c r="AN1392" i="1"/>
  <c r="AS1392" i="1" s="1"/>
  <c r="AT1392" i="1" s="1"/>
  <c r="AV1392" i="1" s="1"/>
  <c r="AN1393" i="1"/>
  <c r="AS1393" i="1" s="1"/>
  <c r="AT1393" i="1" s="1"/>
  <c r="AV1393" i="1" s="1"/>
  <c r="AN1395" i="1"/>
  <c r="AS1395" i="1" s="1"/>
  <c r="AT1395" i="1" s="1"/>
  <c r="AV1395" i="1" s="1"/>
  <c r="AS1394" i="1" l="1"/>
  <c r="AT1394" i="1" s="1"/>
  <c r="AT1344" i="1"/>
  <c r="AV1344" i="1" s="1"/>
  <c r="AN1344" i="1"/>
  <c r="AV1343" i="1"/>
  <c r="AN1343" i="1"/>
  <c r="AT1340" i="1"/>
  <c r="AV1340" i="1" s="1"/>
  <c r="AN1340" i="1"/>
  <c r="AT1342" i="1"/>
  <c r="AV1342" i="1" s="1"/>
  <c r="AN1342" i="1"/>
  <c r="AT1341" i="1"/>
  <c r="AV1341" i="1" s="1"/>
  <c r="AN1341" i="1"/>
  <c r="AT1339" i="1"/>
  <c r="AV1339" i="1" s="1"/>
  <c r="AN1339" i="1"/>
  <c r="AT1338" i="1"/>
  <c r="AV1338" i="1" s="1"/>
  <c r="AN1338" i="1"/>
  <c r="AT1337" i="1"/>
  <c r="AV1337" i="1" s="1"/>
  <c r="AN1337" i="1"/>
  <c r="AT1346" i="1"/>
  <c r="AV1346" i="1" s="1"/>
  <c r="AN1346" i="1"/>
  <c r="AT1345" i="1"/>
  <c r="AV1345" i="1" s="1"/>
  <c r="AN1345" i="1"/>
  <c r="AT1332" i="1"/>
  <c r="AV1332" i="1" s="1"/>
  <c r="AN1332" i="1"/>
  <c r="AT1331" i="1"/>
  <c r="AV1331" i="1" s="1"/>
  <c r="AN1331" i="1"/>
  <c r="AT1330" i="1"/>
  <c r="AV1330" i="1" s="1"/>
  <c r="AN1330" i="1"/>
  <c r="AT1329" i="1"/>
  <c r="AV1329" i="1" s="1"/>
  <c r="AN1329" i="1"/>
  <c r="AT1328" i="1"/>
  <c r="AV1328" i="1" s="1"/>
  <c r="AN1328" i="1"/>
  <c r="AT1327" i="1"/>
  <c r="AV1327" i="1" s="1"/>
  <c r="AN1327" i="1"/>
  <c r="AS1310" i="1" l="1"/>
  <c r="AT1310" i="1" s="1"/>
  <c r="AV1310" i="1" s="1"/>
  <c r="AS1306" i="1"/>
  <c r="AT1306" i="1" s="1"/>
  <c r="AV1306" i="1" s="1"/>
  <c r="AS1307" i="1"/>
  <c r="AT1307" i="1" s="1"/>
  <c r="AV1307" i="1" s="1"/>
  <c r="AS1308" i="1"/>
  <c r="AT1308" i="1" s="1"/>
  <c r="AV1308" i="1" s="1"/>
  <c r="AS1311" i="1"/>
  <c r="AT1311" i="1" s="1"/>
  <c r="AV1311" i="1" s="1"/>
  <c r="AS1309" i="1"/>
  <c r="AT1309" i="1" s="1"/>
  <c r="AV1309" i="1" s="1"/>
  <c r="AN1292" i="1" l="1"/>
  <c r="AS1292" i="1" s="1"/>
  <c r="AT1292" i="1" s="1"/>
  <c r="AV1292" i="1" s="1"/>
  <c r="AN1293" i="1"/>
  <c r="AS1293" i="1" s="1"/>
  <c r="AT1293" i="1" s="1"/>
  <c r="AV1293" i="1" s="1"/>
  <c r="AN1291" i="1"/>
  <c r="AS1291" i="1" s="1"/>
  <c r="AT1291" i="1" s="1"/>
  <c r="AV1291" i="1" s="1"/>
  <c r="AN1294" i="1"/>
  <c r="AS1294" i="1" s="1"/>
  <c r="AT1294" i="1" s="1"/>
  <c r="AV1294" i="1" s="1"/>
  <c r="AN1295" i="1"/>
  <c r="AS1295" i="1" s="1"/>
  <c r="AT1295" i="1" s="1"/>
  <c r="AV1295" i="1" s="1"/>
  <c r="AT1282" i="1" l="1"/>
  <c r="AV1282" i="1" s="1"/>
  <c r="AN1282" i="1"/>
  <c r="AT1281" i="1"/>
  <c r="AV1281" i="1" s="1"/>
  <c r="AT1284" i="1"/>
  <c r="AV1284" i="1" s="1"/>
  <c r="AT1283" i="1"/>
  <c r="AV1283" i="1" s="1"/>
  <c r="AN1270" i="1"/>
  <c r="AS1270" i="1" s="1"/>
  <c r="AT1270" i="1" s="1"/>
  <c r="AV1270" i="1" s="1"/>
  <c r="AN1277" i="1"/>
  <c r="AS1277" i="1" s="1"/>
  <c r="AT1277" i="1" s="1"/>
  <c r="AV1277" i="1" s="1"/>
  <c r="AN1276" i="1"/>
  <c r="AV1276" i="1" s="1"/>
  <c r="AN1272" i="1"/>
  <c r="AS1272" i="1" s="1"/>
  <c r="AT1272" i="1" s="1"/>
  <c r="AV1272" i="1" s="1"/>
  <c r="AN1275" i="1"/>
  <c r="AV1275" i="1" s="1"/>
  <c r="AN1274" i="1"/>
  <c r="AS1274" i="1" s="1"/>
  <c r="AT1274" i="1" s="1"/>
  <c r="AV1274" i="1" s="1"/>
  <c r="AN1273" i="1"/>
  <c r="AV1273" i="1" s="1"/>
  <c r="AN1271" i="1"/>
  <c r="AS1271" i="1" s="1"/>
  <c r="AT1271" i="1" s="1"/>
  <c r="AV1271" i="1" s="1"/>
  <c r="AT1254" i="1"/>
  <c r="AV1254" i="1" s="1"/>
  <c r="AT1253" i="1"/>
  <c r="AV1253" i="1" s="1"/>
  <c r="AT1252" i="1"/>
  <c r="AV1252" i="1" s="1"/>
  <c r="AT1251" i="1"/>
  <c r="AV1251" i="1" s="1"/>
  <c r="AT1250" i="1"/>
  <c r="AV1250" i="1" s="1"/>
  <c r="AT1249" i="1"/>
  <c r="AV1249" i="1" s="1"/>
  <c r="AS1221" i="1"/>
  <c r="AT1221" i="1" s="1"/>
  <c r="AV1221" i="1" s="1"/>
  <c r="AS1222" i="1"/>
  <c r="AT1222" i="1" s="1"/>
  <c r="AV1222" i="1" s="1"/>
  <c r="AS1223" i="1"/>
  <c r="AT1223" i="1" s="1"/>
  <c r="AV1223" i="1" s="1"/>
  <c r="AS1225" i="1"/>
  <c r="AT1225" i="1" s="1"/>
  <c r="AV1225" i="1" s="1"/>
  <c r="AS1227" i="1"/>
  <c r="AT1227" i="1" s="1"/>
  <c r="AV1227" i="1" s="1"/>
  <c r="AS1226" i="1"/>
  <c r="AT1226" i="1" s="1"/>
  <c r="AV1226" i="1" s="1"/>
  <c r="AS1224" i="1"/>
  <c r="AT1224" i="1" s="1"/>
  <c r="AV1224" i="1" s="1"/>
  <c r="AT1214" i="1"/>
  <c r="AV1214" i="1" s="1"/>
  <c r="AT1213" i="1"/>
  <c r="AV1213" i="1" s="1"/>
  <c r="AT1212" i="1"/>
  <c r="AV1212" i="1" s="1"/>
  <c r="AT1211" i="1"/>
  <c r="AV1211" i="1" s="1"/>
  <c r="AS1273" i="1" l="1"/>
  <c r="AT1273" i="1" s="1"/>
  <c r="AS1275" i="1"/>
  <c r="AT1275" i="1" s="1"/>
  <c r="AS1276" i="1"/>
  <c r="AT1276" i="1" s="1"/>
  <c r="AN1209" i="1"/>
  <c r="AS1209" i="1" s="1"/>
  <c r="AT1209" i="1" s="1"/>
  <c r="AV1209" i="1" s="1"/>
  <c r="AN1208" i="1"/>
  <c r="AS1208" i="1" s="1"/>
  <c r="AT1208" i="1" s="1"/>
  <c r="AV1208" i="1" s="1"/>
  <c r="AT1204" i="1"/>
  <c r="AV1204" i="1" s="1"/>
  <c r="AN1204" i="1"/>
  <c r="AT1203" i="1"/>
  <c r="AV1203" i="1" s="1"/>
  <c r="AN1203" i="1"/>
  <c r="AT1202" i="1"/>
  <c r="AV1202" i="1" s="1"/>
  <c r="AN1202" i="1"/>
  <c r="AT1184" i="1" l="1"/>
  <c r="AV1184" i="1" s="1"/>
  <c r="AT1169" i="1"/>
  <c r="AV1169" i="1" s="1"/>
  <c r="AT1182" i="1"/>
  <c r="AV1182" i="1" s="1"/>
  <c r="AT1167" i="1"/>
  <c r="AV1167" i="1" s="1"/>
  <c r="AT1185" i="1"/>
  <c r="AV1185" i="1" s="1"/>
  <c r="AT1170" i="1"/>
  <c r="AV1170" i="1" s="1"/>
  <c r="AT1186" i="1"/>
  <c r="AV1186" i="1" s="1"/>
  <c r="AT1183" i="1"/>
  <c r="AV1183" i="1" s="1"/>
  <c r="AT1168" i="1"/>
  <c r="AV1168" i="1" s="1"/>
  <c r="AT1181" i="1"/>
  <c r="AV1181" i="1" s="1"/>
  <c r="AT1166" i="1"/>
  <c r="AV1166" i="1" s="1"/>
  <c r="AT1145" i="1"/>
  <c r="AT1147" i="1"/>
  <c r="AT1146" i="1"/>
  <c r="AT1150" i="1"/>
  <c r="AT1149" i="1"/>
  <c r="AT1148" i="1"/>
  <c r="AS1124" i="1"/>
  <c r="AT1124" i="1" s="1"/>
  <c r="AV1124" i="1" s="1"/>
  <c r="AS1126" i="1"/>
  <c r="AT1126" i="1" s="1"/>
  <c r="AV1126" i="1" s="1"/>
  <c r="AS1125" i="1"/>
  <c r="AT1125" i="1" s="1"/>
  <c r="AV1125" i="1" s="1"/>
  <c r="AS1127" i="1"/>
  <c r="AT1127" i="1" s="1"/>
  <c r="AV1127" i="1" s="1"/>
  <c r="AS1128" i="1"/>
  <c r="AT1128" i="1" s="1"/>
  <c r="AV1128" i="1" s="1"/>
  <c r="AS1129" i="1"/>
  <c r="AT1129" i="1" s="1"/>
  <c r="AV1129" i="1" s="1"/>
  <c r="AS1186" i="1" l="1"/>
  <c r="AT1108" i="1" l="1"/>
  <c r="AT1107" i="1"/>
  <c r="AT1104" i="1"/>
  <c r="AV1104" i="1" s="1"/>
  <c r="AT1105" i="1"/>
  <c r="AV1105" i="1" s="1"/>
  <c r="AT1106" i="1"/>
  <c r="AV1106" i="1" s="1"/>
  <c r="AT1103" i="1"/>
  <c r="AV1103" i="1" s="1"/>
  <c r="AN1104" i="1"/>
  <c r="AN1105" i="1"/>
  <c r="AN1106" i="1"/>
  <c r="AN1107" i="1"/>
  <c r="AV1107" i="1" s="1"/>
  <c r="AN1108" i="1"/>
  <c r="AV1108" i="1" s="1"/>
  <c r="AN1103" i="1"/>
  <c r="AK1105" i="1"/>
  <c r="AK1106" i="1"/>
  <c r="AK1107" i="1"/>
  <c r="AK1108" i="1"/>
  <c r="AK1104" i="1"/>
  <c r="AK1103" i="1"/>
  <c r="AT1081" i="1" l="1"/>
  <c r="AL1081" i="1"/>
  <c r="AK1081" i="1"/>
  <c r="AT1080" i="1"/>
  <c r="AL1080" i="1"/>
  <c r="AK1080" i="1"/>
  <c r="AT1079" i="1"/>
  <c r="AL1079" i="1"/>
  <c r="AK1079" i="1"/>
  <c r="AT1078" i="1"/>
  <c r="AL1078" i="1"/>
  <c r="AK1078" i="1"/>
  <c r="AT1077" i="1"/>
  <c r="AL1077" i="1"/>
  <c r="AK1077" i="1"/>
  <c r="AT1076" i="1"/>
  <c r="AL1076" i="1"/>
  <c r="AK1076" i="1"/>
  <c r="AT1075" i="1"/>
  <c r="AL1075" i="1"/>
  <c r="AK1075" i="1"/>
  <c r="AT1053" i="1"/>
  <c r="AL1053" i="1"/>
  <c r="AK1053" i="1"/>
  <c r="AT1052" i="1"/>
  <c r="AL1052" i="1"/>
  <c r="AK1052" i="1"/>
  <c r="AT1051" i="1"/>
  <c r="AL1051" i="1"/>
  <c r="AK1051" i="1"/>
  <c r="AT1050" i="1"/>
  <c r="AL1050" i="1"/>
  <c r="AK1050" i="1"/>
  <c r="AT1049" i="1"/>
  <c r="AL1049" i="1"/>
  <c r="AK1049" i="1"/>
  <c r="AT1048" i="1"/>
  <c r="AL1048" i="1"/>
  <c r="AK1048" i="1"/>
  <c r="AT1047" i="1"/>
  <c r="AL1047" i="1"/>
  <c r="AK1047" i="1"/>
  <c r="AT1025" i="1"/>
  <c r="AL1025" i="1"/>
  <c r="AK1025" i="1"/>
  <c r="AT1024" i="1"/>
  <c r="AL1024" i="1"/>
  <c r="AK1024" i="1"/>
  <c r="AT1023" i="1"/>
  <c r="AL1023" i="1"/>
  <c r="AK1023" i="1"/>
  <c r="AT1022" i="1"/>
  <c r="AL1022" i="1"/>
  <c r="AK1022" i="1"/>
  <c r="AT1021" i="1"/>
  <c r="AL1021" i="1"/>
  <c r="AK1021" i="1"/>
  <c r="AT1020" i="1"/>
  <c r="AL1020" i="1"/>
  <c r="AK1020" i="1"/>
  <c r="AT1019" i="1"/>
  <c r="AL1019" i="1"/>
  <c r="AK1019" i="1"/>
  <c r="AT992" i="1"/>
  <c r="AT993" i="1"/>
  <c r="AT994" i="1"/>
  <c r="AT995" i="1"/>
  <c r="AT996" i="1"/>
  <c r="AT997" i="1"/>
  <c r="AT991" i="1"/>
  <c r="AK993" i="1"/>
  <c r="AK994" i="1"/>
  <c r="AK995" i="1"/>
  <c r="AK996" i="1"/>
  <c r="AK997" i="1"/>
  <c r="AK992" i="1"/>
  <c r="AL997" i="1"/>
  <c r="AL996" i="1"/>
  <c r="AL995" i="1"/>
  <c r="AL994" i="1"/>
  <c r="AL993" i="1"/>
  <c r="AL992" i="1"/>
  <c r="AL991" i="1"/>
  <c r="AK991" i="1"/>
  <c r="AT964" i="1"/>
  <c r="AT965" i="1"/>
  <c r="AT966" i="1"/>
  <c r="AT967" i="1"/>
  <c r="AT968" i="1"/>
  <c r="AT969" i="1"/>
  <c r="AT963" i="1"/>
  <c r="AL964" i="1"/>
  <c r="AL965" i="1"/>
  <c r="AL966" i="1"/>
  <c r="AL967" i="1"/>
  <c r="AL968" i="1"/>
  <c r="AL969" i="1"/>
  <c r="AL963" i="1"/>
  <c r="AK965" i="1"/>
  <c r="AK966" i="1"/>
  <c r="AK967" i="1"/>
  <c r="AK968" i="1"/>
  <c r="AK969" i="1"/>
  <c r="AK964" i="1"/>
  <c r="AK963" i="1"/>
  <c r="AV968" i="1" l="1"/>
  <c r="AV964" i="1"/>
  <c r="AV969" i="1"/>
  <c r="AV965" i="1"/>
  <c r="AV963" i="1"/>
  <c r="AV966" i="1"/>
  <c r="AV967" i="1"/>
  <c r="AV1048" i="1"/>
  <c r="AV1052" i="1"/>
  <c r="AV1022" i="1"/>
  <c r="AV1076" i="1"/>
  <c r="AV1080" i="1"/>
  <c r="AV1078" i="1"/>
  <c r="AV1075" i="1"/>
  <c r="AV1079" i="1"/>
  <c r="AV1077" i="1"/>
  <c r="AV1081" i="1"/>
  <c r="AV1051" i="1"/>
  <c r="AV1053" i="1"/>
  <c r="AV1050" i="1"/>
  <c r="AV1047" i="1"/>
  <c r="AV1049" i="1"/>
  <c r="AV1020" i="1"/>
  <c r="AV1024" i="1"/>
  <c r="AV1019" i="1"/>
  <c r="AV1023" i="1"/>
  <c r="AV1021" i="1"/>
  <c r="AV1025" i="1"/>
  <c r="AV991" i="1"/>
  <c r="AV993" i="1"/>
  <c r="AV995" i="1"/>
  <c r="AV997" i="1"/>
  <c r="AV992" i="1"/>
  <c r="AV994" i="1"/>
  <c r="AV996" i="1"/>
  <c r="AT952" i="1" l="1"/>
  <c r="AV952" i="1" s="1"/>
  <c r="AT953" i="1"/>
  <c r="AV953" i="1" s="1"/>
  <c r="AT954" i="1"/>
  <c r="AV954" i="1" s="1"/>
  <c r="AT955" i="1"/>
  <c r="AV955" i="1" s="1"/>
  <c r="AT956" i="1"/>
  <c r="AV956" i="1" s="1"/>
  <c r="AT951" i="1"/>
  <c r="AV951" i="1" s="1"/>
  <c r="AK956" i="1"/>
  <c r="AK955" i="1"/>
  <c r="AK954" i="1"/>
  <c r="AK953" i="1"/>
  <c r="AK952" i="1"/>
  <c r="AK951" i="1"/>
  <c r="AT931" i="1"/>
  <c r="AV931" i="1" s="1"/>
  <c r="AT932" i="1"/>
  <c r="AV932" i="1" s="1"/>
  <c r="AT933" i="1"/>
  <c r="AV933" i="1" s="1"/>
  <c r="AT934" i="1"/>
  <c r="AV934" i="1" s="1"/>
  <c r="AT935" i="1"/>
  <c r="AV935" i="1" s="1"/>
  <c r="AT936" i="1"/>
  <c r="AV936" i="1" s="1"/>
  <c r="AK932" i="1"/>
  <c r="AK933" i="1"/>
  <c r="AK934" i="1"/>
  <c r="AK935" i="1"/>
  <c r="AK936" i="1"/>
  <c r="AK931" i="1"/>
  <c r="AT930" i="1" l="1"/>
  <c r="AV930" i="1" s="1"/>
  <c r="AK930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S748" i="1"/>
  <c r="AT748" i="1" s="1"/>
  <c r="AV748" i="1" s="1"/>
  <c r="J748" i="1"/>
  <c r="AS747" i="1"/>
  <c r="AT747" i="1" s="1"/>
  <c r="AV747" i="1" s="1"/>
  <c r="J747" i="1"/>
  <c r="AS746" i="1"/>
  <c r="AT746" i="1" s="1"/>
  <c r="AV746" i="1" s="1"/>
  <c r="J746" i="1"/>
  <c r="AS745" i="1"/>
  <c r="AT745" i="1" s="1"/>
  <c r="AV745" i="1" s="1"/>
  <c r="J745" i="1"/>
  <c r="AS744" i="1"/>
  <c r="AT744" i="1" s="1"/>
  <c r="AV744" i="1" s="1"/>
  <c r="J744" i="1"/>
  <c r="AS743" i="1"/>
  <c r="AT743" i="1" s="1"/>
  <c r="AV743" i="1" s="1"/>
  <c r="J743" i="1"/>
  <c r="AS742" i="1"/>
  <c r="AT742" i="1" s="1"/>
  <c r="AV742" i="1" s="1"/>
  <c r="J742" i="1"/>
  <c r="AS741" i="1"/>
  <c r="AT741" i="1" s="1"/>
  <c r="AV741" i="1" s="1"/>
  <c r="J741" i="1"/>
  <c r="AS740" i="1"/>
  <c r="AT740" i="1" s="1"/>
  <c r="AV740" i="1" s="1"/>
  <c r="J740" i="1"/>
  <c r="AS739" i="1"/>
  <c r="AT739" i="1" s="1"/>
  <c r="AV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S693" i="1"/>
  <c r="AT693" i="1" s="1"/>
  <c r="AV693" i="1" s="1"/>
  <c r="J693" i="1"/>
  <c r="AS692" i="1"/>
  <c r="AT692" i="1" s="1"/>
  <c r="AV692" i="1" s="1"/>
  <c r="J692" i="1"/>
  <c r="AS691" i="1"/>
  <c r="AT691" i="1" s="1"/>
  <c r="AV691" i="1" s="1"/>
  <c r="J691" i="1"/>
  <c r="AS690" i="1"/>
  <c r="AT690" i="1" s="1"/>
  <c r="AV690" i="1" s="1"/>
  <c r="J690" i="1"/>
  <c r="AS689" i="1"/>
  <c r="AT689" i="1" s="1"/>
  <c r="AV689" i="1" s="1"/>
  <c r="J689" i="1"/>
  <c r="AS688" i="1"/>
  <c r="AT688" i="1" s="1"/>
  <c r="AV688" i="1" s="1"/>
  <c r="J688" i="1"/>
  <c r="AS687" i="1"/>
  <c r="AT687" i="1" s="1"/>
  <c r="AV687" i="1" s="1"/>
  <c r="J687" i="1"/>
  <c r="AS686" i="1"/>
  <c r="AT686" i="1" s="1"/>
  <c r="AV686" i="1" s="1"/>
  <c r="J686" i="1"/>
  <c r="AS685" i="1"/>
  <c r="AT685" i="1" s="1"/>
  <c r="AV685" i="1" s="1"/>
  <c r="J685" i="1"/>
  <c r="AS684" i="1"/>
  <c r="AT684" i="1" s="1"/>
  <c r="AV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S638" i="1"/>
  <c r="AT638" i="1" s="1"/>
  <c r="AV638" i="1" s="1"/>
  <c r="J638" i="1"/>
  <c r="AS637" i="1"/>
  <c r="AT637" i="1" s="1"/>
  <c r="AV637" i="1" s="1"/>
  <c r="J637" i="1"/>
  <c r="AS636" i="1"/>
  <c r="AT636" i="1" s="1"/>
  <c r="AV636" i="1" s="1"/>
  <c r="J636" i="1"/>
  <c r="AS635" i="1"/>
  <c r="AT635" i="1" s="1"/>
  <c r="AV635" i="1" s="1"/>
  <c r="J635" i="1"/>
  <c r="AS634" i="1"/>
  <c r="AT634" i="1" s="1"/>
  <c r="AV634" i="1" s="1"/>
  <c r="J634" i="1"/>
  <c r="AS633" i="1"/>
  <c r="AT633" i="1" s="1"/>
  <c r="AV633" i="1" s="1"/>
  <c r="J633" i="1"/>
  <c r="AS632" i="1"/>
  <c r="AT632" i="1" s="1"/>
  <c r="AV632" i="1" s="1"/>
  <c r="J632" i="1"/>
  <c r="AS631" i="1"/>
  <c r="AT631" i="1" s="1"/>
  <c r="AV631" i="1" s="1"/>
  <c r="J631" i="1"/>
  <c r="AS630" i="1"/>
  <c r="AT630" i="1" s="1"/>
  <c r="AV630" i="1" s="1"/>
  <c r="J630" i="1"/>
  <c r="AS629" i="1"/>
  <c r="AT629" i="1" s="1"/>
  <c r="AV629" i="1" s="1"/>
  <c r="J629" i="1"/>
  <c r="AT314" i="1" l="1"/>
  <c r="AL314" i="1"/>
  <c r="AV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S575" i="1" l="1"/>
  <c r="AT575" i="1" s="1"/>
  <c r="AV575" i="1" s="1"/>
  <c r="AS576" i="1"/>
  <c r="AT576" i="1" s="1"/>
  <c r="AV576" i="1" s="1"/>
  <c r="AS577" i="1"/>
  <c r="AT577" i="1" s="1"/>
  <c r="AV577" i="1" s="1"/>
  <c r="AS578" i="1"/>
  <c r="AT578" i="1" s="1"/>
  <c r="AV578" i="1" s="1"/>
  <c r="AS579" i="1"/>
  <c r="AT579" i="1" s="1"/>
  <c r="AV579" i="1" s="1"/>
  <c r="AS580" i="1"/>
  <c r="AT580" i="1" s="1"/>
  <c r="AV580" i="1" s="1"/>
  <c r="AS581" i="1"/>
  <c r="AT581" i="1" s="1"/>
  <c r="AV581" i="1" s="1"/>
  <c r="AS582" i="1"/>
  <c r="AT582" i="1" s="1"/>
  <c r="AV582" i="1" s="1"/>
  <c r="AS583" i="1"/>
  <c r="AT583" i="1" s="1"/>
  <c r="AV583" i="1" s="1"/>
  <c r="AS574" i="1"/>
  <c r="AT574" i="1" s="1"/>
  <c r="AV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T567" i="1" l="1"/>
  <c r="AN567" i="1"/>
  <c r="AL567" i="1" s="1"/>
  <c r="AT566" i="1"/>
  <c r="AN566" i="1"/>
  <c r="AL566" i="1" s="1"/>
  <c r="AT565" i="1"/>
  <c r="AT564" i="1"/>
  <c r="AN564" i="1"/>
  <c r="AL564" i="1" s="1"/>
  <c r="AT557" i="1"/>
  <c r="AN557" i="1"/>
  <c r="AL557" i="1" s="1"/>
  <c r="AT556" i="1"/>
  <c r="AN556" i="1"/>
  <c r="AL556" i="1" s="1"/>
  <c r="AT555" i="1"/>
  <c r="AT554" i="1"/>
  <c r="AN554" i="1"/>
  <c r="AL554" i="1" s="1"/>
  <c r="AS538" i="1"/>
  <c r="AT538" i="1" s="1"/>
  <c r="AV538" i="1" s="1"/>
  <c r="AS537" i="1"/>
  <c r="AT537" i="1" s="1"/>
  <c r="AV537" i="1" s="1"/>
  <c r="AS536" i="1"/>
  <c r="AT536" i="1" s="1"/>
  <c r="AV536" i="1" s="1"/>
  <c r="AS535" i="1"/>
  <c r="AT535" i="1" s="1"/>
  <c r="AV535" i="1" s="1"/>
  <c r="AS534" i="1"/>
  <c r="AT534" i="1" s="1"/>
  <c r="AV534" i="1" s="1"/>
  <c r="AS533" i="1"/>
  <c r="AT533" i="1" s="1"/>
  <c r="AV533" i="1" s="1"/>
  <c r="AS517" i="1"/>
  <c r="AT517" i="1" s="1"/>
  <c r="AV517" i="1" s="1"/>
  <c r="AS516" i="1"/>
  <c r="AT516" i="1" s="1"/>
  <c r="AV516" i="1" s="1"/>
  <c r="AS515" i="1"/>
  <c r="AT515" i="1" s="1"/>
  <c r="AV515" i="1" s="1"/>
  <c r="AS514" i="1"/>
  <c r="AT514" i="1" s="1"/>
  <c r="AV514" i="1" s="1"/>
  <c r="AS513" i="1"/>
  <c r="AT513" i="1" s="1"/>
  <c r="AV513" i="1" s="1"/>
  <c r="AS512" i="1"/>
  <c r="AT512" i="1" s="1"/>
  <c r="AV512" i="1" s="1"/>
  <c r="AS142" i="1"/>
  <c r="AT142" i="1" s="1"/>
  <c r="AV142" i="1" s="1"/>
  <c r="AK142" i="1"/>
  <c r="AK141" i="1"/>
  <c r="AS140" i="1"/>
  <c r="AT140" i="1" s="1"/>
  <c r="AV140" i="1" s="1"/>
  <c r="AK140" i="1"/>
  <c r="AS139" i="1"/>
  <c r="AT139" i="1" s="1"/>
  <c r="AV139" i="1" s="1"/>
  <c r="AK139" i="1"/>
  <c r="AS138" i="1"/>
  <c r="AT138" i="1" s="1"/>
  <c r="AV138" i="1" s="1"/>
  <c r="AK138" i="1"/>
  <c r="AS137" i="1"/>
  <c r="AT137" i="1" s="1"/>
  <c r="AV137" i="1" s="1"/>
  <c r="AK137" i="1"/>
  <c r="AV136" i="1"/>
  <c r="AS136" i="1"/>
  <c r="AT136" i="1" s="1"/>
  <c r="AK136" i="1"/>
  <c r="AS135" i="1"/>
  <c r="AT135" i="1" s="1"/>
  <c r="AV135" i="1" s="1"/>
  <c r="AK135" i="1"/>
  <c r="AS134" i="1"/>
  <c r="AT134" i="1" s="1"/>
  <c r="AV134" i="1" s="1"/>
  <c r="AK134" i="1"/>
  <c r="AS112" i="1"/>
  <c r="AT112" i="1" s="1"/>
  <c r="AV112" i="1" s="1"/>
  <c r="AK111" i="1"/>
  <c r="AS110" i="1"/>
  <c r="AT110" i="1" s="1"/>
  <c r="AV110" i="1" s="1"/>
  <c r="AK110" i="1"/>
  <c r="AS109" i="1"/>
  <c r="AT109" i="1" s="1"/>
  <c r="AV109" i="1" s="1"/>
  <c r="AK109" i="1"/>
  <c r="AS108" i="1"/>
  <c r="AT108" i="1" s="1"/>
  <c r="AV108" i="1" s="1"/>
  <c r="AK108" i="1"/>
  <c r="AS107" i="1"/>
  <c r="AT107" i="1" s="1"/>
  <c r="AV107" i="1" s="1"/>
  <c r="AK107" i="1"/>
  <c r="AS106" i="1"/>
  <c r="AT106" i="1" s="1"/>
  <c r="AV106" i="1" s="1"/>
  <c r="AK106" i="1"/>
  <c r="AS105" i="1"/>
  <c r="AT105" i="1" s="1"/>
  <c r="AV105" i="1" s="1"/>
  <c r="AK105" i="1"/>
  <c r="AS104" i="1"/>
  <c r="AT104" i="1" s="1"/>
  <c r="AV104" i="1" s="1"/>
  <c r="AK104" i="1"/>
  <c r="AV567" i="1" l="1"/>
  <c r="AV564" i="1"/>
  <c r="AV566" i="1"/>
  <c r="AV554" i="1"/>
  <c r="AV556" i="1"/>
  <c r="AV557" i="1"/>
  <c r="AN474" i="1" l="1"/>
  <c r="AS474" i="1" s="1"/>
  <c r="AT474" i="1" s="1"/>
  <c r="AV474" i="1" s="1"/>
  <c r="AN475" i="1"/>
  <c r="AS475" i="1" s="1"/>
  <c r="AT475" i="1" s="1"/>
  <c r="AV475" i="1" s="1"/>
  <c r="AN469" i="1"/>
  <c r="AS469" i="1" s="1"/>
  <c r="AT469" i="1" s="1"/>
  <c r="AV469" i="1" s="1"/>
  <c r="AN468" i="1"/>
  <c r="AS468" i="1" s="1"/>
  <c r="AT468" i="1" s="1"/>
  <c r="AV468" i="1" s="1"/>
  <c r="AN472" i="1"/>
  <c r="AS472" i="1" s="1"/>
  <c r="AT472" i="1" s="1"/>
  <c r="AV472" i="1" s="1"/>
  <c r="AN471" i="1"/>
  <c r="AS471" i="1" s="1"/>
  <c r="AT471" i="1" s="1"/>
  <c r="AV471" i="1" s="1"/>
  <c r="AN470" i="1"/>
  <c r="AS470" i="1" s="1"/>
  <c r="AT470" i="1" s="1"/>
  <c r="AV470" i="1" s="1"/>
  <c r="AN467" i="1"/>
  <c r="AS467" i="1" s="1"/>
  <c r="AT467" i="1" s="1"/>
  <c r="AV467" i="1" s="1"/>
  <c r="AN473" i="1"/>
  <c r="AS473" i="1" s="1"/>
  <c r="AT473" i="1" s="1"/>
  <c r="AV473" i="1" s="1"/>
  <c r="AN429" i="1"/>
  <c r="AS429" i="1" s="1"/>
  <c r="AT429" i="1" s="1"/>
  <c r="AV429" i="1" s="1"/>
  <c r="AN430" i="1"/>
  <c r="AS430" i="1" s="1"/>
  <c r="AT430" i="1" s="1"/>
  <c r="AV430" i="1" s="1"/>
  <c r="AN424" i="1"/>
  <c r="AS424" i="1" s="1"/>
  <c r="AT424" i="1" s="1"/>
  <c r="AV424" i="1" s="1"/>
  <c r="AN423" i="1"/>
  <c r="AS423" i="1" s="1"/>
  <c r="AT423" i="1" s="1"/>
  <c r="AV423" i="1" s="1"/>
  <c r="AN427" i="1"/>
  <c r="AS427" i="1" s="1"/>
  <c r="AT427" i="1" s="1"/>
  <c r="AV427" i="1" s="1"/>
  <c r="AN426" i="1"/>
  <c r="AS426" i="1" s="1"/>
  <c r="AT426" i="1" s="1"/>
  <c r="AV426" i="1" s="1"/>
  <c r="AN425" i="1"/>
  <c r="AS425" i="1" s="1"/>
  <c r="AT425" i="1" s="1"/>
  <c r="AV425" i="1" s="1"/>
  <c r="AN422" i="1"/>
  <c r="AS422" i="1" s="1"/>
  <c r="AT422" i="1" s="1"/>
  <c r="AV422" i="1" s="1"/>
  <c r="AN428" i="1"/>
  <c r="AS428" i="1" s="1"/>
  <c r="AT428" i="1" s="1"/>
  <c r="AV428" i="1" s="1"/>
  <c r="AN384" i="1" l="1"/>
  <c r="AS384" i="1" s="1"/>
  <c r="AT384" i="1" s="1"/>
  <c r="AV384" i="1" s="1"/>
  <c r="AN385" i="1"/>
  <c r="AS385" i="1" s="1"/>
  <c r="AT385" i="1" s="1"/>
  <c r="AV385" i="1" s="1"/>
  <c r="AN379" i="1"/>
  <c r="AS379" i="1" s="1"/>
  <c r="AT379" i="1" s="1"/>
  <c r="AV379" i="1" s="1"/>
  <c r="AN378" i="1"/>
  <c r="AS378" i="1" s="1"/>
  <c r="AT378" i="1" s="1"/>
  <c r="AV378" i="1" s="1"/>
  <c r="AN382" i="1"/>
  <c r="AS382" i="1" s="1"/>
  <c r="AT382" i="1" s="1"/>
  <c r="AV382" i="1" s="1"/>
  <c r="AN381" i="1"/>
  <c r="AS381" i="1" s="1"/>
  <c r="AT381" i="1" s="1"/>
  <c r="AV381" i="1" s="1"/>
  <c r="AN380" i="1"/>
  <c r="AS380" i="1" s="1"/>
  <c r="AT380" i="1" s="1"/>
  <c r="AV380" i="1" s="1"/>
  <c r="AN377" i="1"/>
  <c r="AS377" i="1" s="1"/>
  <c r="AT377" i="1" s="1"/>
  <c r="AV377" i="1" s="1"/>
  <c r="AN383" i="1"/>
  <c r="AS383" i="1" s="1"/>
  <c r="AT383" i="1" s="1"/>
  <c r="AV383" i="1" s="1"/>
  <c r="AN339" i="1"/>
  <c r="AS339" i="1" s="1"/>
  <c r="AT339" i="1" s="1"/>
  <c r="AV339" i="1" s="1"/>
  <c r="AN340" i="1"/>
  <c r="AS340" i="1" s="1"/>
  <c r="AT340" i="1" s="1"/>
  <c r="AV340" i="1" s="1"/>
  <c r="AN334" i="1"/>
  <c r="AS334" i="1" s="1"/>
  <c r="AT334" i="1" s="1"/>
  <c r="AV334" i="1" s="1"/>
  <c r="AN333" i="1"/>
  <c r="AS333" i="1" s="1"/>
  <c r="AT333" i="1" s="1"/>
  <c r="AV333" i="1" s="1"/>
  <c r="AN337" i="1"/>
  <c r="AS337" i="1" s="1"/>
  <c r="AT337" i="1" s="1"/>
  <c r="AV337" i="1" s="1"/>
  <c r="AN336" i="1"/>
  <c r="AS336" i="1" s="1"/>
  <c r="AT336" i="1" s="1"/>
  <c r="AV336" i="1" s="1"/>
  <c r="AN335" i="1"/>
  <c r="AS335" i="1" s="1"/>
  <c r="AT335" i="1" s="1"/>
  <c r="AV335" i="1" s="1"/>
  <c r="AN332" i="1"/>
  <c r="AS332" i="1" s="1"/>
  <c r="AT332" i="1" s="1"/>
  <c r="AV332" i="1" s="1"/>
  <c r="AN338" i="1"/>
  <c r="AS338" i="1" s="1"/>
  <c r="AT338" i="1" s="1"/>
  <c r="AV338" i="1" s="1"/>
  <c r="AT311" i="1"/>
  <c r="AV311" i="1" s="1"/>
  <c r="AL316" i="1"/>
  <c r="AT315" i="1"/>
  <c r="AL315" i="1"/>
  <c r="AT313" i="1"/>
  <c r="AL313" i="1"/>
  <c r="AT312" i="1"/>
  <c r="AV312" i="1" s="1"/>
  <c r="AT298" i="1"/>
  <c r="AV298" i="1" s="1"/>
  <c r="AT297" i="1"/>
  <c r="AV297" i="1" s="1"/>
  <c r="AT296" i="1"/>
  <c r="AV296" i="1" s="1"/>
  <c r="AT295" i="1"/>
  <c r="AV295" i="1" s="1"/>
  <c r="AT294" i="1"/>
  <c r="AV294" i="1" s="1"/>
  <c r="AT293" i="1"/>
  <c r="AV293" i="1" s="1"/>
  <c r="AT292" i="1"/>
  <c r="AV292" i="1" s="1"/>
  <c r="AT291" i="1"/>
  <c r="AV291" i="1" s="1"/>
  <c r="AN280" i="1"/>
  <c r="AS280" i="1" s="1"/>
  <c r="AT280" i="1" s="1"/>
  <c r="AV280" i="1" s="1"/>
  <c r="AN279" i="1"/>
  <c r="AS279" i="1" s="1"/>
  <c r="AT279" i="1" s="1"/>
  <c r="AV279" i="1" s="1"/>
  <c r="AN278" i="1"/>
  <c r="AS278" i="1" s="1"/>
  <c r="AT278" i="1" s="1"/>
  <c r="AV278" i="1" s="1"/>
  <c r="AN277" i="1"/>
  <c r="AS277" i="1" s="1"/>
  <c r="AT277" i="1" s="1"/>
  <c r="AV277" i="1" s="1"/>
  <c r="AN276" i="1"/>
  <c r="AS276" i="1" s="1"/>
  <c r="AT276" i="1" s="1"/>
  <c r="AV276" i="1" s="1"/>
  <c r="AV316" i="1" l="1"/>
  <c r="AV315" i="1"/>
  <c r="AV313" i="1"/>
  <c r="AN265" i="1"/>
  <c r="AS265" i="1" s="1"/>
  <c r="AT265" i="1" s="1"/>
  <c r="AV265" i="1" s="1"/>
  <c r="AN264" i="1"/>
  <c r="AS264" i="1" s="1"/>
  <c r="AT264" i="1" s="1"/>
  <c r="AV264" i="1" s="1"/>
  <c r="AN263" i="1"/>
  <c r="AS263" i="1" s="1"/>
  <c r="AT263" i="1" s="1"/>
  <c r="AV263" i="1" s="1"/>
  <c r="AN262" i="1"/>
  <c r="AS262" i="1" s="1"/>
  <c r="AT262" i="1" s="1"/>
  <c r="AV262" i="1" s="1"/>
  <c r="AN261" i="1"/>
  <c r="AS261" i="1" s="1"/>
  <c r="AT261" i="1" s="1"/>
  <c r="AV261" i="1" s="1"/>
  <c r="AN250" i="1"/>
  <c r="AS250" i="1" s="1"/>
  <c r="AT250" i="1" s="1"/>
  <c r="AV250" i="1" s="1"/>
  <c r="AN249" i="1"/>
  <c r="AS249" i="1" s="1"/>
  <c r="AT249" i="1" s="1"/>
  <c r="AV249" i="1" s="1"/>
  <c r="AN248" i="1"/>
  <c r="AS248" i="1" s="1"/>
  <c r="AT248" i="1" s="1"/>
  <c r="AV248" i="1" s="1"/>
  <c r="AN247" i="1"/>
  <c r="AS247" i="1" s="1"/>
  <c r="AT247" i="1" s="1"/>
  <c r="AV247" i="1" s="1"/>
  <c r="AN246" i="1"/>
  <c r="AS246" i="1" s="1"/>
  <c r="AT246" i="1" s="1"/>
  <c r="AV246" i="1" s="1"/>
  <c r="AT209" i="1"/>
  <c r="AL209" i="1"/>
  <c r="AT208" i="1"/>
  <c r="AL208" i="1"/>
  <c r="AT207" i="1"/>
  <c r="AL207" i="1"/>
  <c r="AT206" i="1"/>
  <c r="AL206" i="1"/>
  <c r="AT205" i="1"/>
  <c r="AL205" i="1"/>
  <c r="AT204" i="1"/>
  <c r="AL204" i="1"/>
  <c r="AT197" i="1"/>
  <c r="AV197" i="1" s="1"/>
  <c r="AN197" i="1"/>
  <c r="AT196" i="1"/>
  <c r="AV196" i="1" s="1"/>
  <c r="AN196" i="1"/>
  <c r="AT195" i="1"/>
  <c r="AV195" i="1" s="1"/>
  <c r="AN195" i="1"/>
  <c r="AT194" i="1"/>
  <c r="AV194" i="1" s="1"/>
  <c r="AN194" i="1"/>
  <c r="AT187" i="1"/>
  <c r="AV187" i="1" s="1"/>
  <c r="AN187" i="1"/>
  <c r="AT186" i="1"/>
  <c r="AV186" i="1" s="1"/>
  <c r="AN186" i="1"/>
  <c r="AT185" i="1"/>
  <c r="AV185" i="1" s="1"/>
  <c r="AN185" i="1"/>
  <c r="AT184" i="1"/>
  <c r="AV184" i="1" s="1"/>
  <c r="AN184" i="1"/>
  <c r="AV204" i="1" l="1"/>
  <c r="AV206" i="1"/>
  <c r="AV208" i="1"/>
  <c r="AV205" i="1"/>
  <c r="AV207" i="1"/>
  <c r="AV209" i="1"/>
  <c r="AS82" i="1"/>
  <c r="AT82" i="1" s="1"/>
  <c r="AV82" i="1" s="1"/>
  <c r="AS80" i="1"/>
  <c r="AT80" i="1" s="1"/>
  <c r="AV80" i="1" s="1"/>
  <c r="AS79" i="1"/>
  <c r="AT79" i="1" s="1"/>
  <c r="AV79" i="1" s="1"/>
  <c r="AS78" i="1"/>
  <c r="AT78" i="1" s="1"/>
  <c r="AV78" i="1" s="1"/>
  <c r="AS77" i="1"/>
  <c r="AT77" i="1" s="1"/>
  <c r="AV77" i="1" s="1"/>
  <c r="AS76" i="1"/>
  <c r="AT76" i="1" s="1"/>
  <c r="AV76" i="1" s="1"/>
  <c r="AS75" i="1"/>
  <c r="AT75" i="1" s="1"/>
  <c r="AV75" i="1" s="1"/>
  <c r="AS74" i="1"/>
  <c r="AT74" i="1" s="1"/>
  <c r="AV74" i="1" s="1"/>
  <c r="AT177" i="1" l="1"/>
  <c r="AV177" i="1" s="1"/>
  <c r="AN177" i="1"/>
  <c r="AT176" i="1"/>
  <c r="AV176" i="1" s="1"/>
  <c r="AN176" i="1"/>
  <c r="AT175" i="1"/>
  <c r="AV175" i="1" s="1"/>
  <c r="AN175" i="1"/>
  <c r="AT174" i="1"/>
  <c r="AV174" i="1" s="1"/>
  <c r="AN174" i="1"/>
  <c r="AT167" i="1" l="1"/>
  <c r="AV167" i="1" s="1"/>
  <c r="AN167" i="1"/>
  <c r="AT166" i="1"/>
  <c r="AV166" i="1" s="1"/>
  <c r="AN166" i="1"/>
  <c r="AT165" i="1"/>
  <c r="AV165" i="1" s="1"/>
  <c r="AN165" i="1"/>
  <c r="AT164" i="1"/>
  <c r="AV164" i="1" s="1"/>
  <c r="AN164" i="1"/>
  <c r="AS52" i="1" l="1"/>
  <c r="AT52" i="1" s="1"/>
  <c r="AV52" i="1" s="1"/>
  <c r="AS50" i="1"/>
  <c r="AT50" i="1" s="1"/>
  <c r="AV50" i="1" s="1"/>
  <c r="AS49" i="1"/>
  <c r="AT49" i="1" s="1"/>
  <c r="AV49" i="1" s="1"/>
  <c r="AS48" i="1"/>
  <c r="AT48" i="1" s="1"/>
  <c r="AV48" i="1" s="1"/>
  <c r="AS47" i="1"/>
  <c r="AT47" i="1" s="1"/>
  <c r="AV47" i="1" s="1"/>
  <c r="AS46" i="1"/>
  <c r="AT46" i="1" s="1"/>
  <c r="AV46" i="1" s="1"/>
  <c r="AS45" i="1"/>
  <c r="AT45" i="1" s="1"/>
  <c r="AV45" i="1" s="1"/>
  <c r="AS44" i="1"/>
  <c r="AT44" i="1" s="1"/>
  <c r="AV44" i="1" s="1"/>
</calcChain>
</file>

<file path=xl/sharedStrings.xml><?xml version="1.0" encoding="utf-8"?>
<sst xmlns="http://schemas.openxmlformats.org/spreadsheetml/2006/main" count="82125" uniqueCount="720">
  <si>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</si>
  <si>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</si>
  <si>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</si>
  <si>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</si>
  <si>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</si>
  <si>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</si>
  <si>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</si>
  <si>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</si>
  <si>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</si>
  <si>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</si>
  <si>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</si>
  <si>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</si>
  <si>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</si>
  <si>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</si>
  <si>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</si>
  <si>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</si>
  <si>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</si>
  <si>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</si>
  <si>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</si>
  <si>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</si>
  <si>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</si>
  <si>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</si>
  <si>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</si>
  <si>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</si>
  <si>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</si>
  <si>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</si>
  <si>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</si>
  <si>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</si>
  <si>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</si>
  <si>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</si>
  <si>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</si>
  <si>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</si>
  <si>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</si>
  <si>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</si>
  <si>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</si>
  <si>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</si>
  <si>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</si>
  <si>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</si>
  <si>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</si>
  <si>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</si>
  <si>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</si>
  <si>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</si>
  <si>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</si>
  <si>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</si>
  <si>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</si>
  <si>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</si>
  <si>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</si>
  <si>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</si>
  <si>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</si>
  <si>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</si>
  <si>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</si>
  <si>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</si>
  <si>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</si>
  <si>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</si>
  <si>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</si>
  <si>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</si>
  <si>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</si>
  <si>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</si>
  <si>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</si>
  <si>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</si>
  <si>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</si>
  <si>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</si>
  <si>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</si>
  <si>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</si>
  <si>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</si>
  <si>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</si>
  <si>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</si>
  <si>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</si>
  <si>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</si>
  <si>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</si>
  <si>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</si>
  <si>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</si>
  <si>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</si>
  <si>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</si>
  <si>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</si>
  <si>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</si>
  <si>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</si>
  <si>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</si>
  <si>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</si>
  <si>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</si>
  <si>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</si>
  <si>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</si>
  <si>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</si>
  <si>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</si>
  <si>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</si>
  <si>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</si>
  <si>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</si>
  <si>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</si>
  <si>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</si>
  <si>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</si>
  <si>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</si>
  <si>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</si>
  <si>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</si>
  <si>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</si>
  <si>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</si>
  <si>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</si>
  <si>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</si>
  <si>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</si>
  <si>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</si>
  <si>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</si>
  <si>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</si>
  <si>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</si>
  <si>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</si>
  <si>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</si>
  <si>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</si>
  <si>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</si>
  <si>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</si>
  <si>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</si>
  <si>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</si>
  <si>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</si>
  <si>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</si>
  <si>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</si>
  <si>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</si>
  <si>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</si>
  <si>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</si>
  <si>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</si>
  <si>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</si>
  <si>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</si>
  <si>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</si>
  <si>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</si>
  <si>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</si>
  <si>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</si>
  <si>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</si>
  <si>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</si>
  <si>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</si>
  <si>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</si>
  <si>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</si>
  <si>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</si>
  <si>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</si>
  <si>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</si>
  <si>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</si>
  <si>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</si>
  <si>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</si>
  <si>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</si>
  <si>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</si>
  <si>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</si>
  <si>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</si>
  <si>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</si>
  <si>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</si>
  <si>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</si>
  <si>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</si>
  <si>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</si>
  <si>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</si>
  <si>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</si>
  <si>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</si>
  <si>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</si>
  <si>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</si>
  <si>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</si>
  <si>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</si>
  <si>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</si>
  <si>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</si>
  <si>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</si>
  <si>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</si>
  <si>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</si>
  <si>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</si>
  <si>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</si>
  <si>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</si>
  <si>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</si>
  <si>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</si>
  <si>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</si>
  <si>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</si>
  <si>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</si>
  <si>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</si>
  <si>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</si>
  <si>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</si>
  <si>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</si>
  <si>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</si>
  <si>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</si>
  <si>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</si>
  <si>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</si>
  <si>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</si>
  <si>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</si>
  <si>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</si>
  <si>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</si>
  <si>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</si>
  <si>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</si>
  <si>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</si>
  <si>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</si>
  <si>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</si>
  <si>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</si>
  <si>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</si>
  <si>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</si>
  <si>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</si>
  <si>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</si>
  <si>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</si>
  <si>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</si>
  <si>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</si>
  <si>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</si>
  <si>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</si>
  <si>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</si>
  <si>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</si>
  <si>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</si>
  <si>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</si>
  <si>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</si>
  <si>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</si>
  <si>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</si>
  <si>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</si>
  <si>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</si>
  <si>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</si>
  <si>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</si>
  <si>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</si>
  <si>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</si>
  <si>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</si>
  <si>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</si>
  <si>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</si>
  <si>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</si>
  <si>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</si>
  <si>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</si>
  <si>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</si>
  <si>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</si>
  <si>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</si>
  <si>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</si>
  <si>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</si>
  <si>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</si>
  <si>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</si>
  <si>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</si>
  <si>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</si>
  <si>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</si>
  <si>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</si>
  <si>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</si>
  <si>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</si>
  <si>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</si>
  <si>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</si>
  <si>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</si>
  <si>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</si>
  <si>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</si>
  <si>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</si>
  <si>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</si>
  <si>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</si>
  <si>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</si>
  <si>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</si>
  <si>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</si>
  <si>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</si>
  <si>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</si>
  <si>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</si>
  <si>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</si>
  <si>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</si>
  <si>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</si>
  <si>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</si>
  <si>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</si>
  <si>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</si>
  <si>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</si>
  <si>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</si>
  <si>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</si>
  <si>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</si>
  <si>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</si>
  <si>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</si>
  <si>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</si>
  <si>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</si>
  <si>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</si>
  <si>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</si>
  <si>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</si>
  <si>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</si>
  <si>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</si>
  <si>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</si>
  <si>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</si>
  <si>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</si>
  <si>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</si>
  <si>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</si>
  <si>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</si>
  <si>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</si>
  <si>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</si>
  <si>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</si>
  <si>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</si>
  <si>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</si>
  <si>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</si>
  <si>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</si>
  <si>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</si>
  <si>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</si>
  <si>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</si>
  <si>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</si>
  <si>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</si>
  <si>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</si>
  <si>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</si>
  <si>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</si>
  <si>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</si>
  <si>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</si>
  <si>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</si>
  <si>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</si>
  <si>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</si>
  <si>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</si>
  <si>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</si>
  <si>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</si>
  <si>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</si>
  <si>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</si>
  <si>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</si>
  <si>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</si>
  <si>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</si>
  <si>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</si>
  <si>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</si>
  <si>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</si>
  <si>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</si>
  <si>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</si>
  <si>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</si>
  <si>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</si>
  <si>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</si>
  <si>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</si>
  <si>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</si>
  <si>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</si>
  <si>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</si>
  <si>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</si>
  <si>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</si>
  <si>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</si>
  <si>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</si>
  <si>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</si>
  <si>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</si>
  <si>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</si>
  <si>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</si>
  <si>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</si>
  <si>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</si>
  <si>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</si>
  <si>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</si>
  <si>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</si>
  <si>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</si>
  <si>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</si>
  <si>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</si>
  <si>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</si>
  <si>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</si>
  <si>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</si>
  <si>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</si>
  <si>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</si>
  <si>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</si>
  <si>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</si>
  <si>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</si>
  <si>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</si>
  <si>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</si>
  <si>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</si>
  <si>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</si>
  <si>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flower_shape</t>
  </si>
  <si>
    <t>Va_given._Sample_size_(n)_is_number_of_blossoms_measured_by_observer_1,_from_Table_1.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</si>
  <si>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</si>
  <si>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</si>
  <si>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</si>
  <si>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</si>
  <si>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</si>
  <si>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</si>
  <si>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</si>
  <si>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</si>
  <si>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</si>
  <si>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</si>
  <si>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</si>
  <si>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</si>
  <si>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</si>
  <si>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</si>
  <si>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</si>
  <si>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</si>
  <si>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</si>
  <si>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</si>
  <si>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</si>
  <si>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</si>
  <si>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</si>
  <si>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</si>
  <si>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</si>
  <si>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</si>
  <si>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</si>
  <si>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</si>
  <si>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</si>
  <si>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</si>
  <si>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</si>
  <si>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</si>
  <si>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</si>
  <si>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</si>
  <si>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</si>
  <si>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</si>
  <si>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</si>
  <si>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</si>
  <si>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</si>
  <si>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</si>
  <si>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</si>
  <si>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</si>
  <si>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</si>
  <si>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</si>
  <si>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</si>
  <si>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</si>
  <si>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</si>
  <si>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</si>
  <si>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</si>
  <si>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</si>
  <si>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</si>
  <si>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</si>
  <si>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</si>
  <si>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</si>
  <si>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</si>
  <si>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</si>
  <si>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</si>
  <si>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</si>
  <si>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</si>
  <si>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</si>
  <si>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</si>
  <si>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</si>
  <si>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</si>
  <si>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</si>
  <si>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</si>
  <si>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</si>
  <si>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</si>
  <si>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</si>
  <si>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</si>
  <si>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</si>
  <si>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</si>
  <si>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</si>
  <si>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</si>
  <si>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</si>
  <si>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</si>
  <si>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</si>
  <si>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</si>
  <si>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</si>
  <si>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</si>
  <si>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</si>
  <si>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</si>
  <si>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</si>
  <si>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</si>
  <si>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</si>
  <si>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</si>
  <si>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</si>
  <si>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</si>
  <si>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</si>
  <si>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</si>
  <si>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</si>
  <si>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</si>
  <si>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</si>
  <si>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</si>
  <si>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</si>
  <si>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</si>
  <si>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</si>
  <si>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</si>
  <si>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</si>
  <si>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</si>
  <si>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</si>
  <si>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</si>
  <si>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</si>
  <si>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</si>
  <si>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</si>
  <si>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</si>
  <si>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</si>
  <si>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</si>
  <si>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</si>
  <si>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</si>
  <si>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</si>
  <si>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</si>
  <si>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</si>
  <si>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</si>
  <si>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</si>
  <si>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</si>
  <si>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</si>
  <si>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</si>
  <si>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</si>
  <si>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</si>
  <si>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</si>
  <si>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</si>
  <si>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</si>
  <si>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</si>
  <si>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</si>
  <si>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</si>
  <si>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</si>
  <si>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</si>
  <si>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</si>
  <si>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</si>
  <si>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</si>
  <si>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</si>
  <si>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</si>
  <si>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</si>
  <si>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</si>
  <si>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</si>
  <si>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</si>
  <si>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</si>
  <si>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</si>
  <si>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</si>
  <si>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</si>
  <si>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</si>
  <si>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</si>
  <si>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</si>
  <si>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</si>
  <si>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</si>
  <si>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</si>
  <si>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</si>
  <si>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</si>
  <si>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</si>
  <si>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</si>
  <si>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</si>
  <si>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</si>
  <si>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</si>
  <si>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</si>
  <si>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</si>
  <si>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</si>
  <si>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</si>
  <si>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</si>
  <si>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</si>
  <si>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</si>
  <si>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</si>
  <si>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</si>
  <si>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</si>
  <si>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</si>
  <si>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</si>
  <si>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</si>
  <si>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</si>
  <si>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</si>
  <si>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</si>
  <si>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</si>
  <si>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</si>
  <si>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</si>
  <si>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</si>
  <si>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</si>
  <si>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</si>
  <si>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</si>
  <si>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</si>
  <si>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</si>
  <si>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</si>
  <si>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</si>
  <si>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</si>
  <si>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</si>
  <si>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</si>
  <si>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</si>
  <si>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</si>
  <si>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</si>
  <si>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</si>
  <si>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</si>
  <si>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</si>
  <si>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</si>
  <si>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</si>
  <si>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</si>
  <si>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</si>
  <si>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</si>
  <si>
    <t>Begoniaceae</t>
  </si>
  <si>
    <t>Begonia</t>
  </si>
  <si>
    <t>semiovata</t>
  </si>
  <si>
    <t>Begonia_semiovata</t>
  </si>
  <si>
    <t>Outcrossing_rate_reported_in_Ågren_&amp;_Schemske_1993,_Evolution</t>
  </si>
  <si>
    <t>La_Selva</t>
  </si>
  <si>
    <t>Variance_components_given_in_Table_3</t>
  </si>
  <si>
    <t>male_flower_mass</t>
  </si>
  <si>
    <t>female_flower_mass</t>
  </si>
  <si>
    <t>male_petal_length</t>
  </si>
  <si>
    <t>female_petal_length</t>
  </si>
  <si>
    <t>female_petal_number</t>
  </si>
  <si>
    <t>Table_5</t>
  </si>
  <si>
    <t>Winn_2004</t>
  </si>
  <si>
    <t>Lamiaceae</t>
  </si>
  <si>
    <t>Dicerandra</t>
  </si>
  <si>
    <t>linearifolia</t>
  </si>
  <si>
    <t>Dicerandra_linearifolia</t>
  </si>
  <si>
    <t>Self-compatibility_status_reported_in_Huck_1987,_Phanerogamarum_monographiae_19</t>
  </si>
  <si>
    <t>Wakulla_County</t>
  </si>
  <si>
    <t>survival</t>
  </si>
  <si>
    <t>proportion</t>
  </si>
  <si>
    <t>NA</t>
    <phoneticPr fontId="2"/>
  </si>
  <si>
    <t>Evolvability_as_square_of_Cva_from_Table_2._Summary_stats_in_Table_1,_variance_components_in_Table_2.</t>
  </si>
  <si>
    <t>leaf_thickness</t>
  </si>
  <si>
    <t>dry_mass</t>
  </si>
  <si>
    <t>Carr_and_Fenster_1994</t>
  </si>
  <si>
    <t>Delesalle_and_Mazer_1995</t>
  </si>
  <si>
    <t>Smith_and_Rausher_2008</t>
  </si>
  <si>
    <t>Shore_and_Barrett_1990</t>
  </si>
  <si>
    <t>Galen_and_Cuba_2001</t>
  </si>
  <si>
    <t>Schwaegerle_and_Levin_1991</t>
  </si>
  <si>
    <t>Kulbaba_and_Worley_2008</t>
  </si>
  <si>
    <t>Van_Kleunen_and_Ritland_2004</t>
  </si>
  <si>
    <t>Routley_and_Husband_2005</t>
  </si>
  <si>
    <t>Ågren_and_Schemske_1995</t>
  </si>
  <si>
    <t>winter_leaf_length</t>
  </si>
  <si>
    <t>winter_leaf_width</t>
  </si>
  <si>
    <t>winter_leaf_thickness</t>
  </si>
  <si>
    <t>summer_leaf_length</t>
  </si>
  <si>
    <t>summer_leaf_width</t>
  </si>
  <si>
    <t>summer_leaf_thickness</t>
  </si>
  <si>
    <t>days_to_emergence</t>
  </si>
  <si>
    <t>Table_3</t>
  </si>
  <si>
    <t>Fenster_&amp;_Carr_1997</t>
  </si>
  <si>
    <t>Used_heritabilities_from_midparent_regressions_in_Table_2._Summary_stats_in_Table_1.</t>
  </si>
  <si>
    <t>Used_fullsib_correlations_from_table_6</t>
  </si>
  <si>
    <t>Galloway_et_al._2009</t>
  </si>
  <si>
    <t>New_Phytologist</t>
  </si>
  <si>
    <t>Campanula</t>
  </si>
  <si>
    <t>americana</t>
  </si>
  <si>
    <t>Campanula_americana</t>
  </si>
  <si>
    <t>Bumblebees,_Halictid_bees</t>
  </si>
  <si>
    <t>Outcrossing_rate_reported_in_Galloway_et_al._2003_Heredity</t>
  </si>
  <si>
    <t>Mountain_Lake_Biological_Station</t>
  </si>
  <si>
    <t>time_to_germination</t>
  </si>
  <si>
    <t>flowering</t>
  </si>
  <si>
    <t>biomass</t>
  </si>
  <si>
    <t>Additive_variance_on_natural_log_from_table_3._Ie_as_total_Vp_on_log_-_evolvability._nfam_is_half-sib_families,_71_full-sib_families._Summary_stats_are_on_arithmetic_scale_and_not_used.</t>
  </si>
  <si>
    <t>days_to_germination</t>
  </si>
  <si>
    <t>days_to_flower</t>
  </si>
  <si>
    <t>Andersson_&amp;_Ofori_2013</t>
  </si>
  <si>
    <t>Annals_of_Botany</t>
  </si>
  <si>
    <t>Crepis</t>
  </si>
  <si>
    <t>tectorum</t>
  </si>
  <si>
    <t>Diptera,_Hymenoptera</t>
  </si>
  <si>
    <t>Vickleby</t>
  </si>
  <si>
    <t>fullsibs</t>
  </si>
  <si>
    <t>maximum_leaf_width</t>
  </si>
  <si>
    <t>minimum_leaf_width</t>
  </si>
  <si>
    <t>tip_distance</t>
  </si>
  <si>
    <t>number_of_teeth</t>
  </si>
  <si>
    <t>Supplementary_materials</t>
  </si>
  <si>
    <t>Herlihy_&amp;_Eckert_2007</t>
  </si>
  <si>
    <t>Aquilegia</t>
  </si>
  <si>
    <t>canadensis</t>
  </si>
  <si>
    <t>Aquilegia_canadensis</t>
  </si>
  <si>
    <t>Bumblebees,_hummingbirds</t>
  </si>
  <si>
    <t>QFP1</t>
  </si>
  <si>
    <t>Computed_evolvabilities_as_the_square_of_CVg_in_Table_2.</t>
  </si>
  <si>
    <t>spur</t>
  </si>
  <si>
    <t>spur_length</t>
  </si>
  <si>
    <t>QLL3</t>
  </si>
  <si>
    <t>Genetic_correlations_reported_in_Results_text</t>
  </si>
  <si>
    <t>Conner_&amp;_Via_1993</t>
  </si>
  <si>
    <t>emergence</t>
  </si>
  <si>
    <t>emergence_time</t>
  </si>
  <si>
    <t>All_parameters_in_Table_1._Used_4_times_sire_variance_as_additive_variance</t>
  </si>
  <si>
    <t>Young_et_al._1994</t>
  </si>
  <si>
    <t>sativus</t>
  </si>
  <si>
    <t>Raphanus_sativus</t>
  </si>
  <si>
    <t>Davis</t>
  </si>
  <si>
    <t>greenhouseF1</t>
  </si>
  <si>
    <t>pollen_number_per_flower</t>
  </si>
  <si>
    <t>Heritabilities_from_Table_3,_means_and_SD_from_table_1._Used_field_summary_stats_for_F1,_and_greenhouse_parent_stats_for_F2.</t>
  </si>
  <si>
    <t>field1F2</t>
  </si>
  <si>
    <t>field2F2</t>
  </si>
  <si>
    <t>greenhouseF2</t>
  </si>
  <si>
    <t>pollen_volume</t>
  </si>
  <si>
    <t>Table_4</t>
  </si>
  <si>
    <t>Ritland_&amp;_Ritland_1996</t>
  </si>
  <si>
    <t>Indian_Valley_Reservoir</t>
  </si>
  <si>
    <t>Meadow</t>
  </si>
  <si>
    <t>reproduction</t>
  </si>
  <si>
    <t>capsule_over_plant_weight</t>
  </si>
  <si>
    <t>geneticmarkers</t>
  </si>
  <si>
    <t>Heritabilities_in_Table_3,_summary_stats_in_Table_1.</t>
  </si>
  <si>
    <t>pod_over_capsule_weight</t>
  </si>
  <si>
    <t>calyx_length_by_width</t>
  </si>
  <si>
    <t>Table_6</t>
  </si>
  <si>
    <t>Ivey_&amp;_Carr_2012</t>
  </si>
  <si>
    <t>Author_description,_species-mean_tm_from_Moeller_et_al._2016</t>
  </si>
  <si>
    <t>M13W</t>
  </si>
  <si>
    <t>greenhouse_Dry</t>
  </si>
  <si>
    <t>flower_size</t>
  </si>
  <si>
    <t>Means_from_fig._3</t>
  </si>
  <si>
    <t>Author_description,_species-mean_tm_from_Moeller_et_al._2017</t>
  </si>
  <si>
    <t>greenhouse_Wet</t>
  </si>
  <si>
    <t>Author_description,_species-mean_tm_from_Moeller_et_al._2018</t>
  </si>
  <si>
    <t>anther_stigma_distance</t>
  </si>
  <si>
    <t>Author_description,_species-mean_tm_from_Moeller_et_al._2019</t>
  </si>
  <si>
    <t>Table_8</t>
  </si>
  <si>
    <t>Bolstad_et_al._2014</t>
  </si>
  <si>
    <t>Philosophical_Transactions_B</t>
  </si>
  <si>
    <t>scandens_B</t>
  </si>
  <si>
    <t>Dalechampia_scandens_B</t>
  </si>
  <si>
    <t>Solitary_bees</t>
  </si>
  <si>
    <t>Tovar</t>
  </si>
  <si>
    <t>Evolvability_given_directly_in_Table_3._Backcalculated_Vp_from_variance_components.</t>
  </si>
  <si>
    <t>bract_area</t>
  </si>
  <si>
    <t>Imbert_2001</t>
  </si>
  <si>
    <t>sancta</t>
  </si>
  <si>
    <t>Crepis_sancta</t>
  </si>
  <si>
    <t>Insecs</t>
  </si>
  <si>
    <t>Author_description._Mostly_allogamous_but_woth_some_SC_genotypes.</t>
  </si>
  <si>
    <t>Saint-Mathieu_de_Treaviers</t>
  </si>
  <si>
    <t>inflorescence</t>
  </si>
  <si>
    <t>number_of_outer_bracts</t>
  </si>
  <si>
    <t>Variance_components_in_Table_3,_summary_stats_in_Table_1._Computed_Vp_from_reported_heritability_and_Va,_not_from_summary_stats.__nfam_is_fullsib_families,_these_originated_from_a_diallel_among_10_plants.</t>
  </si>
  <si>
    <t>number_of_inner_bracts</t>
  </si>
  <si>
    <t>number_of_bracts</t>
  </si>
  <si>
    <t>total_number_of_florets_per_head</t>
  </si>
  <si>
    <t>length_of_parastichies</t>
  </si>
  <si>
    <t>number_of_peripheral_achenes</t>
  </si>
  <si>
    <t>number_of_intermediate_achenes</t>
  </si>
  <si>
    <t>number_of_central_achenes</t>
  </si>
  <si>
    <t>total_number_of_achenes_per_head</t>
  </si>
  <si>
    <t>percentage_of_peripheral_achenes</t>
  </si>
  <si>
    <t>Variance_components_in_Table_3,_summary_stats_in_Table_1._Assumed_mean_is_x100_in_analysis._Computed_Vp_from_reported_heritability_and_Va,_not_from_summary_stats.__nfam_is_fullsib_families,_these_originated_from_a_diallel_among_10_plants.</t>
  </si>
  <si>
    <t>percentage_of_intermediate_achenes</t>
  </si>
  <si>
    <t>percentage_of_central_achenes</t>
  </si>
  <si>
    <t>Table_2</t>
  </si>
  <si>
    <t>Ashman_2003</t>
  </si>
  <si>
    <t>Summary_stats_in_Table_2._Computed_Vp_from_SE_and_n._nfam_is_number_of_sires,_210_dams._Used_means_and_heritabilities_for_all_populations_pooled.</t>
  </si>
  <si>
    <t>ovules_per_flower</t>
  </si>
  <si>
    <t>pollen_per_flower</t>
  </si>
  <si>
    <t>Table_4_ALL</t>
  </si>
  <si>
    <t>Crawford_County_3_pops</t>
  </si>
  <si>
    <t>p2</t>
  </si>
  <si>
    <t>Caruso_2000</t>
  </si>
  <si>
    <t>I_only_1</t>
  </si>
  <si>
    <t>C_+_I_1</t>
  </si>
  <si>
    <t>I_only_2</t>
  </si>
  <si>
    <t>I_only_3</t>
  </si>
  <si>
    <t>I_only_4</t>
  </si>
  <si>
    <t>C_+_1_2</t>
  </si>
  <si>
    <t>C_+_I_3</t>
  </si>
  <si>
    <t>corP</t>
  </si>
  <si>
    <t>Table</t>
  </si>
  <si>
    <t>Head</t>
  </si>
  <si>
    <t>Wood</t>
  </si>
  <si>
    <t>Colautti_&amp;_Barrett_2011</t>
  </si>
  <si>
    <t>Lythraceae</t>
  </si>
  <si>
    <t>Lythrum</t>
  </si>
  <si>
    <t>salicaria</t>
  </si>
  <si>
    <t>Lythrum_salicaria</t>
  </si>
  <si>
    <t>20_pops</t>
  </si>
  <si>
    <t>growth</t>
  </si>
  <si>
    <t>leaf_growth</t>
  </si>
  <si>
    <t>leaf_area_at_transplant</t>
  </si>
  <si>
    <t>Heritabilities_and_variance_proportions_from_Table_1,_summary_stats_from_Dryad._Pooled_heritability_from_20_populations.</t>
  </si>
  <si>
    <t>height_at_transplant</t>
  </si>
  <si>
    <t>height_at_week_2</t>
  </si>
  <si>
    <t>height_at_week_4</t>
  </si>
  <si>
    <t>stem_width_at_maturity</t>
  </si>
  <si>
    <t>vegetative_size_at_maturity</t>
  </si>
  <si>
    <t>inflorescence_length_at_maturity</t>
  </si>
  <si>
    <t>vegetative_size_at_harvest</t>
  </si>
  <si>
    <t>inflorescence_length_at_harvest</t>
  </si>
  <si>
    <t>final_vegetative_biomass</t>
  </si>
  <si>
    <t>final_inflorescence_biomass</t>
  </si>
  <si>
    <t>Yu_etal_2011</t>
  </si>
  <si>
    <t>Europe_North_America</t>
  </si>
  <si>
    <t>3_pops</t>
  </si>
  <si>
    <t>male_calyx_width</t>
  </si>
  <si>
    <t>nfam_is_halfsib_families,_number_of_fullsib_families_is_145._Grand_mean_from_Dryad_data.</t>
  </si>
  <si>
    <t>female_calyx_width</t>
  </si>
  <si>
    <t>Journal_of_Experimental_Zoology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</si>
</sst>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41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  <xf numFmtId="166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164" fontId="18" fillId="0" borderId="0" xfId="0" applyNumberFormat="1" applyFont="1" applyAlignment="1"/>
    <xf numFmtId="1" fontId="18" fillId="0" borderId="0" xfId="0" applyNumberFormat="1" applyFont="1" applyAlignment="1"/>
    <xf numFmtId="0" fontId="18" fillId="0" borderId="0" xfId="0" applyFont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Normal 2" xfId="42" xr:uid="{C3B5F62A-7F12-485D-B38A-BF139C6E2D91}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33"/>
  <sheetViews>
    <sheetView tabSelected="1" topLeftCell="AM1" zoomScale="80" zoomScaleNormal="80" workbookViewId="0">
      <pane ySplit="1" topLeftCell="A788" activePane="bottomLeft" state="frozen"/>
      <selection activeCell="AI1" sqref="AI1"/>
      <selection pane="bottomLeft" activeCell="AT794" sqref="AT794"/>
    </sheetView>
  </sheetViews>
  <sheetFormatPr defaultColWidth="11.54296875" defaultRowHeight="14.5"/>
  <cols>
    <col min="1" max="3" width="11.54296875" style="6"/>
    <col min="4" max="4" width="24.90625" style="6" customWidth="1"/>
    <col min="5" max="5" width="38.54296875" style="6" customWidth="1"/>
    <col min="6" max="6" width="11.54296875" style="6"/>
    <col min="7" max="7" width="19.81640625" style="6" customWidth="1"/>
    <col min="8" max="8" width="11.54296875" style="6"/>
    <col min="9" max="9" width="17.54296875" style="6" customWidth="1"/>
    <col min="10" max="10" width="26.81640625" style="6" customWidth="1"/>
    <col min="11" max="11" width="14.81640625" style="6" customWidth="1"/>
    <col min="12" max="17" width="11.54296875" style="6"/>
    <col min="18" max="18" width="22.453125" style="6" customWidth="1"/>
    <col min="19" max="19" width="22.6328125" style="6" customWidth="1"/>
    <col min="20" max="20" width="20.453125" style="6" customWidth="1"/>
    <col min="21" max="21" width="25" style="6" customWidth="1"/>
    <col min="22" max="22" width="15.81640625" style="6" customWidth="1"/>
    <col min="23" max="24" width="11.54296875" style="6"/>
    <col min="25" max="25" width="14.453125" style="6" customWidth="1"/>
    <col min="26" max="26" width="11.54296875" style="6"/>
    <col min="27" max="28" width="15.453125" style="6" customWidth="1"/>
    <col min="29" max="29" width="21" style="6" customWidth="1"/>
    <col min="30" max="30" width="33.6328125" style="6" customWidth="1"/>
    <col min="31" max="31" width="36.453125" style="6" customWidth="1"/>
    <col min="32" max="33" width="11.54296875" style="6"/>
    <col min="34" max="34" width="18.08984375" style="6" customWidth="1"/>
    <col min="35" max="35" width="15.1796875" style="6" customWidth="1"/>
    <col min="36" max="48" width="11.54296875" style="6"/>
    <col min="49" max="49" width="11.54296875" style="30"/>
    <col min="50" max="16384" width="11.54296875" style="6"/>
  </cols>
  <sheetData>
    <row r="1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107</v>
      </c>
      <c r="AQ1" s="6" t="s">
        <v>106</v>
      </c>
      <c r="AR1" s="6" t="s">
        <v>689</v>
      </c>
      <c r="AS1" s="6" t="s">
        <v>33</v>
      </c>
      <c r="AT1" s="6" t="s">
        <v>34</v>
      </c>
      <c r="AU1" s="6" t="s">
        <v>35</v>
      </c>
      <c r="AV1" s="6" t="s">
        <v>36</v>
      </c>
      <c r="AW1" s="30" t="s">
        <v>37</v>
      </c>
    </row>
    <row r="2" spans="1:49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76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77</v>
      </c>
      <c r="T2" s="1" t="s">
        <v>78</v>
      </c>
      <c r="U2" s="1" t="s">
        <v>108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 t="s">
        <v>49</v>
      </c>
      <c r="AS2" s="6">
        <v>323.34500000000003</v>
      </c>
      <c r="AT2" s="6">
        <v>4.18</v>
      </c>
      <c r="AU2" s="6">
        <v>0</v>
      </c>
      <c r="AV2" s="6">
        <v>4.8289999999999997</v>
      </c>
      <c r="AW2" s="30" t="s">
        <v>56</v>
      </c>
    </row>
    <row r="3" spans="1:49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76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77</v>
      </c>
      <c r="T3" s="1" t="s">
        <v>78</v>
      </c>
      <c r="U3" s="1" t="s">
        <v>108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 t="s">
        <v>49</v>
      </c>
      <c r="AS3" s="6">
        <v>1.0900000000000001</v>
      </c>
      <c r="AT3" s="6">
        <v>0.189</v>
      </c>
      <c r="AU3" s="6">
        <v>0</v>
      </c>
      <c r="AV3" s="6">
        <v>0.161</v>
      </c>
      <c r="AW3" s="30" t="s">
        <v>56</v>
      </c>
    </row>
    <row r="4" spans="1:49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76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77</v>
      </c>
      <c r="T4" s="1" t="s">
        <v>78</v>
      </c>
      <c r="U4" s="1" t="s">
        <v>108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 t="s">
        <v>49</v>
      </c>
      <c r="AS4" s="6">
        <v>0.68600000000000005</v>
      </c>
      <c r="AT4" s="6">
        <v>0.221</v>
      </c>
      <c r="AU4" s="6">
        <v>0</v>
      </c>
      <c r="AV4" s="6">
        <v>0.17</v>
      </c>
      <c r="AW4" s="30" t="s">
        <v>56</v>
      </c>
    </row>
    <row r="5" spans="1:49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76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77</v>
      </c>
      <c r="T5" s="1" t="s">
        <v>78</v>
      </c>
      <c r="U5" s="1" t="s">
        <v>108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 t="s">
        <v>49</v>
      </c>
      <c r="AS5" s="6">
        <v>0.41399999999999998</v>
      </c>
      <c r="AT5" s="6">
        <v>1.008</v>
      </c>
      <c r="AU5" s="6">
        <v>0</v>
      </c>
      <c r="AV5" s="6">
        <v>0.58899999999999997</v>
      </c>
      <c r="AW5" s="30" t="s">
        <v>56</v>
      </c>
    </row>
    <row r="6" spans="1:49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76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77</v>
      </c>
      <c r="T6" s="1" t="s">
        <v>78</v>
      </c>
      <c r="U6" s="1" t="s">
        <v>108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 t="s">
        <v>49</v>
      </c>
      <c r="AS6" s="6">
        <v>0.91100000000000003</v>
      </c>
      <c r="AT6" s="6">
        <v>0.45400000000000001</v>
      </c>
      <c r="AU6" s="6">
        <v>0</v>
      </c>
      <c r="AV6" s="6">
        <v>0.52800000000000002</v>
      </c>
      <c r="AW6" s="30" t="s">
        <v>56</v>
      </c>
    </row>
    <row r="7" spans="1:49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76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77</v>
      </c>
      <c r="T7" s="1" t="s">
        <v>78</v>
      </c>
      <c r="U7" s="1" t="s">
        <v>108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 t="s">
        <v>49</v>
      </c>
      <c r="AS7" s="6">
        <v>0.14899999999999999</v>
      </c>
      <c r="AT7" s="6">
        <v>0.42199999999999999</v>
      </c>
      <c r="AU7" s="6">
        <v>0</v>
      </c>
      <c r="AV7" s="6">
        <v>0.47799999999999998</v>
      </c>
      <c r="AW7" s="30" t="s">
        <v>56</v>
      </c>
    </row>
    <row r="8" spans="1:49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76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77</v>
      </c>
      <c r="T8" s="1" t="s">
        <v>78</v>
      </c>
      <c r="U8" s="1" t="s">
        <v>108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 t="s">
        <v>49</v>
      </c>
      <c r="AS8" s="6">
        <v>-10.292999999999999</v>
      </c>
      <c r="AT8" s="6" t="s">
        <v>49</v>
      </c>
      <c r="AU8" s="6" t="s">
        <v>49</v>
      </c>
      <c r="AV8" s="6" t="s">
        <v>49</v>
      </c>
      <c r="AW8" s="30" t="s">
        <v>49</v>
      </c>
    </row>
    <row r="9" spans="1:49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76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77</v>
      </c>
      <c r="T9" s="1" t="s">
        <v>78</v>
      </c>
      <c r="U9" s="1" t="s">
        <v>108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 t="s">
        <v>49</v>
      </c>
      <c r="AS9" s="6">
        <v>0.41499999999999998</v>
      </c>
      <c r="AT9" s="6" t="s">
        <v>49</v>
      </c>
      <c r="AU9" s="6" t="s">
        <v>49</v>
      </c>
      <c r="AV9" s="6" t="s">
        <v>49</v>
      </c>
      <c r="AW9" s="30" t="s">
        <v>49</v>
      </c>
    </row>
    <row r="10" spans="1:49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76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77</v>
      </c>
      <c r="T10" s="1" t="s">
        <v>78</v>
      </c>
      <c r="U10" s="1" t="s">
        <v>108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 t="s">
        <v>49</v>
      </c>
      <c r="AS10" s="6">
        <v>-5.5650000000000004</v>
      </c>
      <c r="AT10" s="6" t="s">
        <v>49</v>
      </c>
      <c r="AU10" s="6" t="s">
        <v>49</v>
      </c>
      <c r="AV10" s="6" t="s">
        <v>49</v>
      </c>
      <c r="AW10" s="30" t="s">
        <v>49</v>
      </c>
    </row>
    <row r="11" spans="1:49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76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77</v>
      </c>
      <c r="T11" s="1" t="s">
        <v>78</v>
      </c>
      <c r="U11" s="1" t="s">
        <v>108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 t="s">
        <v>49</v>
      </c>
      <c r="AS11" s="6">
        <v>-0.33300000000000002</v>
      </c>
      <c r="AT11" s="6" t="s">
        <v>49</v>
      </c>
      <c r="AU11" s="6" t="s">
        <v>49</v>
      </c>
      <c r="AV11" s="6" t="s">
        <v>49</v>
      </c>
      <c r="AW11" s="30" t="s">
        <v>49</v>
      </c>
    </row>
    <row r="12" spans="1:49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76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77</v>
      </c>
      <c r="T12" s="1" t="s">
        <v>78</v>
      </c>
      <c r="U12" s="1" t="s">
        <v>108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 t="s">
        <v>49</v>
      </c>
      <c r="AS12" s="6">
        <v>-3.37</v>
      </c>
      <c r="AT12" s="6" t="s">
        <v>49</v>
      </c>
      <c r="AU12" s="6" t="s">
        <v>49</v>
      </c>
      <c r="AV12" s="6" t="s">
        <v>49</v>
      </c>
      <c r="AW12" s="30" t="s">
        <v>49</v>
      </c>
    </row>
    <row r="13" spans="1:49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76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77</v>
      </c>
      <c r="T13" s="1" t="s">
        <v>78</v>
      </c>
      <c r="U13" s="1" t="s">
        <v>108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 t="s">
        <v>49</v>
      </c>
      <c r="AS13" s="6">
        <v>0.60199999999999998</v>
      </c>
      <c r="AT13" s="6" t="s">
        <v>49</v>
      </c>
      <c r="AU13" s="6" t="s">
        <v>49</v>
      </c>
      <c r="AV13" s="6" t="s">
        <v>49</v>
      </c>
      <c r="AW13" s="30" t="s">
        <v>49</v>
      </c>
    </row>
    <row r="14" spans="1:49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76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77</v>
      </c>
      <c r="T14" s="1" t="s">
        <v>78</v>
      </c>
      <c r="U14" s="1" t="s">
        <v>108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 t="s">
        <v>49</v>
      </c>
      <c r="AS14" s="6">
        <v>0.106</v>
      </c>
      <c r="AT14" s="6" t="s">
        <v>49</v>
      </c>
      <c r="AU14" s="6" t="s">
        <v>49</v>
      </c>
      <c r="AV14" s="6" t="s">
        <v>49</v>
      </c>
      <c r="AW14" s="30" t="s">
        <v>49</v>
      </c>
    </row>
    <row r="15" spans="1:49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76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77</v>
      </c>
      <c r="T15" s="1" t="s">
        <v>78</v>
      </c>
      <c r="U15" s="1" t="s">
        <v>108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 t="s">
        <v>49</v>
      </c>
      <c r="AS15" s="6">
        <v>0.28599999999999998</v>
      </c>
      <c r="AT15" s="6" t="s">
        <v>49</v>
      </c>
      <c r="AU15" s="6" t="s">
        <v>49</v>
      </c>
      <c r="AV15" s="6" t="s">
        <v>49</v>
      </c>
      <c r="AW15" s="30" t="s">
        <v>49</v>
      </c>
    </row>
    <row r="16" spans="1:49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76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77</v>
      </c>
      <c r="T16" s="1" t="s">
        <v>78</v>
      </c>
      <c r="U16" s="1" t="s">
        <v>108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 t="s">
        <v>49</v>
      </c>
      <c r="AS16" s="6">
        <v>0.188</v>
      </c>
      <c r="AT16" s="6" t="s">
        <v>49</v>
      </c>
      <c r="AU16" s="6" t="s">
        <v>49</v>
      </c>
      <c r="AV16" s="6" t="s">
        <v>49</v>
      </c>
      <c r="AW16" s="30" t="s">
        <v>49</v>
      </c>
    </row>
    <row r="17" spans="1:49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76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77</v>
      </c>
      <c r="T17" s="1" t="s">
        <v>78</v>
      </c>
      <c r="U17" s="1" t="s">
        <v>108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 t="s">
        <v>49</v>
      </c>
      <c r="AS17" s="6">
        <v>2.1000000000000001E-2</v>
      </c>
      <c r="AT17" s="6" t="s">
        <v>49</v>
      </c>
      <c r="AU17" s="6" t="s">
        <v>49</v>
      </c>
      <c r="AV17" s="6" t="s">
        <v>49</v>
      </c>
      <c r="AW17" s="30" t="s">
        <v>49</v>
      </c>
    </row>
    <row r="18" spans="1:49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76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77</v>
      </c>
      <c r="T18" s="1" t="s">
        <v>78</v>
      </c>
      <c r="U18" s="1" t="s">
        <v>108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 t="s">
        <v>49</v>
      </c>
      <c r="AS18" s="6">
        <v>0.23499999999999999</v>
      </c>
      <c r="AT18" s="6" t="s">
        <v>49</v>
      </c>
      <c r="AU18" s="6" t="s">
        <v>49</v>
      </c>
      <c r="AV18" s="6" t="s">
        <v>49</v>
      </c>
      <c r="AW18" s="30" t="s">
        <v>49</v>
      </c>
    </row>
    <row r="19" spans="1:49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76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77</v>
      </c>
      <c r="T19" s="1" t="s">
        <v>78</v>
      </c>
      <c r="U19" s="1" t="s">
        <v>108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 t="s">
        <v>49</v>
      </c>
      <c r="AS19" s="6">
        <v>3.7999999999999999E-2</v>
      </c>
      <c r="AT19" s="6" t="s">
        <v>49</v>
      </c>
      <c r="AU19" s="6" t="s">
        <v>49</v>
      </c>
      <c r="AV19" s="6" t="s">
        <v>49</v>
      </c>
      <c r="AW19" s="30" t="s">
        <v>49</v>
      </c>
    </row>
    <row r="20" spans="1:49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76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77</v>
      </c>
      <c r="T20" s="1" t="s">
        <v>78</v>
      </c>
      <c r="U20" s="1" t="s">
        <v>108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 t="s">
        <v>49</v>
      </c>
      <c r="AS20" s="6">
        <v>0.129</v>
      </c>
      <c r="AT20" s="6" t="s">
        <v>49</v>
      </c>
      <c r="AU20" s="6" t="s">
        <v>49</v>
      </c>
      <c r="AV20" s="6" t="s">
        <v>49</v>
      </c>
      <c r="AW20" s="30" t="s">
        <v>49</v>
      </c>
    </row>
    <row r="21" spans="1:49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76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77</v>
      </c>
      <c r="T21" s="1" t="s">
        <v>78</v>
      </c>
      <c r="U21" s="1" t="s">
        <v>108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 t="s">
        <v>49</v>
      </c>
      <c r="AS21" s="6">
        <v>0.157</v>
      </c>
      <c r="AT21" s="6" t="s">
        <v>49</v>
      </c>
      <c r="AU21" s="6" t="s">
        <v>49</v>
      </c>
      <c r="AV21" s="6" t="s">
        <v>49</v>
      </c>
      <c r="AW21" s="30" t="s">
        <v>49</v>
      </c>
    </row>
    <row r="22" spans="1:49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76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77</v>
      </c>
      <c r="T22" s="1" t="s">
        <v>78</v>
      </c>
      <c r="U22" s="1" t="s">
        <v>108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 t="s">
        <v>49</v>
      </c>
      <c r="AS22" s="6">
        <v>0.106</v>
      </c>
      <c r="AT22" s="6" t="s">
        <v>49</v>
      </c>
      <c r="AU22" s="6" t="s">
        <v>49</v>
      </c>
      <c r="AV22" s="6" t="s">
        <v>49</v>
      </c>
      <c r="AW22" s="30" t="s">
        <v>49</v>
      </c>
    </row>
    <row r="23" spans="1:49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76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77</v>
      </c>
      <c r="T23" s="1" t="s">
        <v>78</v>
      </c>
      <c r="U23" s="1" t="s">
        <v>108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 t="s">
        <v>49</v>
      </c>
      <c r="AS23" s="6">
        <v>421.45400000000001</v>
      </c>
      <c r="AT23" s="6">
        <v>5.7789999999999999</v>
      </c>
      <c r="AU23" s="6">
        <v>0</v>
      </c>
      <c r="AV23" s="6">
        <v>4.3239999999999998</v>
      </c>
      <c r="AW23" s="30" t="s">
        <v>56</v>
      </c>
    </row>
    <row r="24" spans="1:49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76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77</v>
      </c>
      <c r="T24" s="1" t="s">
        <v>78</v>
      </c>
      <c r="U24" s="1" t="s">
        <v>108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 t="s">
        <v>49</v>
      </c>
      <c r="AS24" s="6">
        <v>1.23</v>
      </c>
      <c r="AT24" s="6">
        <v>0.22900000000000001</v>
      </c>
      <c r="AU24" s="6">
        <v>0</v>
      </c>
      <c r="AV24" s="6">
        <v>0.14899999999999999</v>
      </c>
      <c r="AW24" s="30" t="s">
        <v>56</v>
      </c>
    </row>
    <row r="25" spans="1:49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76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77</v>
      </c>
      <c r="T25" s="1" t="s">
        <v>78</v>
      </c>
      <c r="U25" s="1" t="s">
        <v>108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 t="s">
        <v>49</v>
      </c>
      <c r="AS25" s="6">
        <v>0.97899999999999998</v>
      </c>
      <c r="AT25" s="6">
        <v>0.34</v>
      </c>
      <c r="AU25" s="6">
        <v>0</v>
      </c>
      <c r="AV25" s="6">
        <v>0.17299999999999999</v>
      </c>
      <c r="AW25" s="30" t="s">
        <v>56</v>
      </c>
    </row>
    <row r="26" spans="1:49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76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77</v>
      </c>
      <c r="T26" s="1" t="s">
        <v>78</v>
      </c>
      <c r="U26" s="1" t="s">
        <v>108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 t="s">
        <v>49</v>
      </c>
      <c r="AS26" s="6">
        <v>0.47499999999999998</v>
      </c>
      <c r="AT26" s="6">
        <v>1.131</v>
      </c>
      <c r="AU26" s="6">
        <v>0</v>
      </c>
      <c r="AV26" s="6">
        <v>0.59599999999999997</v>
      </c>
      <c r="AW26" s="30" t="s">
        <v>56</v>
      </c>
    </row>
    <row r="27" spans="1:49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76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77</v>
      </c>
      <c r="T27" s="1" t="s">
        <v>78</v>
      </c>
      <c r="U27" s="1" t="s">
        <v>108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 t="s">
        <v>49</v>
      </c>
      <c r="AS27" s="6">
        <v>1.915</v>
      </c>
      <c r="AT27" s="6">
        <v>1.135</v>
      </c>
      <c r="AU27" s="6">
        <v>0</v>
      </c>
      <c r="AV27" s="6">
        <v>0.627</v>
      </c>
      <c r="AW27" s="30" t="s">
        <v>56</v>
      </c>
    </row>
    <row r="28" spans="1:49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76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77</v>
      </c>
      <c r="T28" s="1" t="s">
        <v>78</v>
      </c>
      <c r="U28" s="1" t="s">
        <v>108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 t="s">
        <v>49</v>
      </c>
      <c r="AS28" s="6">
        <v>0.24099999999999999</v>
      </c>
      <c r="AT28" s="6">
        <v>0.68500000000000005</v>
      </c>
      <c r="AU28" s="6">
        <v>0</v>
      </c>
      <c r="AV28" s="6">
        <v>0.42699999999999999</v>
      </c>
      <c r="AW28" s="30" t="s">
        <v>56</v>
      </c>
    </row>
    <row r="29" spans="1:49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76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77</v>
      </c>
      <c r="T29" s="1" t="s">
        <v>78</v>
      </c>
      <c r="U29" s="1" t="s">
        <v>108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 t="s">
        <v>49</v>
      </c>
      <c r="AS29" s="6">
        <v>-5.375</v>
      </c>
      <c r="AT29" s="6" t="s">
        <v>49</v>
      </c>
      <c r="AU29" s="6" t="s">
        <v>49</v>
      </c>
      <c r="AV29" s="6" t="s">
        <v>49</v>
      </c>
      <c r="AW29" s="30" t="s">
        <v>49</v>
      </c>
    </row>
    <row r="30" spans="1:49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76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77</v>
      </c>
      <c r="T30" s="1" t="s">
        <v>78</v>
      </c>
      <c r="U30" s="1" t="s">
        <v>108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 t="s">
        <v>49</v>
      </c>
      <c r="AS30" s="6">
        <v>-0.12</v>
      </c>
      <c r="AT30" s="6" t="s">
        <v>49</v>
      </c>
      <c r="AU30" s="6" t="s">
        <v>49</v>
      </c>
      <c r="AV30" s="6" t="s">
        <v>49</v>
      </c>
      <c r="AW30" s="30" t="s">
        <v>49</v>
      </c>
    </row>
    <row r="31" spans="1:49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76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77</v>
      </c>
      <c r="T31" s="1" t="s">
        <v>78</v>
      </c>
      <c r="U31" s="1" t="s">
        <v>108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 t="s">
        <v>49</v>
      </c>
      <c r="AS31" s="6">
        <v>-6.0060000000000002</v>
      </c>
      <c r="AT31" s="6" t="s">
        <v>49</v>
      </c>
      <c r="AU31" s="6" t="s">
        <v>49</v>
      </c>
      <c r="AV31" s="6" t="s">
        <v>49</v>
      </c>
      <c r="AW31" s="30" t="s">
        <v>49</v>
      </c>
    </row>
    <row r="32" spans="1:49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76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77</v>
      </c>
      <c r="T32" s="1" t="s">
        <v>78</v>
      </c>
      <c r="U32" s="1" t="s">
        <v>108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 t="s">
        <v>49</v>
      </c>
      <c r="AS32" s="6">
        <v>-1.7689999999999999</v>
      </c>
      <c r="AT32" s="6" t="s">
        <v>49</v>
      </c>
      <c r="AU32" s="6" t="s">
        <v>49</v>
      </c>
      <c r="AV32" s="6" t="s">
        <v>49</v>
      </c>
      <c r="AW32" s="30" t="s">
        <v>49</v>
      </c>
    </row>
    <row r="33" spans="1:49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76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77</v>
      </c>
      <c r="T33" s="1" t="s">
        <v>78</v>
      </c>
      <c r="U33" s="1" t="s">
        <v>108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 t="s">
        <v>49</v>
      </c>
      <c r="AS33" s="6">
        <v>-3.4209999999999998</v>
      </c>
      <c r="AT33" s="6" t="s">
        <v>49</v>
      </c>
      <c r="AU33" s="6" t="s">
        <v>49</v>
      </c>
      <c r="AV33" s="6" t="s">
        <v>49</v>
      </c>
      <c r="AW33" s="30" t="s">
        <v>49</v>
      </c>
    </row>
    <row r="34" spans="1:49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76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77</v>
      </c>
      <c r="T34" s="1" t="s">
        <v>78</v>
      </c>
      <c r="U34" s="1" t="s">
        <v>108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 t="s">
        <v>49</v>
      </c>
      <c r="AS34" s="6">
        <v>0.78700000000000003</v>
      </c>
      <c r="AT34" s="6" t="s">
        <v>49</v>
      </c>
      <c r="AU34" s="6" t="s">
        <v>49</v>
      </c>
      <c r="AV34" s="6" t="s">
        <v>49</v>
      </c>
      <c r="AW34" s="30" t="s">
        <v>49</v>
      </c>
    </row>
    <row r="35" spans="1:49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76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77</v>
      </c>
      <c r="T35" s="1" t="s">
        <v>78</v>
      </c>
      <c r="U35" s="1" t="s">
        <v>108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 t="s">
        <v>49</v>
      </c>
      <c r="AS35" s="6">
        <v>-7.4999999999999997E-2</v>
      </c>
      <c r="AT35" s="6" t="s">
        <v>49</v>
      </c>
      <c r="AU35" s="6" t="s">
        <v>49</v>
      </c>
      <c r="AV35" s="6" t="s">
        <v>49</v>
      </c>
      <c r="AW35" s="30" t="s">
        <v>49</v>
      </c>
    </row>
    <row r="36" spans="1:49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76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77</v>
      </c>
      <c r="T36" s="1" t="s">
        <v>78</v>
      </c>
      <c r="U36" s="1" t="s">
        <v>108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 t="s">
        <v>49</v>
      </c>
      <c r="AS36" s="6">
        <v>0.05</v>
      </c>
      <c r="AT36" s="6" t="s">
        <v>49</v>
      </c>
      <c r="AU36" s="6" t="s">
        <v>49</v>
      </c>
      <c r="AV36" s="6" t="s">
        <v>49</v>
      </c>
      <c r="AW36" s="30" t="s">
        <v>49</v>
      </c>
    </row>
    <row r="37" spans="1:49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76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77</v>
      </c>
      <c r="T37" s="1" t="s">
        <v>78</v>
      </c>
      <c r="U37" s="1" t="s">
        <v>108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 t="s">
        <v>49</v>
      </c>
      <c r="AS37" s="6">
        <v>5.8999999999999997E-2</v>
      </c>
      <c r="AT37" s="6" t="s">
        <v>49</v>
      </c>
      <c r="AU37" s="6" t="s">
        <v>49</v>
      </c>
      <c r="AV37" s="6" t="s">
        <v>49</v>
      </c>
      <c r="AW37" s="30" t="s">
        <v>49</v>
      </c>
    </row>
    <row r="38" spans="1:49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76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77</v>
      </c>
      <c r="T38" s="1" t="s">
        <v>78</v>
      </c>
      <c r="U38" s="1" t="s">
        <v>108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 t="s">
        <v>49</v>
      </c>
      <c r="AS38" s="6">
        <v>-0.14399999999999999</v>
      </c>
      <c r="AT38" s="6" t="s">
        <v>49</v>
      </c>
      <c r="AU38" s="6" t="s">
        <v>49</v>
      </c>
      <c r="AV38" s="6" t="s">
        <v>49</v>
      </c>
      <c r="AW38" s="30" t="s">
        <v>49</v>
      </c>
    </row>
    <row r="39" spans="1:49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76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77</v>
      </c>
      <c r="T39" s="1" t="s">
        <v>78</v>
      </c>
      <c r="U39" s="1" t="s">
        <v>108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 t="s">
        <v>49</v>
      </c>
      <c r="AS39" s="6">
        <v>3.3000000000000002E-2</v>
      </c>
      <c r="AT39" s="6" t="s">
        <v>49</v>
      </c>
      <c r="AU39" s="6" t="s">
        <v>49</v>
      </c>
      <c r="AV39" s="6" t="s">
        <v>49</v>
      </c>
      <c r="AW39" s="30" t="s">
        <v>49</v>
      </c>
    </row>
    <row r="40" spans="1:49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76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77</v>
      </c>
      <c r="T40" s="1" t="s">
        <v>78</v>
      </c>
      <c r="U40" s="1" t="s">
        <v>108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 t="s">
        <v>49</v>
      </c>
      <c r="AS40" s="6">
        <v>-3.7999999999999999E-2</v>
      </c>
      <c r="AT40" s="6" t="s">
        <v>49</v>
      </c>
      <c r="AU40" s="6" t="s">
        <v>49</v>
      </c>
      <c r="AV40" s="6" t="s">
        <v>49</v>
      </c>
      <c r="AW40" s="30" t="s">
        <v>49</v>
      </c>
    </row>
    <row r="41" spans="1:49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76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77</v>
      </c>
      <c r="T41" s="1" t="s">
        <v>78</v>
      </c>
      <c r="U41" s="1" t="s">
        <v>108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 t="s">
        <v>49</v>
      </c>
      <c r="AS41" s="6">
        <v>0.41799999999999998</v>
      </c>
      <c r="AT41" s="6" t="s">
        <v>49</v>
      </c>
      <c r="AU41" s="6" t="s">
        <v>49</v>
      </c>
      <c r="AV41" s="6" t="s">
        <v>49</v>
      </c>
      <c r="AW41" s="30" t="s">
        <v>49</v>
      </c>
    </row>
    <row r="42" spans="1:49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76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77</v>
      </c>
      <c r="T42" s="1" t="s">
        <v>78</v>
      </c>
      <c r="U42" s="1" t="s">
        <v>108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 t="s">
        <v>49</v>
      </c>
      <c r="AS42" s="6">
        <v>0.158</v>
      </c>
      <c r="AT42" s="6" t="s">
        <v>49</v>
      </c>
      <c r="AU42" s="6" t="s">
        <v>49</v>
      </c>
      <c r="AV42" s="6" t="s">
        <v>49</v>
      </c>
      <c r="AW42" s="30" t="s">
        <v>49</v>
      </c>
    </row>
    <row r="43" spans="1:49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76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77</v>
      </c>
      <c r="T43" s="1" t="s">
        <v>78</v>
      </c>
      <c r="U43" s="1" t="s">
        <v>108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 t="s">
        <v>49</v>
      </c>
      <c r="AS43" s="6">
        <v>0.39</v>
      </c>
      <c r="AT43" s="6" t="s">
        <v>49</v>
      </c>
      <c r="AU43" s="6" t="s">
        <v>49</v>
      </c>
      <c r="AV43" s="6" t="s">
        <v>49</v>
      </c>
      <c r="AW43" s="30" t="s">
        <v>49</v>
      </c>
    </row>
    <row r="44" spans="1:49" ht="14.4" customHeight="1">
      <c r="A44" s="1">
        <v>1</v>
      </c>
      <c r="B44" s="1" t="s">
        <v>38</v>
      </c>
      <c r="C44" s="1" t="s">
        <v>38</v>
      </c>
      <c r="D44" s="3" t="s">
        <v>548</v>
      </c>
      <c r="E44" s="3" t="s">
        <v>71</v>
      </c>
      <c r="F44" s="3">
        <v>1994</v>
      </c>
      <c r="G44" s="3" t="s">
        <v>72</v>
      </c>
      <c r="H44" s="3" t="s">
        <v>73</v>
      </c>
      <c r="I44" s="3" t="s">
        <v>74</v>
      </c>
      <c r="J44" s="3" t="s">
        <v>75</v>
      </c>
      <c r="K44" s="3" t="s">
        <v>45</v>
      </c>
      <c r="L44" s="3" t="s">
        <v>46</v>
      </c>
      <c r="M44" s="1" t="s">
        <v>12</v>
      </c>
      <c r="N44" s="1" t="s">
        <v>76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77</v>
      </c>
      <c r="T44" s="1" t="s">
        <v>78</v>
      </c>
      <c r="U44" s="1" t="s">
        <v>79</v>
      </c>
      <c r="V44" s="3" t="s">
        <v>80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81</v>
      </c>
      <c r="AD44" s="1" t="s">
        <v>82</v>
      </c>
      <c r="AE44" s="1" t="s">
        <v>82</v>
      </c>
      <c r="AF44" s="1" t="s">
        <v>60</v>
      </c>
      <c r="AG44" s="1" t="s">
        <v>61</v>
      </c>
      <c r="AH44" s="1" t="s">
        <v>83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6" t="s">
        <v>49</v>
      </c>
      <c r="AS44" s="1">
        <f t="shared" ref="AS44:AS50" si="0">AL44*AN44</f>
        <v>0.43470000000000003</v>
      </c>
      <c r="AT44" s="4">
        <f t="shared" ref="AT44:AT50" si="1">AS44/(AM44^2)*100</f>
        <v>1.6453693469999549</v>
      </c>
      <c r="AU44" s="5">
        <v>0</v>
      </c>
      <c r="AV44" s="4">
        <f t="shared" ref="AV44:AV50" si="2">AT44*(1-AL44)/AL44</f>
        <v>0.39856773001862245</v>
      </c>
      <c r="AW44" s="29" t="s">
        <v>130</v>
      </c>
    </row>
    <row r="45" spans="1:49" ht="14.4" customHeight="1">
      <c r="A45" s="1">
        <v>1</v>
      </c>
      <c r="B45" s="1" t="s">
        <v>38</v>
      </c>
      <c r="C45" s="1" t="s">
        <v>38</v>
      </c>
      <c r="D45" s="3" t="s">
        <v>548</v>
      </c>
      <c r="E45" s="3" t="s">
        <v>71</v>
      </c>
      <c r="F45" s="3">
        <v>1994</v>
      </c>
      <c r="G45" s="3" t="s">
        <v>72</v>
      </c>
      <c r="H45" s="3" t="s">
        <v>73</v>
      </c>
      <c r="I45" s="3" t="s">
        <v>74</v>
      </c>
      <c r="J45" s="3" t="s">
        <v>75</v>
      </c>
      <c r="K45" s="3" t="s">
        <v>45</v>
      </c>
      <c r="L45" s="3" t="s">
        <v>46</v>
      </c>
      <c r="M45" s="1" t="s">
        <v>12</v>
      </c>
      <c r="N45" s="1" t="s">
        <v>76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77</v>
      </c>
      <c r="T45" s="1" t="s">
        <v>78</v>
      </c>
      <c r="U45" s="1" t="s">
        <v>79</v>
      </c>
      <c r="V45" s="3" t="s">
        <v>80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84</v>
      </c>
      <c r="AE45" s="1" t="s">
        <v>84</v>
      </c>
      <c r="AF45" s="1" t="s">
        <v>60</v>
      </c>
      <c r="AG45" s="1" t="s">
        <v>61</v>
      </c>
      <c r="AH45" s="1" t="s">
        <v>83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6" t="s">
        <v>49</v>
      </c>
      <c r="AS45" s="1">
        <f t="shared" si="0"/>
        <v>3.2279100000000005</v>
      </c>
      <c r="AT45" s="4">
        <f t="shared" si="1"/>
        <v>0.95032192022196005</v>
      </c>
      <c r="AU45" s="5">
        <v>0</v>
      </c>
      <c r="AV45" s="4">
        <f t="shared" si="2"/>
        <v>0.22436524939727356</v>
      </c>
      <c r="AW45" s="29" t="s">
        <v>130</v>
      </c>
    </row>
    <row r="46" spans="1:49" ht="14.4" customHeight="1">
      <c r="A46" s="1">
        <v>1</v>
      </c>
      <c r="B46" s="1" t="s">
        <v>38</v>
      </c>
      <c r="C46" s="1" t="s">
        <v>38</v>
      </c>
      <c r="D46" s="3" t="s">
        <v>548</v>
      </c>
      <c r="E46" s="3" t="s">
        <v>71</v>
      </c>
      <c r="F46" s="3">
        <v>1994</v>
      </c>
      <c r="G46" s="3" t="s">
        <v>72</v>
      </c>
      <c r="H46" s="3" t="s">
        <v>73</v>
      </c>
      <c r="I46" s="3" t="s">
        <v>74</v>
      </c>
      <c r="J46" s="3" t="s">
        <v>75</v>
      </c>
      <c r="K46" s="3" t="s">
        <v>45</v>
      </c>
      <c r="L46" s="3" t="s">
        <v>46</v>
      </c>
      <c r="M46" s="1" t="s">
        <v>12</v>
      </c>
      <c r="N46" s="1" t="s">
        <v>76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77</v>
      </c>
      <c r="T46" s="1" t="s">
        <v>78</v>
      </c>
      <c r="U46" s="1" t="s">
        <v>79</v>
      </c>
      <c r="V46" s="3" t="s">
        <v>80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85</v>
      </c>
      <c r="AE46" s="1" t="s">
        <v>85</v>
      </c>
      <c r="AF46" s="1" t="s">
        <v>60</v>
      </c>
      <c r="AG46" s="1" t="s">
        <v>61</v>
      </c>
      <c r="AH46" s="1" t="s">
        <v>83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6" t="s">
        <v>49</v>
      </c>
      <c r="AS46" s="1">
        <f t="shared" si="0"/>
        <v>1.4100600000000001</v>
      </c>
      <c r="AT46" s="4">
        <f t="shared" si="1"/>
        <v>0.79833952444768319</v>
      </c>
      <c r="AU46" s="5">
        <v>0</v>
      </c>
      <c r="AV46" s="4">
        <f t="shared" si="2"/>
        <v>0.40761141882676266</v>
      </c>
      <c r="AW46" s="29" t="s">
        <v>130</v>
      </c>
    </row>
    <row r="47" spans="1:49" ht="14.4" customHeight="1">
      <c r="A47" s="1">
        <v>1</v>
      </c>
      <c r="B47" s="1" t="s">
        <v>38</v>
      </c>
      <c r="C47" s="1" t="s">
        <v>38</v>
      </c>
      <c r="D47" s="3" t="s">
        <v>548</v>
      </c>
      <c r="E47" s="3" t="s">
        <v>71</v>
      </c>
      <c r="F47" s="3">
        <v>1994</v>
      </c>
      <c r="G47" s="3" t="s">
        <v>72</v>
      </c>
      <c r="H47" s="3" t="s">
        <v>73</v>
      </c>
      <c r="I47" s="3" t="s">
        <v>74</v>
      </c>
      <c r="J47" s="3" t="s">
        <v>75</v>
      </c>
      <c r="K47" s="3" t="s">
        <v>45</v>
      </c>
      <c r="L47" s="3" t="s">
        <v>46</v>
      </c>
      <c r="M47" s="1" t="s">
        <v>12</v>
      </c>
      <c r="N47" s="1" t="s">
        <v>76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77</v>
      </c>
      <c r="T47" s="1" t="s">
        <v>78</v>
      </c>
      <c r="U47" s="1" t="s">
        <v>79</v>
      </c>
      <c r="V47" s="3" t="s">
        <v>80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86</v>
      </c>
      <c r="AD47" s="1" t="s">
        <v>87</v>
      </c>
      <c r="AE47" s="1" t="s">
        <v>87</v>
      </c>
      <c r="AF47" s="1" t="s">
        <v>60</v>
      </c>
      <c r="AG47" s="1" t="s">
        <v>61</v>
      </c>
      <c r="AH47" s="1" t="s">
        <v>83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6" t="s">
        <v>49</v>
      </c>
      <c r="AS47" s="1">
        <f t="shared" si="0"/>
        <v>3.01</v>
      </c>
      <c r="AT47" s="4">
        <f t="shared" si="1"/>
        <v>1.2528616024973984</v>
      </c>
      <c r="AU47" s="5">
        <v>0</v>
      </c>
      <c r="AV47" s="4">
        <f t="shared" si="2"/>
        <v>0.17898022892819979</v>
      </c>
      <c r="AW47" s="29" t="s">
        <v>130</v>
      </c>
    </row>
    <row r="48" spans="1:49" ht="14.4" customHeight="1">
      <c r="A48" s="1">
        <v>1</v>
      </c>
      <c r="B48" s="1" t="s">
        <v>38</v>
      </c>
      <c r="C48" s="1" t="s">
        <v>38</v>
      </c>
      <c r="D48" s="3" t="s">
        <v>548</v>
      </c>
      <c r="E48" s="3" t="s">
        <v>71</v>
      </c>
      <c r="F48" s="3">
        <v>1994</v>
      </c>
      <c r="G48" s="3" t="s">
        <v>72</v>
      </c>
      <c r="H48" s="3" t="s">
        <v>73</v>
      </c>
      <c r="I48" s="3" t="s">
        <v>74</v>
      </c>
      <c r="J48" s="3" t="s">
        <v>75</v>
      </c>
      <c r="K48" s="3" t="s">
        <v>45</v>
      </c>
      <c r="L48" s="3" t="s">
        <v>46</v>
      </c>
      <c r="M48" s="1" t="s">
        <v>12</v>
      </c>
      <c r="N48" s="1" t="s">
        <v>76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77</v>
      </c>
      <c r="T48" s="1" t="s">
        <v>78</v>
      </c>
      <c r="U48" s="1" t="s">
        <v>79</v>
      </c>
      <c r="V48" s="3" t="s">
        <v>80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86</v>
      </c>
      <c r="AD48" s="1" t="s">
        <v>88</v>
      </c>
      <c r="AE48" s="1" t="s">
        <v>88</v>
      </c>
      <c r="AF48" s="1" t="s">
        <v>60</v>
      </c>
      <c r="AG48" s="1" t="s">
        <v>61</v>
      </c>
      <c r="AH48" s="1" t="s">
        <v>83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6" t="s">
        <v>49</v>
      </c>
      <c r="AS48" s="1">
        <f t="shared" si="0"/>
        <v>2.0893199999999998</v>
      </c>
      <c r="AT48" s="4">
        <f t="shared" si="1"/>
        <v>1.1864873597970162</v>
      </c>
      <c r="AU48" s="5">
        <v>0</v>
      </c>
      <c r="AV48" s="4">
        <f t="shared" si="2"/>
        <v>0.3808671445583553</v>
      </c>
      <c r="AW48" s="29" t="s">
        <v>130</v>
      </c>
    </row>
    <row r="49" spans="1:49" ht="14.4" customHeight="1">
      <c r="A49" s="1">
        <v>1</v>
      </c>
      <c r="B49" s="1" t="s">
        <v>38</v>
      </c>
      <c r="C49" s="1" t="s">
        <v>38</v>
      </c>
      <c r="D49" s="3" t="s">
        <v>548</v>
      </c>
      <c r="E49" s="3" t="s">
        <v>71</v>
      </c>
      <c r="F49" s="3">
        <v>1994</v>
      </c>
      <c r="G49" s="3" t="s">
        <v>72</v>
      </c>
      <c r="H49" s="3" t="s">
        <v>73</v>
      </c>
      <c r="I49" s="3" t="s">
        <v>74</v>
      </c>
      <c r="J49" s="3" t="s">
        <v>75</v>
      </c>
      <c r="K49" s="3" t="s">
        <v>45</v>
      </c>
      <c r="L49" s="3" t="s">
        <v>46</v>
      </c>
      <c r="M49" s="1" t="s">
        <v>12</v>
      </c>
      <c r="N49" s="1" t="s">
        <v>76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77</v>
      </c>
      <c r="T49" s="1" t="s">
        <v>78</v>
      </c>
      <c r="U49" s="1" t="s">
        <v>79</v>
      </c>
      <c r="V49" s="3" t="s">
        <v>80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89</v>
      </c>
      <c r="AE49" s="1" t="s">
        <v>89</v>
      </c>
      <c r="AF49" s="1" t="s">
        <v>60</v>
      </c>
      <c r="AG49" s="1" t="s">
        <v>61</v>
      </c>
      <c r="AH49" s="1" t="s">
        <v>83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6" t="s">
        <v>49</v>
      </c>
      <c r="AS49" s="1">
        <f t="shared" si="0"/>
        <v>7.18912</v>
      </c>
      <c r="AT49" s="4">
        <f t="shared" si="1"/>
        <v>1.4289505031654433</v>
      </c>
      <c r="AU49" s="5">
        <v>0</v>
      </c>
      <c r="AV49" s="4">
        <f t="shared" si="2"/>
        <v>2.3714497712107359</v>
      </c>
      <c r="AW49" s="29" t="s">
        <v>130</v>
      </c>
    </row>
    <row r="50" spans="1:49" ht="14.4" customHeight="1">
      <c r="A50" s="1">
        <v>1</v>
      </c>
      <c r="B50" s="1" t="s">
        <v>38</v>
      </c>
      <c r="C50" s="1" t="s">
        <v>38</v>
      </c>
      <c r="D50" s="3" t="s">
        <v>548</v>
      </c>
      <c r="E50" s="3" t="s">
        <v>71</v>
      </c>
      <c r="F50" s="3">
        <v>1994</v>
      </c>
      <c r="G50" s="3" t="s">
        <v>72</v>
      </c>
      <c r="H50" s="3" t="s">
        <v>73</v>
      </c>
      <c r="I50" s="3" t="s">
        <v>74</v>
      </c>
      <c r="J50" s="3" t="s">
        <v>75</v>
      </c>
      <c r="K50" s="3" t="s">
        <v>45</v>
      </c>
      <c r="L50" s="3" t="s">
        <v>46</v>
      </c>
      <c r="M50" s="1" t="s">
        <v>12</v>
      </c>
      <c r="N50" s="1" t="s">
        <v>76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77</v>
      </c>
      <c r="T50" s="1" t="s">
        <v>78</v>
      </c>
      <c r="U50" s="1" t="s">
        <v>79</v>
      </c>
      <c r="V50" s="3" t="s">
        <v>80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90</v>
      </c>
      <c r="AE50" s="1" t="s">
        <v>90</v>
      </c>
      <c r="AF50" s="1" t="s">
        <v>60</v>
      </c>
      <c r="AG50" s="1" t="s">
        <v>61</v>
      </c>
      <c r="AH50" s="1" t="s">
        <v>83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6" t="s">
        <v>49</v>
      </c>
      <c r="AS50" s="1">
        <f t="shared" si="0"/>
        <v>5.8924799999999999</v>
      </c>
      <c r="AT50" s="4">
        <f t="shared" si="1"/>
        <v>1.2854783970177235</v>
      </c>
      <c r="AU50" s="5">
        <v>0</v>
      </c>
      <c r="AV50" s="4">
        <f t="shared" si="2"/>
        <v>0.94625493113804671</v>
      </c>
      <c r="AW50" s="29" t="s">
        <v>130</v>
      </c>
    </row>
    <row r="51" spans="1:49" ht="14.4" customHeight="1">
      <c r="A51" s="1">
        <v>1</v>
      </c>
      <c r="B51" s="1" t="s">
        <v>38</v>
      </c>
      <c r="C51" s="1" t="s">
        <v>38</v>
      </c>
      <c r="D51" s="3" t="s">
        <v>548</v>
      </c>
      <c r="E51" s="3" t="s">
        <v>71</v>
      </c>
      <c r="F51" s="3">
        <v>1994</v>
      </c>
      <c r="G51" s="3" t="s">
        <v>72</v>
      </c>
      <c r="H51" s="3" t="s">
        <v>73</v>
      </c>
      <c r="I51" s="3" t="s">
        <v>74</v>
      </c>
      <c r="J51" s="3" t="s">
        <v>75</v>
      </c>
      <c r="K51" s="3" t="s">
        <v>45</v>
      </c>
      <c r="L51" s="3" t="s">
        <v>46</v>
      </c>
      <c r="M51" s="1" t="s">
        <v>12</v>
      </c>
      <c r="N51" s="1" t="s">
        <v>76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77</v>
      </c>
      <c r="T51" s="1" t="s">
        <v>78</v>
      </c>
      <c r="U51" s="1" t="s">
        <v>79</v>
      </c>
      <c r="V51" s="3" t="s">
        <v>80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91</v>
      </c>
      <c r="AC51" s="1" t="s">
        <v>91</v>
      </c>
      <c r="AD51" s="1" t="s">
        <v>93</v>
      </c>
      <c r="AE51" s="1" t="s">
        <v>93</v>
      </c>
      <c r="AF51" s="1" t="s">
        <v>92</v>
      </c>
      <c r="AG51" s="1" t="s">
        <v>49</v>
      </c>
      <c r="AH51" s="1" t="s">
        <v>83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6" t="s">
        <v>49</v>
      </c>
      <c r="AS51" s="1">
        <v>0.65736720000000004</v>
      </c>
      <c r="AT51" s="4">
        <v>7.594214</v>
      </c>
      <c r="AU51" s="5">
        <v>0</v>
      </c>
      <c r="AV51" s="4" t="s">
        <v>49</v>
      </c>
      <c r="AW51" s="29" t="s">
        <v>130</v>
      </c>
    </row>
    <row r="52" spans="1:49" ht="14.4" customHeight="1">
      <c r="A52" s="1">
        <v>1</v>
      </c>
      <c r="B52" s="1" t="s">
        <v>38</v>
      </c>
      <c r="C52" s="1" t="s">
        <v>38</v>
      </c>
      <c r="D52" s="3" t="s">
        <v>548</v>
      </c>
      <c r="E52" s="3" t="s">
        <v>71</v>
      </c>
      <c r="F52" s="3">
        <v>1994</v>
      </c>
      <c r="G52" s="3" t="s">
        <v>72</v>
      </c>
      <c r="H52" s="3" t="s">
        <v>73</v>
      </c>
      <c r="I52" s="3" t="s">
        <v>74</v>
      </c>
      <c r="J52" s="3" t="s">
        <v>75</v>
      </c>
      <c r="K52" s="3" t="s">
        <v>45</v>
      </c>
      <c r="L52" s="3" t="s">
        <v>46</v>
      </c>
      <c r="M52" s="1" t="s">
        <v>12</v>
      </c>
      <c r="N52" s="1" t="s">
        <v>76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77</v>
      </c>
      <c r="T52" s="1" t="s">
        <v>78</v>
      </c>
      <c r="U52" s="1" t="s">
        <v>79</v>
      </c>
      <c r="V52" s="3" t="s">
        <v>80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94</v>
      </c>
      <c r="AB52" s="1" t="s">
        <v>95</v>
      </c>
      <c r="AC52" s="1" t="s">
        <v>96</v>
      </c>
      <c r="AD52" s="1" t="s">
        <v>97</v>
      </c>
      <c r="AE52" s="1" t="s">
        <v>97</v>
      </c>
      <c r="AF52" s="1" t="s">
        <v>53</v>
      </c>
      <c r="AG52" s="1" t="s">
        <v>53</v>
      </c>
      <c r="AH52" s="1" t="s">
        <v>83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6" t="s">
        <v>49</v>
      </c>
      <c r="AS52" s="1">
        <f t="shared" ref="AS52" si="3">AL52*AN52</f>
        <v>42.901689999999995</v>
      </c>
      <c r="AT52" s="4">
        <f t="shared" ref="AT52" si="4">AS52/(AM52^2)*100</f>
        <v>2.4958346219244554</v>
      </c>
      <c r="AU52" s="5">
        <v>0</v>
      </c>
      <c r="AV52" s="4">
        <f t="shared" ref="AV52" si="5">AT52*(1-AL52)/AL52</f>
        <v>1.4595292796990873</v>
      </c>
      <c r="AW52" s="29" t="s">
        <v>130</v>
      </c>
    </row>
    <row r="53" spans="1:49" ht="14.4" customHeight="1">
      <c r="A53" s="1">
        <v>1</v>
      </c>
      <c r="B53" s="1" t="s">
        <v>38</v>
      </c>
      <c r="C53" s="1" t="s">
        <v>38</v>
      </c>
      <c r="D53" s="3" t="s">
        <v>548</v>
      </c>
      <c r="E53" s="3" t="s">
        <v>71</v>
      </c>
      <c r="F53" s="3">
        <v>1994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45</v>
      </c>
      <c r="L53" s="3" t="s">
        <v>46</v>
      </c>
      <c r="M53" s="1" t="s">
        <v>12</v>
      </c>
      <c r="N53" s="1" t="s">
        <v>76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77</v>
      </c>
      <c r="T53" s="1" t="s">
        <v>78</v>
      </c>
      <c r="U53" s="1" t="s">
        <v>79</v>
      </c>
      <c r="V53" s="3" t="s">
        <v>80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97</v>
      </c>
      <c r="AE53" s="1" t="s">
        <v>89</v>
      </c>
      <c r="AF53" s="1" t="s">
        <v>49</v>
      </c>
      <c r="AG53" s="1" t="s">
        <v>49</v>
      </c>
      <c r="AH53" s="1" t="s">
        <v>83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6" t="s">
        <v>49</v>
      </c>
      <c r="AW53" s="30" t="s">
        <v>49</v>
      </c>
    </row>
    <row r="54" spans="1:49" ht="14.4" customHeight="1">
      <c r="A54" s="1">
        <v>1</v>
      </c>
      <c r="B54" s="1" t="s">
        <v>38</v>
      </c>
      <c r="C54" s="1" t="s">
        <v>38</v>
      </c>
      <c r="D54" s="3" t="s">
        <v>548</v>
      </c>
      <c r="E54" s="3" t="s">
        <v>71</v>
      </c>
      <c r="F54" s="3">
        <v>1994</v>
      </c>
      <c r="G54" s="3" t="s">
        <v>72</v>
      </c>
      <c r="H54" s="3" t="s">
        <v>73</v>
      </c>
      <c r="I54" s="3" t="s">
        <v>74</v>
      </c>
      <c r="J54" s="3" t="s">
        <v>75</v>
      </c>
      <c r="K54" s="3" t="s">
        <v>45</v>
      </c>
      <c r="L54" s="3" t="s">
        <v>46</v>
      </c>
      <c r="M54" s="1" t="s">
        <v>12</v>
      </c>
      <c r="N54" s="1" t="s">
        <v>76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77</v>
      </c>
      <c r="T54" s="1" t="s">
        <v>78</v>
      </c>
      <c r="U54" s="1" t="s">
        <v>79</v>
      </c>
      <c r="V54" s="3" t="s">
        <v>80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97</v>
      </c>
      <c r="AE54" s="1" t="s">
        <v>90</v>
      </c>
      <c r="AF54" s="1" t="s">
        <v>49</v>
      </c>
      <c r="AG54" s="1" t="s">
        <v>49</v>
      </c>
      <c r="AH54" s="1" t="s">
        <v>83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6" t="s">
        <v>49</v>
      </c>
      <c r="AW54" s="30" t="s">
        <v>49</v>
      </c>
    </row>
    <row r="55" spans="1:49" ht="14.4" customHeight="1">
      <c r="A55" s="1">
        <v>1</v>
      </c>
      <c r="B55" s="1" t="s">
        <v>38</v>
      </c>
      <c r="C55" s="1" t="s">
        <v>38</v>
      </c>
      <c r="D55" s="3" t="s">
        <v>548</v>
      </c>
      <c r="E55" s="3" t="s">
        <v>71</v>
      </c>
      <c r="F55" s="3">
        <v>1994</v>
      </c>
      <c r="G55" s="3" t="s">
        <v>72</v>
      </c>
      <c r="H55" s="3" t="s">
        <v>73</v>
      </c>
      <c r="I55" s="3" t="s">
        <v>74</v>
      </c>
      <c r="J55" s="3" t="s">
        <v>75</v>
      </c>
      <c r="K55" s="3" t="s">
        <v>45</v>
      </c>
      <c r="L55" s="3" t="s">
        <v>46</v>
      </c>
      <c r="M55" s="1" t="s">
        <v>12</v>
      </c>
      <c r="N55" s="1" t="s">
        <v>76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77</v>
      </c>
      <c r="T55" s="1" t="s">
        <v>78</v>
      </c>
      <c r="U55" s="1" t="s">
        <v>79</v>
      </c>
      <c r="V55" s="3" t="s">
        <v>80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97</v>
      </c>
      <c r="AE55" s="1" t="s">
        <v>84</v>
      </c>
      <c r="AF55" s="1" t="s">
        <v>49</v>
      </c>
      <c r="AG55" s="1" t="s">
        <v>49</v>
      </c>
      <c r="AH55" s="1" t="s">
        <v>83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6" t="s">
        <v>49</v>
      </c>
      <c r="AW55" s="30" t="s">
        <v>49</v>
      </c>
    </row>
    <row r="56" spans="1:49" ht="14.4" customHeight="1">
      <c r="A56" s="1">
        <v>1</v>
      </c>
      <c r="B56" s="1" t="s">
        <v>38</v>
      </c>
      <c r="C56" s="1" t="s">
        <v>38</v>
      </c>
      <c r="D56" s="3" t="s">
        <v>548</v>
      </c>
      <c r="E56" s="3" t="s">
        <v>71</v>
      </c>
      <c r="F56" s="3">
        <v>1994</v>
      </c>
      <c r="G56" s="3" t="s">
        <v>72</v>
      </c>
      <c r="H56" s="3" t="s">
        <v>73</v>
      </c>
      <c r="I56" s="3" t="s">
        <v>74</v>
      </c>
      <c r="J56" s="3" t="s">
        <v>75</v>
      </c>
      <c r="K56" s="3" t="s">
        <v>45</v>
      </c>
      <c r="L56" s="3" t="s">
        <v>46</v>
      </c>
      <c r="M56" s="1" t="s">
        <v>12</v>
      </c>
      <c r="N56" s="1" t="s">
        <v>76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77</v>
      </c>
      <c r="T56" s="1" t="s">
        <v>78</v>
      </c>
      <c r="U56" s="1" t="s">
        <v>79</v>
      </c>
      <c r="V56" s="3" t="s">
        <v>80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97</v>
      </c>
      <c r="AE56" s="1" t="s">
        <v>88</v>
      </c>
      <c r="AF56" s="1" t="s">
        <v>49</v>
      </c>
      <c r="AG56" s="1" t="s">
        <v>49</v>
      </c>
      <c r="AH56" s="1" t="s">
        <v>83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6" t="s">
        <v>49</v>
      </c>
      <c r="AW56" s="30" t="s">
        <v>49</v>
      </c>
    </row>
    <row r="57" spans="1:49" ht="14.4" customHeight="1">
      <c r="A57" s="1">
        <v>1</v>
      </c>
      <c r="B57" s="1" t="s">
        <v>38</v>
      </c>
      <c r="C57" s="1" t="s">
        <v>38</v>
      </c>
      <c r="D57" s="3" t="s">
        <v>548</v>
      </c>
      <c r="E57" s="3" t="s">
        <v>71</v>
      </c>
      <c r="F57" s="3">
        <v>1994</v>
      </c>
      <c r="G57" s="3" t="s">
        <v>72</v>
      </c>
      <c r="H57" s="3" t="s">
        <v>73</v>
      </c>
      <c r="I57" s="3" t="s">
        <v>74</v>
      </c>
      <c r="J57" s="3" t="s">
        <v>75</v>
      </c>
      <c r="K57" s="3" t="s">
        <v>45</v>
      </c>
      <c r="L57" s="3" t="s">
        <v>46</v>
      </c>
      <c r="M57" s="1" t="s">
        <v>12</v>
      </c>
      <c r="N57" s="1" t="s">
        <v>76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77</v>
      </c>
      <c r="T57" s="1" t="s">
        <v>78</v>
      </c>
      <c r="U57" s="1" t="s">
        <v>79</v>
      </c>
      <c r="V57" s="3" t="s">
        <v>80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97</v>
      </c>
      <c r="AE57" s="1" t="s">
        <v>87</v>
      </c>
      <c r="AF57" s="1" t="s">
        <v>49</v>
      </c>
      <c r="AG57" s="1" t="s">
        <v>49</v>
      </c>
      <c r="AH57" s="1" t="s">
        <v>83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6" t="s">
        <v>49</v>
      </c>
      <c r="AW57" s="30" t="s">
        <v>49</v>
      </c>
    </row>
    <row r="58" spans="1:49" ht="14.4" customHeight="1">
      <c r="A58" s="1">
        <v>1</v>
      </c>
      <c r="B58" s="1" t="s">
        <v>38</v>
      </c>
      <c r="C58" s="1" t="s">
        <v>38</v>
      </c>
      <c r="D58" s="3" t="s">
        <v>548</v>
      </c>
      <c r="E58" s="3" t="s">
        <v>71</v>
      </c>
      <c r="F58" s="3">
        <v>1994</v>
      </c>
      <c r="G58" s="3" t="s">
        <v>72</v>
      </c>
      <c r="H58" s="3" t="s">
        <v>73</v>
      </c>
      <c r="I58" s="3" t="s">
        <v>74</v>
      </c>
      <c r="J58" s="3" t="s">
        <v>75</v>
      </c>
      <c r="K58" s="3" t="s">
        <v>45</v>
      </c>
      <c r="L58" s="3" t="s">
        <v>46</v>
      </c>
      <c r="M58" s="1" t="s">
        <v>12</v>
      </c>
      <c r="N58" s="1" t="s">
        <v>76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77</v>
      </c>
      <c r="T58" s="1" t="s">
        <v>78</v>
      </c>
      <c r="U58" s="1" t="s">
        <v>79</v>
      </c>
      <c r="V58" s="3" t="s">
        <v>80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97</v>
      </c>
      <c r="AE58" s="1" t="s">
        <v>93</v>
      </c>
      <c r="AF58" s="1" t="s">
        <v>49</v>
      </c>
      <c r="AG58" s="1" t="s">
        <v>49</v>
      </c>
      <c r="AH58" s="1" t="s">
        <v>83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6" t="s">
        <v>49</v>
      </c>
      <c r="AW58" s="30" t="s">
        <v>49</v>
      </c>
    </row>
    <row r="59" spans="1:49" ht="14.4" customHeight="1">
      <c r="A59" s="1">
        <v>1</v>
      </c>
      <c r="B59" s="1" t="s">
        <v>38</v>
      </c>
      <c r="C59" s="1" t="s">
        <v>38</v>
      </c>
      <c r="D59" s="3" t="s">
        <v>548</v>
      </c>
      <c r="E59" s="3" t="s">
        <v>71</v>
      </c>
      <c r="F59" s="3">
        <v>1994</v>
      </c>
      <c r="G59" s="3" t="s">
        <v>72</v>
      </c>
      <c r="H59" s="3" t="s">
        <v>73</v>
      </c>
      <c r="I59" s="3" t="s">
        <v>74</v>
      </c>
      <c r="J59" s="3" t="s">
        <v>75</v>
      </c>
      <c r="K59" s="3" t="s">
        <v>45</v>
      </c>
      <c r="L59" s="3" t="s">
        <v>46</v>
      </c>
      <c r="M59" s="1" t="s">
        <v>12</v>
      </c>
      <c r="N59" s="1" t="s">
        <v>76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77</v>
      </c>
      <c r="T59" s="1" t="s">
        <v>78</v>
      </c>
      <c r="U59" s="1" t="s">
        <v>79</v>
      </c>
      <c r="V59" s="3" t="s">
        <v>80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89</v>
      </c>
      <c r="AE59" s="1" t="s">
        <v>90</v>
      </c>
      <c r="AF59" s="1" t="s">
        <v>49</v>
      </c>
      <c r="AG59" s="1" t="s">
        <v>49</v>
      </c>
      <c r="AH59" s="1" t="s">
        <v>83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6" t="s">
        <v>49</v>
      </c>
      <c r="AW59" s="30" t="s">
        <v>49</v>
      </c>
    </row>
    <row r="60" spans="1:49" ht="14.4" customHeight="1">
      <c r="A60" s="1">
        <v>1</v>
      </c>
      <c r="B60" s="1" t="s">
        <v>38</v>
      </c>
      <c r="C60" s="1" t="s">
        <v>38</v>
      </c>
      <c r="D60" s="3" t="s">
        <v>548</v>
      </c>
      <c r="E60" s="3" t="s">
        <v>71</v>
      </c>
      <c r="F60" s="3">
        <v>1994</v>
      </c>
      <c r="G60" s="3" t="s">
        <v>72</v>
      </c>
      <c r="H60" s="3" t="s">
        <v>73</v>
      </c>
      <c r="I60" s="3" t="s">
        <v>74</v>
      </c>
      <c r="J60" s="3" t="s">
        <v>75</v>
      </c>
      <c r="K60" s="3" t="s">
        <v>45</v>
      </c>
      <c r="L60" s="3" t="s">
        <v>46</v>
      </c>
      <c r="M60" s="1" t="s">
        <v>12</v>
      </c>
      <c r="N60" s="1" t="s">
        <v>76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77</v>
      </c>
      <c r="T60" s="1" t="s">
        <v>78</v>
      </c>
      <c r="U60" s="1" t="s">
        <v>79</v>
      </c>
      <c r="V60" s="3" t="s">
        <v>80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89</v>
      </c>
      <c r="AE60" s="1" t="s">
        <v>84</v>
      </c>
      <c r="AF60" s="1" t="s">
        <v>49</v>
      </c>
      <c r="AG60" s="1" t="s">
        <v>49</v>
      </c>
      <c r="AH60" s="1" t="s">
        <v>83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6" t="s">
        <v>49</v>
      </c>
      <c r="AW60" s="30" t="s">
        <v>49</v>
      </c>
    </row>
    <row r="61" spans="1:49" ht="14.4" customHeight="1">
      <c r="A61" s="1">
        <v>1</v>
      </c>
      <c r="B61" s="1" t="s">
        <v>38</v>
      </c>
      <c r="C61" s="1" t="s">
        <v>38</v>
      </c>
      <c r="D61" s="3" t="s">
        <v>548</v>
      </c>
      <c r="E61" s="3" t="s">
        <v>71</v>
      </c>
      <c r="F61" s="3">
        <v>1994</v>
      </c>
      <c r="G61" s="3" t="s">
        <v>72</v>
      </c>
      <c r="H61" s="3" t="s">
        <v>73</v>
      </c>
      <c r="I61" s="3" t="s">
        <v>74</v>
      </c>
      <c r="J61" s="3" t="s">
        <v>75</v>
      </c>
      <c r="K61" s="3" t="s">
        <v>45</v>
      </c>
      <c r="L61" s="3" t="s">
        <v>46</v>
      </c>
      <c r="M61" s="1" t="s">
        <v>12</v>
      </c>
      <c r="N61" s="1" t="s">
        <v>76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77</v>
      </c>
      <c r="T61" s="1" t="s">
        <v>78</v>
      </c>
      <c r="U61" s="1" t="s">
        <v>79</v>
      </c>
      <c r="V61" s="3" t="s">
        <v>80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89</v>
      </c>
      <c r="AE61" s="1" t="s">
        <v>88</v>
      </c>
      <c r="AF61" s="1" t="s">
        <v>49</v>
      </c>
      <c r="AG61" s="1" t="s">
        <v>49</v>
      </c>
      <c r="AH61" s="1" t="s">
        <v>83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6" t="s">
        <v>49</v>
      </c>
      <c r="AW61" s="30" t="s">
        <v>49</v>
      </c>
    </row>
    <row r="62" spans="1:49" ht="14.4" customHeight="1">
      <c r="A62" s="1">
        <v>1</v>
      </c>
      <c r="B62" s="1" t="s">
        <v>38</v>
      </c>
      <c r="C62" s="1" t="s">
        <v>38</v>
      </c>
      <c r="D62" s="3" t="s">
        <v>548</v>
      </c>
      <c r="E62" s="3" t="s">
        <v>71</v>
      </c>
      <c r="F62" s="3">
        <v>1994</v>
      </c>
      <c r="G62" s="3" t="s">
        <v>72</v>
      </c>
      <c r="H62" s="3" t="s">
        <v>73</v>
      </c>
      <c r="I62" s="3" t="s">
        <v>74</v>
      </c>
      <c r="J62" s="3" t="s">
        <v>75</v>
      </c>
      <c r="K62" s="3" t="s">
        <v>45</v>
      </c>
      <c r="L62" s="3" t="s">
        <v>46</v>
      </c>
      <c r="M62" s="1" t="s">
        <v>12</v>
      </c>
      <c r="N62" s="1" t="s">
        <v>76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77</v>
      </c>
      <c r="T62" s="1" t="s">
        <v>78</v>
      </c>
      <c r="U62" s="1" t="s">
        <v>79</v>
      </c>
      <c r="V62" s="3" t="s">
        <v>80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89</v>
      </c>
      <c r="AE62" s="1" t="s">
        <v>87</v>
      </c>
      <c r="AF62" s="1" t="s">
        <v>49</v>
      </c>
      <c r="AG62" s="1" t="s">
        <v>49</v>
      </c>
      <c r="AH62" s="1" t="s">
        <v>83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6" t="s">
        <v>49</v>
      </c>
      <c r="AW62" s="30" t="s">
        <v>49</v>
      </c>
    </row>
    <row r="63" spans="1:49" ht="14.4" customHeight="1">
      <c r="A63" s="1">
        <v>1</v>
      </c>
      <c r="B63" s="1" t="s">
        <v>38</v>
      </c>
      <c r="C63" s="1" t="s">
        <v>38</v>
      </c>
      <c r="D63" s="3" t="s">
        <v>548</v>
      </c>
      <c r="E63" s="3" t="s">
        <v>71</v>
      </c>
      <c r="F63" s="3">
        <v>1994</v>
      </c>
      <c r="G63" s="3" t="s">
        <v>72</v>
      </c>
      <c r="H63" s="3" t="s">
        <v>73</v>
      </c>
      <c r="I63" s="3" t="s">
        <v>74</v>
      </c>
      <c r="J63" s="3" t="s">
        <v>75</v>
      </c>
      <c r="K63" s="3" t="s">
        <v>45</v>
      </c>
      <c r="L63" s="3" t="s">
        <v>46</v>
      </c>
      <c r="M63" s="1" t="s">
        <v>12</v>
      </c>
      <c r="N63" s="1" t="s">
        <v>76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77</v>
      </c>
      <c r="T63" s="1" t="s">
        <v>78</v>
      </c>
      <c r="U63" s="1" t="s">
        <v>79</v>
      </c>
      <c r="V63" s="3" t="s">
        <v>80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89</v>
      </c>
      <c r="AE63" s="1" t="s">
        <v>93</v>
      </c>
      <c r="AF63" s="1" t="s">
        <v>49</v>
      </c>
      <c r="AG63" s="1" t="s">
        <v>49</v>
      </c>
      <c r="AH63" s="1" t="s">
        <v>83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6" t="s">
        <v>49</v>
      </c>
      <c r="AW63" s="30" t="s">
        <v>49</v>
      </c>
    </row>
    <row r="64" spans="1:49" ht="14.4" customHeight="1">
      <c r="A64" s="1">
        <v>1</v>
      </c>
      <c r="B64" s="1" t="s">
        <v>38</v>
      </c>
      <c r="C64" s="1" t="s">
        <v>38</v>
      </c>
      <c r="D64" s="3" t="s">
        <v>548</v>
      </c>
      <c r="E64" s="3" t="s">
        <v>71</v>
      </c>
      <c r="F64" s="3">
        <v>1994</v>
      </c>
      <c r="G64" s="3" t="s">
        <v>72</v>
      </c>
      <c r="H64" s="3" t="s">
        <v>73</v>
      </c>
      <c r="I64" s="3" t="s">
        <v>74</v>
      </c>
      <c r="J64" s="3" t="s">
        <v>75</v>
      </c>
      <c r="K64" s="3" t="s">
        <v>45</v>
      </c>
      <c r="L64" s="3" t="s">
        <v>46</v>
      </c>
      <c r="M64" s="1" t="s">
        <v>12</v>
      </c>
      <c r="N64" s="1" t="s">
        <v>76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77</v>
      </c>
      <c r="T64" s="1" t="s">
        <v>78</v>
      </c>
      <c r="U64" s="1" t="s">
        <v>79</v>
      </c>
      <c r="V64" s="3" t="s">
        <v>80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90</v>
      </c>
      <c r="AE64" s="1" t="s">
        <v>84</v>
      </c>
      <c r="AF64" s="1" t="s">
        <v>49</v>
      </c>
      <c r="AG64" s="1" t="s">
        <v>49</v>
      </c>
      <c r="AH64" s="1" t="s">
        <v>83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6" t="s">
        <v>49</v>
      </c>
      <c r="AW64" s="30" t="s">
        <v>49</v>
      </c>
    </row>
    <row r="65" spans="1:49" ht="14.4" customHeight="1">
      <c r="A65" s="1">
        <v>1</v>
      </c>
      <c r="B65" s="1" t="s">
        <v>38</v>
      </c>
      <c r="C65" s="1" t="s">
        <v>38</v>
      </c>
      <c r="D65" s="3" t="s">
        <v>548</v>
      </c>
      <c r="E65" s="3" t="s">
        <v>71</v>
      </c>
      <c r="F65" s="3">
        <v>1994</v>
      </c>
      <c r="G65" s="3" t="s">
        <v>72</v>
      </c>
      <c r="H65" s="3" t="s">
        <v>73</v>
      </c>
      <c r="I65" s="3" t="s">
        <v>74</v>
      </c>
      <c r="J65" s="3" t="s">
        <v>75</v>
      </c>
      <c r="K65" s="3" t="s">
        <v>45</v>
      </c>
      <c r="L65" s="3" t="s">
        <v>46</v>
      </c>
      <c r="M65" s="1" t="s">
        <v>12</v>
      </c>
      <c r="N65" s="1" t="s">
        <v>76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77</v>
      </c>
      <c r="T65" s="1" t="s">
        <v>78</v>
      </c>
      <c r="U65" s="1" t="s">
        <v>79</v>
      </c>
      <c r="V65" s="3" t="s">
        <v>80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90</v>
      </c>
      <c r="AE65" s="1" t="s">
        <v>88</v>
      </c>
      <c r="AF65" s="1" t="s">
        <v>49</v>
      </c>
      <c r="AG65" s="1" t="s">
        <v>49</v>
      </c>
      <c r="AH65" s="1" t="s">
        <v>83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6" t="s">
        <v>49</v>
      </c>
      <c r="AW65" s="30" t="s">
        <v>49</v>
      </c>
    </row>
    <row r="66" spans="1:49" ht="14.4" customHeight="1">
      <c r="A66" s="1">
        <v>1</v>
      </c>
      <c r="B66" s="1" t="s">
        <v>38</v>
      </c>
      <c r="C66" s="1" t="s">
        <v>38</v>
      </c>
      <c r="D66" s="3" t="s">
        <v>548</v>
      </c>
      <c r="E66" s="3" t="s">
        <v>71</v>
      </c>
      <c r="F66" s="3">
        <v>1994</v>
      </c>
      <c r="G66" s="3" t="s">
        <v>72</v>
      </c>
      <c r="H66" s="3" t="s">
        <v>73</v>
      </c>
      <c r="I66" s="3" t="s">
        <v>74</v>
      </c>
      <c r="J66" s="3" t="s">
        <v>75</v>
      </c>
      <c r="K66" s="3" t="s">
        <v>45</v>
      </c>
      <c r="L66" s="3" t="s">
        <v>46</v>
      </c>
      <c r="M66" s="1" t="s">
        <v>12</v>
      </c>
      <c r="N66" s="1" t="s">
        <v>76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77</v>
      </c>
      <c r="T66" s="1" t="s">
        <v>78</v>
      </c>
      <c r="U66" s="1" t="s">
        <v>79</v>
      </c>
      <c r="V66" s="3" t="s">
        <v>80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90</v>
      </c>
      <c r="AE66" s="1" t="s">
        <v>87</v>
      </c>
      <c r="AF66" s="1" t="s">
        <v>49</v>
      </c>
      <c r="AG66" s="1" t="s">
        <v>49</v>
      </c>
      <c r="AH66" s="1" t="s">
        <v>83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6" t="s">
        <v>49</v>
      </c>
      <c r="AW66" s="30" t="s">
        <v>49</v>
      </c>
    </row>
    <row r="67" spans="1:49" ht="14.4" customHeight="1">
      <c r="A67" s="1">
        <v>1</v>
      </c>
      <c r="B67" s="1" t="s">
        <v>38</v>
      </c>
      <c r="C67" s="1" t="s">
        <v>38</v>
      </c>
      <c r="D67" s="3" t="s">
        <v>548</v>
      </c>
      <c r="E67" s="3" t="s">
        <v>71</v>
      </c>
      <c r="F67" s="3">
        <v>1994</v>
      </c>
      <c r="G67" s="3" t="s">
        <v>72</v>
      </c>
      <c r="H67" s="3" t="s">
        <v>73</v>
      </c>
      <c r="I67" s="3" t="s">
        <v>74</v>
      </c>
      <c r="J67" s="3" t="s">
        <v>75</v>
      </c>
      <c r="K67" s="3" t="s">
        <v>45</v>
      </c>
      <c r="L67" s="3" t="s">
        <v>46</v>
      </c>
      <c r="M67" s="1" t="s">
        <v>12</v>
      </c>
      <c r="N67" s="1" t="s">
        <v>76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77</v>
      </c>
      <c r="T67" s="1" t="s">
        <v>78</v>
      </c>
      <c r="U67" s="1" t="s">
        <v>79</v>
      </c>
      <c r="V67" s="3" t="s">
        <v>80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90</v>
      </c>
      <c r="AE67" s="1" t="s">
        <v>93</v>
      </c>
      <c r="AF67" s="1" t="s">
        <v>49</v>
      </c>
      <c r="AG67" s="1" t="s">
        <v>49</v>
      </c>
      <c r="AH67" s="1" t="s">
        <v>83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6" t="s">
        <v>49</v>
      </c>
      <c r="AW67" s="30" t="s">
        <v>49</v>
      </c>
    </row>
    <row r="68" spans="1:49" ht="14.4" customHeight="1">
      <c r="A68" s="1">
        <v>1</v>
      </c>
      <c r="B68" s="1" t="s">
        <v>38</v>
      </c>
      <c r="C68" s="1" t="s">
        <v>38</v>
      </c>
      <c r="D68" s="3" t="s">
        <v>548</v>
      </c>
      <c r="E68" s="3" t="s">
        <v>71</v>
      </c>
      <c r="F68" s="3">
        <v>1994</v>
      </c>
      <c r="G68" s="3" t="s">
        <v>72</v>
      </c>
      <c r="H68" s="3" t="s">
        <v>73</v>
      </c>
      <c r="I68" s="3" t="s">
        <v>74</v>
      </c>
      <c r="J68" s="3" t="s">
        <v>75</v>
      </c>
      <c r="K68" s="3" t="s">
        <v>45</v>
      </c>
      <c r="L68" s="3" t="s">
        <v>46</v>
      </c>
      <c r="M68" s="1" t="s">
        <v>12</v>
      </c>
      <c r="N68" s="1" t="s">
        <v>76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77</v>
      </c>
      <c r="T68" s="1" t="s">
        <v>78</v>
      </c>
      <c r="U68" s="1" t="s">
        <v>79</v>
      </c>
      <c r="V68" s="3" t="s">
        <v>80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84</v>
      </c>
      <c r="AE68" s="1" t="s">
        <v>88</v>
      </c>
      <c r="AF68" s="1" t="s">
        <v>49</v>
      </c>
      <c r="AG68" s="1" t="s">
        <v>49</v>
      </c>
      <c r="AH68" s="1" t="s">
        <v>83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6" t="s">
        <v>49</v>
      </c>
      <c r="AW68" s="30" t="s">
        <v>49</v>
      </c>
    </row>
    <row r="69" spans="1:49" ht="14.4" customHeight="1">
      <c r="A69" s="1">
        <v>1</v>
      </c>
      <c r="B69" s="1" t="s">
        <v>38</v>
      </c>
      <c r="C69" s="1" t="s">
        <v>38</v>
      </c>
      <c r="D69" s="3" t="s">
        <v>548</v>
      </c>
      <c r="E69" s="3" t="s">
        <v>71</v>
      </c>
      <c r="F69" s="3">
        <v>1994</v>
      </c>
      <c r="G69" s="3" t="s">
        <v>72</v>
      </c>
      <c r="H69" s="3" t="s">
        <v>73</v>
      </c>
      <c r="I69" s="3" t="s">
        <v>74</v>
      </c>
      <c r="J69" s="3" t="s">
        <v>75</v>
      </c>
      <c r="K69" s="3" t="s">
        <v>45</v>
      </c>
      <c r="L69" s="3" t="s">
        <v>46</v>
      </c>
      <c r="M69" s="1" t="s">
        <v>12</v>
      </c>
      <c r="N69" s="1" t="s">
        <v>76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77</v>
      </c>
      <c r="T69" s="1" t="s">
        <v>78</v>
      </c>
      <c r="U69" s="1" t="s">
        <v>79</v>
      </c>
      <c r="V69" s="3" t="s">
        <v>80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84</v>
      </c>
      <c r="AE69" s="1" t="s">
        <v>87</v>
      </c>
      <c r="AF69" s="1" t="s">
        <v>49</v>
      </c>
      <c r="AG69" s="1" t="s">
        <v>49</v>
      </c>
      <c r="AH69" s="1" t="s">
        <v>83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6" t="s">
        <v>49</v>
      </c>
      <c r="AW69" s="30" t="s">
        <v>49</v>
      </c>
    </row>
    <row r="70" spans="1:49" ht="14.4" customHeight="1">
      <c r="A70" s="1">
        <v>1</v>
      </c>
      <c r="B70" s="1" t="s">
        <v>38</v>
      </c>
      <c r="C70" s="1" t="s">
        <v>38</v>
      </c>
      <c r="D70" s="3" t="s">
        <v>548</v>
      </c>
      <c r="E70" s="3" t="s">
        <v>71</v>
      </c>
      <c r="F70" s="3">
        <v>1994</v>
      </c>
      <c r="G70" s="3" t="s">
        <v>72</v>
      </c>
      <c r="H70" s="3" t="s">
        <v>73</v>
      </c>
      <c r="I70" s="3" t="s">
        <v>74</v>
      </c>
      <c r="J70" s="3" t="s">
        <v>75</v>
      </c>
      <c r="K70" s="3" t="s">
        <v>45</v>
      </c>
      <c r="L70" s="3" t="s">
        <v>46</v>
      </c>
      <c r="M70" s="1" t="s">
        <v>12</v>
      </c>
      <c r="N70" s="1" t="s">
        <v>76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77</v>
      </c>
      <c r="T70" s="1" t="s">
        <v>78</v>
      </c>
      <c r="U70" s="1" t="s">
        <v>79</v>
      </c>
      <c r="V70" s="3" t="s">
        <v>80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84</v>
      </c>
      <c r="AE70" s="1" t="s">
        <v>93</v>
      </c>
      <c r="AF70" s="1" t="s">
        <v>49</v>
      </c>
      <c r="AG70" s="1" t="s">
        <v>49</v>
      </c>
      <c r="AH70" s="1" t="s">
        <v>83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6" t="s">
        <v>49</v>
      </c>
      <c r="AW70" s="30" t="s">
        <v>49</v>
      </c>
    </row>
    <row r="71" spans="1:49" ht="14.4" customHeight="1">
      <c r="A71" s="1">
        <v>1</v>
      </c>
      <c r="B71" s="1" t="s">
        <v>38</v>
      </c>
      <c r="C71" s="1" t="s">
        <v>38</v>
      </c>
      <c r="D71" s="3" t="s">
        <v>548</v>
      </c>
      <c r="E71" s="3" t="s">
        <v>71</v>
      </c>
      <c r="F71" s="3">
        <v>1994</v>
      </c>
      <c r="G71" s="3" t="s">
        <v>72</v>
      </c>
      <c r="H71" s="3" t="s">
        <v>73</v>
      </c>
      <c r="I71" s="3" t="s">
        <v>74</v>
      </c>
      <c r="J71" s="3" t="s">
        <v>75</v>
      </c>
      <c r="K71" s="3" t="s">
        <v>45</v>
      </c>
      <c r="L71" s="3" t="s">
        <v>46</v>
      </c>
      <c r="M71" s="1" t="s">
        <v>12</v>
      </c>
      <c r="N71" s="1" t="s">
        <v>76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77</v>
      </c>
      <c r="T71" s="1" t="s">
        <v>78</v>
      </c>
      <c r="U71" s="1" t="s">
        <v>79</v>
      </c>
      <c r="V71" s="3" t="s">
        <v>80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88</v>
      </c>
      <c r="AE71" s="1" t="s">
        <v>87</v>
      </c>
      <c r="AF71" s="1" t="s">
        <v>49</v>
      </c>
      <c r="AG71" s="1" t="s">
        <v>49</v>
      </c>
      <c r="AH71" s="1" t="s">
        <v>83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6" t="s">
        <v>49</v>
      </c>
      <c r="AW71" s="30" t="s">
        <v>49</v>
      </c>
    </row>
    <row r="72" spans="1:49" ht="14.4" customHeight="1">
      <c r="A72" s="1">
        <v>1</v>
      </c>
      <c r="B72" s="1" t="s">
        <v>38</v>
      </c>
      <c r="C72" s="1" t="s">
        <v>38</v>
      </c>
      <c r="D72" s="3" t="s">
        <v>548</v>
      </c>
      <c r="E72" s="3" t="s">
        <v>71</v>
      </c>
      <c r="F72" s="3">
        <v>1994</v>
      </c>
      <c r="G72" s="3" t="s">
        <v>72</v>
      </c>
      <c r="H72" s="3" t="s">
        <v>73</v>
      </c>
      <c r="I72" s="3" t="s">
        <v>74</v>
      </c>
      <c r="J72" s="3" t="s">
        <v>75</v>
      </c>
      <c r="K72" s="3" t="s">
        <v>45</v>
      </c>
      <c r="L72" s="3" t="s">
        <v>46</v>
      </c>
      <c r="M72" s="1" t="s">
        <v>12</v>
      </c>
      <c r="N72" s="1" t="s">
        <v>76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77</v>
      </c>
      <c r="T72" s="1" t="s">
        <v>78</v>
      </c>
      <c r="U72" s="1" t="s">
        <v>79</v>
      </c>
      <c r="V72" s="3" t="s">
        <v>80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88</v>
      </c>
      <c r="AE72" s="1" t="s">
        <v>93</v>
      </c>
      <c r="AF72" s="1" t="s">
        <v>49</v>
      </c>
      <c r="AG72" s="1" t="s">
        <v>49</v>
      </c>
      <c r="AH72" s="1" t="s">
        <v>83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6" t="s">
        <v>49</v>
      </c>
      <c r="AW72" s="30" t="s">
        <v>49</v>
      </c>
    </row>
    <row r="73" spans="1:49" ht="14.4" customHeight="1">
      <c r="A73" s="1">
        <v>1</v>
      </c>
      <c r="B73" s="1" t="s">
        <v>38</v>
      </c>
      <c r="C73" s="1" t="s">
        <v>38</v>
      </c>
      <c r="D73" s="3" t="s">
        <v>548</v>
      </c>
      <c r="E73" s="3" t="s">
        <v>71</v>
      </c>
      <c r="F73" s="3">
        <v>1994</v>
      </c>
      <c r="G73" s="3" t="s">
        <v>72</v>
      </c>
      <c r="H73" s="3" t="s">
        <v>73</v>
      </c>
      <c r="I73" s="3" t="s">
        <v>74</v>
      </c>
      <c r="J73" s="3" t="s">
        <v>75</v>
      </c>
      <c r="K73" s="3" t="s">
        <v>45</v>
      </c>
      <c r="L73" s="3" t="s">
        <v>46</v>
      </c>
      <c r="M73" s="1" t="s">
        <v>12</v>
      </c>
      <c r="N73" s="1" t="s">
        <v>76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77</v>
      </c>
      <c r="T73" s="1" t="s">
        <v>78</v>
      </c>
      <c r="U73" s="1" t="s">
        <v>79</v>
      </c>
      <c r="V73" s="3" t="s">
        <v>80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87</v>
      </c>
      <c r="AE73" s="1" t="s">
        <v>93</v>
      </c>
      <c r="AF73" s="1" t="s">
        <v>49</v>
      </c>
      <c r="AG73" s="1" t="s">
        <v>49</v>
      </c>
      <c r="AH73" s="1" t="s">
        <v>83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6" t="s">
        <v>49</v>
      </c>
      <c r="AW73" s="30" t="s">
        <v>49</v>
      </c>
    </row>
    <row r="74" spans="1:49" ht="14.4" customHeight="1">
      <c r="A74" s="1">
        <v>1</v>
      </c>
      <c r="B74" s="1" t="s">
        <v>38</v>
      </c>
      <c r="C74" s="1" t="s">
        <v>38</v>
      </c>
      <c r="D74" s="3" t="s">
        <v>548</v>
      </c>
      <c r="E74" s="3" t="s">
        <v>71</v>
      </c>
      <c r="F74" s="3">
        <v>1994</v>
      </c>
      <c r="G74" s="3" t="s">
        <v>72</v>
      </c>
      <c r="H74" s="3" t="s">
        <v>73</v>
      </c>
      <c r="I74" s="3" t="s">
        <v>74</v>
      </c>
      <c r="J74" s="3" t="s">
        <v>75</v>
      </c>
      <c r="K74" s="3" t="s">
        <v>45</v>
      </c>
      <c r="L74" s="3" t="s">
        <v>46</v>
      </c>
      <c r="M74" s="1" t="s">
        <v>12</v>
      </c>
      <c r="N74" s="1" t="s">
        <v>76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77</v>
      </c>
      <c r="T74" s="1" t="s">
        <v>78</v>
      </c>
      <c r="U74" s="1" t="s">
        <v>79</v>
      </c>
      <c r="V74" s="3" t="s">
        <v>133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81</v>
      </c>
      <c r="AD74" s="1" t="s">
        <v>82</v>
      </c>
      <c r="AE74" s="1" t="s">
        <v>82</v>
      </c>
      <c r="AF74" s="1" t="s">
        <v>60</v>
      </c>
      <c r="AG74" s="1" t="s">
        <v>61</v>
      </c>
      <c r="AH74" s="1" t="s">
        <v>83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6" t="s">
        <v>49</v>
      </c>
      <c r="AS74" s="1">
        <f t="shared" ref="AS74:AS80" si="6">AL74*AN74</f>
        <v>0.23084999999999997</v>
      </c>
      <c r="AT74" s="4">
        <f t="shared" ref="AT74:AT80" si="7">AS74/(AM74^2)*100</f>
        <v>0.84720570749108204</v>
      </c>
      <c r="AU74" s="5">
        <v>0</v>
      </c>
      <c r="AV74" s="4">
        <f t="shared" ref="AV74:AV80" si="8">AT74*(1-AL74)/AL74</f>
        <v>2.6392375332129596</v>
      </c>
      <c r="AW74" s="29" t="s">
        <v>130</v>
      </c>
    </row>
    <row r="75" spans="1:49" ht="14.4" customHeight="1">
      <c r="A75" s="1">
        <v>1</v>
      </c>
      <c r="B75" s="1" t="s">
        <v>38</v>
      </c>
      <c r="C75" s="1" t="s">
        <v>38</v>
      </c>
      <c r="D75" s="3" t="s">
        <v>548</v>
      </c>
      <c r="E75" s="3" t="s">
        <v>71</v>
      </c>
      <c r="F75" s="3">
        <v>1994</v>
      </c>
      <c r="G75" s="3" t="s">
        <v>72</v>
      </c>
      <c r="H75" s="3" t="s">
        <v>73</v>
      </c>
      <c r="I75" s="3" t="s">
        <v>74</v>
      </c>
      <c r="J75" s="3" t="s">
        <v>75</v>
      </c>
      <c r="K75" s="3" t="s">
        <v>45</v>
      </c>
      <c r="L75" s="3" t="s">
        <v>46</v>
      </c>
      <c r="M75" s="1" t="s">
        <v>12</v>
      </c>
      <c r="N75" s="1" t="s">
        <v>76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77</v>
      </c>
      <c r="T75" s="1" t="s">
        <v>78</v>
      </c>
      <c r="U75" s="1" t="s">
        <v>79</v>
      </c>
      <c r="V75" s="3" t="s">
        <v>133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84</v>
      </c>
      <c r="AE75" s="1" t="s">
        <v>84</v>
      </c>
      <c r="AF75" s="1" t="s">
        <v>60</v>
      </c>
      <c r="AG75" s="1" t="s">
        <v>61</v>
      </c>
      <c r="AH75" s="1" t="s">
        <v>83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6" t="s">
        <v>49</v>
      </c>
      <c r="AS75" s="1">
        <f t="shared" si="6"/>
        <v>0.87928000000000006</v>
      </c>
      <c r="AT75" s="4">
        <f t="shared" si="7"/>
        <v>0.2307637395861328</v>
      </c>
      <c r="AU75" s="5">
        <v>0</v>
      </c>
      <c r="AV75" s="4">
        <f t="shared" si="8"/>
        <v>0.76390755173340508</v>
      </c>
      <c r="AW75" s="29" t="s">
        <v>130</v>
      </c>
    </row>
    <row r="76" spans="1:49" ht="14.4" customHeight="1">
      <c r="A76" s="1">
        <v>1</v>
      </c>
      <c r="B76" s="1" t="s">
        <v>38</v>
      </c>
      <c r="C76" s="1" t="s">
        <v>38</v>
      </c>
      <c r="D76" s="3" t="s">
        <v>548</v>
      </c>
      <c r="E76" s="3" t="s">
        <v>71</v>
      </c>
      <c r="F76" s="3">
        <v>1994</v>
      </c>
      <c r="G76" s="3" t="s">
        <v>72</v>
      </c>
      <c r="H76" s="3" t="s">
        <v>73</v>
      </c>
      <c r="I76" s="3" t="s">
        <v>74</v>
      </c>
      <c r="J76" s="3" t="s">
        <v>75</v>
      </c>
      <c r="K76" s="3" t="s">
        <v>45</v>
      </c>
      <c r="L76" s="3" t="s">
        <v>46</v>
      </c>
      <c r="M76" s="1" t="s">
        <v>12</v>
      </c>
      <c r="N76" s="1" t="s">
        <v>76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77</v>
      </c>
      <c r="T76" s="1" t="s">
        <v>78</v>
      </c>
      <c r="U76" s="1" t="s">
        <v>79</v>
      </c>
      <c r="V76" s="3" t="s">
        <v>133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85</v>
      </c>
      <c r="AE76" s="1" t="s">
        <v>85</v>
      </c>
      <c r="AF76" s="1" t="s">
        <v>60</v>
      </c>
      <c r="AG76" s="1" t="s">
        <v>61</v>
      </c>
      <c r="AH76" s="1" t="s">
        <v>83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6" t="s">
        <v>49</v>
      </c>
      <c r="AS76" s="1">
        <f t="shared" si="6"/>
        <v>0.69080000000000008</v>
      </c>
      <c r="AT76" s="4">
        <f t="shared" si="7"/>
        <v>0.3336036095640118</v>
      </c>
      <c r="AU76" s="5">
        <v>0</v>
      </c>
      <c r="AV76" s="4">
        <f t="shared" si="8"/>
        <v>0.72882826802838241</v>
      </c>
      <c r="AW76" s="29" t="s">
        <v>130</v>
      </c>
    </row>
    <row r="77" spans="1:49" ht="14.4" customHeight="1">
      <c r="A77" s="1">
        <v>1</v>
      </c>
      <c r="B77" s="1" t="s">
        <v>38</v>
      </c>
      <c r="C77" s="1" t="s">
        <v>38</v>
      </c>
      <c r="D77" s="3" t="s">
        <v>548</v>
      </c>
      <c r="E77" s="3" t="s">
        <v>71</v>
      </c>
      <c r="F77" s="3">
        <v>1994</v>
      </c>
      <c r="G77" s="3" t="s">
        <v>72</v>
      </c>
      <c r="H77" s="3" t="s">
        <v>73</v>
      </c>
      <c r="I77" s="3" t="s">
        <v>74</v>
      </c>
      <c r="J77" s="3" t="s">
        <v>75</v>
      </c>
      <c r="K77" s="3" t="s">
        <v>45</v>
      </c>
      <c r="L77" s="3" t="s">
        <v>46</v>
      </c>
      <c r="M77" s="1" t="s">
        <v>12</v>
      </c>
      <c r="N77" s="1" t="s">
        <v>76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77</v>
      </c>
      <c r="T77" s="1" t="s">
        <v>78</v>
      </c>
      <c r="U77" s="1" t="s">
        <v>79</v>
      </c>
      <c r="V77" s="3" t="s">
        <v>133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86</v>
      </c>
      <c r="AD77" s="1" t="s">
        <v>87</v>
      </c>
      <c r="AE77" s="1" t="s">
        <v>87</v>
      </c>
      <c r="AF77" s="1" t="s">
        <v>60</v>
      </c>
      <c r="AG77" s="1" t="s">
        <v>61</v>
      </c>
      <c r="AH77" s="1" t="s">
        <v>83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6" t="s">
        <v>49</v>
      </c>
      <c r="AS77" s="1">
        <f t="shared" si="6"/>
        <v>1.1029</v>
      </c>
      <c r="AT77" s="4">
        <f t="shared" si="7"/>
        <v>0.39927681986095359</v>
      </c>
      <c r="AU77" s="5">
        <v>0</v>
      </c>
      <c r="AV77" s="4">
        <f t="shared" si="8"/>
        <v>0.57456908223893333</v>
      </c>
      <c r="AW77" s="29" t="s">
        <v>130</v>
      </c>
    </row>
    <row r="78" spans="1:49" ht="14.4" customHeight="1">
      <c r="A78" s="1">
        <v>1</v>
      </c>
      <c r="B78" s="1" t="s">
        <v>38</v>
      </c>
      <c r="C78" s="1" t="s">
        <v>38</v>
      </c>
      <c r="D78" s="3" t="s">
        <v>548</v>
      </c>
      <c r="E78" s="3" t="s">
        <v>71</v>
      </c>
      <c r="F78" s="3">
        <v>1994</v>
      </c>
      <c r="G78" s="3" t="s">
        <v>72</v>
      </c>
      <c r="H78" s="3" t="s">
        <v>73</v>
      </c>
      <c r="I78" s="3" t="s">
        <v>74</v>
      </c>
      <c r="J78" s="3" t="s">
        <v>75</v>
      </c>
      <c r="K78" s="3" t="s">
        <v>45</v>
      </c>
      <c r="L78" s="3" t="s">
        <v>46</v>
      </c>
      <c r="M78" s="1" t="s">
        <v>12</v>
      </c>
      <c r="N78" s="1" t="s">
        <v>76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77</v>
      </c>
      <c r="T78" s="1" t="s">
        <v>78</v>
      </c>
      <c r="U78" s="1" t="s">
        <v>79</v>
      </c>
      <c r="V78" s="3" t="s">
        <v>133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86</v>
      </c>
      <c r="AD78" s="1" t="s">
        <v>88</v>
      </c>
      <c r="AE78" s="1" t="s">
        <v>88</v>
      </c>
      <c r="AF78" s="1" t="s">
        <v>60</v>
      </c>
      <c r="AG78" s="1" t="s">
        <v>61</v>
      </c>
      <c r="AH78" s="1" t="s">
        <v>83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6" t="s">
        <v>49</v>
      </c>
      <c r="AS78" s="1">
        <f t="shared" si="6"/>
        <v>0.94599999999999995</v>
      </c>
      <c r="AT78" s="4">
        <f t="shared" si="7"/>
        <v>0.44932058073497638</v>
      </c>
      <c r="AU78" s="5">
        <v>0</v>
      </c>
      <c r="AV78" s="4">
        <f t="shared" si="8"/>
        <v>0.57186255729906099</v>
      </c>
      <c r="AW78" s="29" t="s">
        <v>130</v>
      </c>
    </row>
    <row r="79" spans="1:49" ht="14.4" customHeight="1">
      <c r="A79" s="1">
        <v>1</v>
      </c>
      <c r="B79" s="1" t="s">
        <v>38</v>
      </c>
      <c r="C79" s="1" t="s">
        <v>38</v>
      </c>
      <c r="D79" s="3" t="s">
        <v>548</v>
      </c>
      <c r="E79" s="3" t="s">
        <v>71</v>
      </c>
      <c r="F79" s="3">
        <v>1994</v>
      </c>
      <c r="G79" s="3" t="s">
        <v>72</v>
      </c>
      <c r="H79" s="3" t="s">
        <v>73</v>
      </c>
      <c r="I79" s="3" t="s">
        <v>74</v>
      </c>
      <c r="J79" s="3" t="s">
        <v>75</v>
      </c>
      <c r="K79" s="3" t="s">
        <v>45</v>
      </c>
      <c r="L79" s="3" t="s">
        <v>46</v>
      </c>
      <c r="M79" s="1" t="s">
        <v>12</v>
      </c>
      <c r="N79" s="1" t="s">
        <v>76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77</v>
      </c>
      <c r="T79" s="1" t="s">
        <v>78</v>
      </c>
      <c r="U79" s="1" t="s">
        <v>79</v>
      </c>
      <c r="V79" s="3" t="s">
        <v>133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89</v>
      </c>
      <c r="AE79" s="1" t="s">
        <v>89</v>
      </c>
      <c r="AF79" s="1" t="s">
        <v>60</v>
      </c>
      <c r="AG79" s="1" t="s">
        <v>61</v>
      </c>
      <c r="AH79" s="1" t="s">
        <v>83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6" t="s">
        <v>49</v>
      </c>
      <c r="AS79" s="1">
        <f t="shared" si="6"/>
        <v>2.36442</v>
      </c>
      <c r="AT79" s="4">
        <f t="shared" si="7"/>
        <v>0.4094652803429753</v>
      </c>
      <c r="AU79" s="5">
        <v>0</v>
      </c>
      <c r="AV79" s="4">
        <f t="shared" si="8"/>
        <v>2.1985938301218355</v>
      </c>
      <c r="AW79" s="29" t="s">
        <v>130</v>
      </c>
    </row>
    <row r="80" spans="1:49" ht="14.4" customHeight="1">
      <c r="A80" s="1">
        <v>1</v>
      </c>
      <c r="B80" s="1" t="s">
        <v>38</v>
      </c>
      <c r="C80" s="1" t="s">
        <v>38</v>
      </c>
      <c r="D80" s="3" t="s">
        <v>548</v>
      </c>
      <c r="E80" s="3" t="s">
        <v>71</v>
      </c>
      <c r="F80" s="3">
        <v>1994</v>
      </c>
      <c r="G80" s="3" t="s">
        <v>72</v>
      </c>
      <c r="H80" s="3" t="s">
        <v>73</v>
      </c>
      <c r="I80" s="3" t="s">
        <v>74</v>
      </c>
      <c r="J80" s="3" t="s">
        <v>75</v>
      </c>
      <c r="K80" s="3" t="s">
        <v>45</v>
      </c>
      <c r="L80" s="3" t="s">
        <v>46</v>
      </c>
      <c r="M80" s="1" t="s">
        <v>12</v>
      </c>
      <c r="N80" s="1" t="s">
        <v>76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77</v>
      </c>
      <c r="T80" s="1" t="s">
        <v>78</v>
      </c>
      <c r="U80" s="1" t="s">
        <v>79</v>
      </c>
      <c r="V80" s="3" t="s">
        <v>133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90</v>
      </c>
      <c r="AE80" s="1" t="s">
        <v>90</v>
      </c>
      <c r="AF80" s="1" t="s">
        <v>60</v>
      </c>
      <c r="AG80" s="1" t="s">
        <v>61</v>
      </c>
      <c r="AH80" s="1" t="s">
        <v>83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6" t="s">
        <v>49</v>
      </c>
      <c r="AS80" s="1">
        <f t="shared" si="6"/>
        <v>1.5981699999999999</v>
      </c>
      <c r="AT80" s="4">
        <f t="shared" si="7"/>
        <v>0.30555587951825192</v>
      </c>
      <c r="AU80" s="5">
        <v>0</v>
      </c>
      <c r="AV80" s="4">
        <f t="shared" si="8"/>
        <v>0.75173090082172023</v>
      </c>
      <c r="AW80" s="29" t="s">
        <v>130</v>
      </c>
    </row>
    <row r="81" spans="1:49" ht="14.4" customHeight="1">
      <c r="A81" s="1">
        <v>1</v>
      </c>
      <c r="B81" s="1" t="s">
        <v>38</v>
      </c>
      <c r="C81" s="1" t="s">
        <v>38</v>
      </c>
      <c r="D81" s="3" t="s">
        <v>548</v>
      </c>
      <c r="E81" s="3" t="s">
        <v>71</v>
      </c>
      <c r="F81" s="3">
        <v>1994</v>
      </c>
      <c r="G81" s="3" t="s">
        <v>72</v>
      </c>
      <c r="H81" s="3" t="s">
        <v>73</v>
      </c>
      <c r="I81" s="3" t="s">
        <v>74</v>
      </c>
      <c r="J81" s="3" t="s">
        <v>75</v>
      </c>
      <c r="K81" s="3" t="s">
        <v>45</v>
      </c>
      <c r="L81" s="3" t="s">
        <v>46</v>
      </c>
      <c r="M81" s="1" t="s">
        <v>12</v>
      </c>
      <c r="N81" s="1" t="s">
        <v>76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77</v>
      </c>
      <c r="T81" s="1" t="s">
        <v>78</v>
      </c>
      <c r="U81" s="1" t="s">
        <v>79</v>
      </c>
      <c r="V81" s="3" t="s">
        <v>133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91</v>
      </c>
      <c r="AC81" s="1" t="s">
        <v>91</v>
      </c>
      <c r="AD81" s="1" t="s">
        <v>93</v>
      </c>
      <c r="AE81" s="1" t="s">
        <v>93</v>
      </c>
      <c r="AF81" s="1" t="s">
        <v>92</v>
      </c>
      <c r="AG81" s="1" t="s">
        <v>49</v>
      </c>
      <c r="AH81" s="1" t="s">
        <v>83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6" t="s">
        <v>49</v>
      </c>
      <c r="AS81" s="1">
        <v>0.96468540000000003</v>
      </c>
      <c r="AT81" s="4">
        <v>10.99835</v>
      </c>
      <c r="AU81" s="5">
        <v>0</v>
      </c>
      <c r="AV81" s="4" t="s">
        <v>49</v>
      </c>
      <c r="AW81" s="29" t="s">
        <v>130</v>
      </c>
    </row>
    <row r="82" spans="1:49" ht="14.4" customHeight="1">
      <c r="A82" s="1">
        <v>1</v>
      </c>
      <c r="B82" s="1" t="s">
        <v>38</v>
      </c>
      <c r="C82" s="1" t="s">
        <v>38</v>
      </c>
      <c r="D82" s="3" t="s">
        <v>548</v>
      </c>
      <c r="E82" s="3" t="s">
        <v>71</v>
      </c>
      <c r="F82" s="3">
        <v>1994</v>
      </c>
      <c r="G82" s="3" t="s">
        <v>72</v>
      </c>
      <c r="H82" s="3" t="s">
        <v>73</v>
      </c>
      <c r="I82" s="3" t="s">
        <v>74</v>
      </c>
      <c r="J82" s="3" t="s">
        <v>75</v>
      </c>
      <c r="K82" s="3" t="s">
        <v>45</v>
      </c>
      <c r="L82" s="3" t="s">
        <v>46</v>
      </c>
      <c r="M82" s="1" t="s">
        <v>12</v>
      </c>
      <c r="N82" s="1" t="s">
        <v>76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77</v>
      </c>
      <c r="T82" s="1" t="s">
        <v>78</v>
      </c>
      <c r="U82" s="1" t="s">
        <v>79</v>
      </c>
      <c r="V82" s="3" t="s">
        <v>133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94</v>
      </c>
      <c r="AB82" s="1" t="s">
        <v>95</v>
      </c>
      <c r="AC82" s="1" t="s">
        <v>96</v>
      </c>
      <c r="AD82" s="1" t="s">
        <v>97</v>
      </c>
      <c r="AE82" s="1" t="s">
        <v>97</v>
      </c>
      <c r="AF82" s="1" t="s">
        <v>53</v>
      </c>
      <c r="AG82" s="1" t="s">
        <v>53</v>
      </c>
      <c r="AH82" s="1" t="s">
        <v>83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6" t="s">
        <v>49</v>
      </c>
      <c r="AS82" s="1">
        <f>AL82*AN82</f>
        <v>16.729019999999998</v>
      </c>
      <c r="AT82" s="4">
        <f>AS82/(AM82^2)*100</f>
        <v>0.62563555936385762</v>
      </c>
      <c r="AU82" s="5">
        <v>0</v>
      </c>
      <c r="AV82" s="4">
        <f>AT82*(1-AL82)/AL82</f>
        <v>1.0471867918764035</v>
      </c>
      <c r="AW82" s="29" t="s">
        <v>130</v>
      </c>
    </row>
    <row r="83" spans="1:49" ht="14.4" customHeight="1">
      <c r="A83" s="1">
        <v>1</v>
      </c>
      <c r="B83" s="1" t="s">
        <v>38</v>
      </c>
      <c r="C83" s="1" t="s">
        <v>38</v>
      </c>
      <c r="D83" s="3" t="s">
        <v>548</v>
      </c>
      <c r="E83" s="3" t="s">
        <v>71</v>
      </c>
      <c r="F83" s="3">
        <v>1994</v>
      </c>
      <c r="G83" s="3" t="s">
        <v>72</v>
      </c>
      <c r="H83" s="3" t="s">
        <v>73</v>
      </c>
      <c r="I83" s="3" t="s">
        <v>74</v>
      </c>
      <c r="J83" s="3" t="s">
        <v>75</v>
      </c>
      <c r="K83" s="3" t="s">
        <v>45</v>
      </c>
      <c r="L83" s="3" t="s">
        <v>46</v>
      </c>
      <c r="M83" s="1" t="s">
        <v>12</v>
      </c>
      <c r="N83" s="1" t="s">
        <v>76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77</v>
      </c>
      <c r="T83" s="1" t="s">
        <v>78</v>
      </c>
      <c r="U83" s="1" t="s">
        <v>79</v>
      </c>
      <c r="V83" s="3" t="s">
        <v>133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97</v>
      </c>
      <c r="AE83" s="1" t="s">
        <v>89</v>
      </c>
      <c r="AF83" s="1" t="s">
        <v>49</v>
      </c>
      <c r="AG83" s="1" t="s">
        <v>49</v>
      </c>
      <c r="AH83" s="1" t="s">
        <v>83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6" t="s">
        <v>49</v>
      </c>
      <c r="AW83" s="30" t="s">
        <v>49</v>
      </c>
    </row>
    <row r="84" spans="1:49" ht="14.4" customHeight="1">
      <c r="A84" s="1">
        <v>1</v>
      </c>
      <c r="B84" s="1" t="s">
        <v>38</v>
      </c>
      <c r="C84" s="1" t="s">
        <v>38</v>
      </c>
      <c r="D84" s="3" t="s">
        <v>548</v>
      </c>
      <c r="E84" s="3" t="s">
        <v>71</v>
      </c>
      <c r="F84" s="3">
        <v>1994</v>
      </c>
      <c r="G84" s="3" t="s">
        <v>72</v>
      </c>
      <c r="H84" s="3" t="s">
        <v>73</v>
      </c>
      <c r="I84" s="3" t="s">
        <v>74</v>
      </c>
      <c r="J84" s="3" t="s">
        <v>75</v>
      </c>
      <c r="K84" s="3" t="s">
        <v>45</v>
      </c>
      <c r="L84" s="3" t="s">
        <v>46</v>
      </c>
      <c r="M84" s="1" t="s">
        <v>12</v>
      </c>
      <c r="N84" s="1" t="s">
        <v>76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77</v>
      </c>
      <c r="T84" s="1" t="s">
        <v>78</v>
      </c>
      <c r="U84" s="1" t="s">
        <v>79</v>
      </c>
      <c r="V84" s="3" t="s">
        <v>133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97</v>
      </c>
      <c r="AE84" s="1" t="s">
        <v>90</v>
      </c>
      <c r="AF84" s="1" t="s">
        <v>49</v>
      </c>
      <c r="AG84" s="1" t="s">
        <v>49</v>
      </c>
      <c r="AH84" s="1" t="s">
        <v>83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6" t="s">
        <v>49</v>
      </c>
      <c r="AW84" s="30" t="s">
        <v>49</v>
      </c>
    </row>
    <row r="85" spans="1:49" ht="14.4" customHeight="1">
      <c r="A85" s="1">
        <v>1</v>
      </c>
      <c r="B85" s="1" t="s">
        <v>38</v>
      </c>
      <c r="C85" s="1" t="s">
        <v>38</v>
      </c>
      <c r="D85" s="3" t="s">
        <v>548</v>
      </c>
      <c r="E85" s="3" t="s">
        <v>71</v>
      </c>
      <c r="F85" s="3">
        <v>1994</v>
      </c>
      <c r="G85" s="3" t="s">
        <v>72</v>
      </c>
      <c r="H85" s="3" t="s">
        <v>73</v>
      </c>
      <c r="I85" s="3" t="s">
        <v>74</v>
      </c>
      <c r="J85" s="3" t="s">
        <v>75</v>
      </c>
      <c r="K85" s="3" t="s">
        <v>45</v>
      </c>
      <c r="L85" s="3" t="s">
        <v>46</v>
      </c>
      <c r="M85" s="1" t="s">
        <v>12</v>
      </c>
      <c r="N85" s="1" t="s">
        <v>76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77</v>
      </c>
      <c r="T85" s="1" t="s">
        <v>78</v>
      </c>
      <c r="U85" s="1" t="s">
        <v>79</v>
      </c>
      <c r="V85" s="3" t="s">
        <v>133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97</v>
      </c>
      <c r="AE85" s="1" t="s">
        <v>84</v>
      </c>
      <c r="AF85" s="1" t="s">
        <v>49</v>
      </c>
      <c r="AG85" s="1" t="s">
        <v>49</v>
      </c>
      <c r="AH85" s="1" t="s">
        <v>83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6" t="s">
        <v>49</v>
      </c>
      <c r="AW85" s="30" t="s">
        <v>49</v>
      </c>
    </row>
    <row r="86" spans="1:49" ht="14.4" customHeight="1">
      <c r="A86" s="1">
        <v>1</v>
      </c>
      <c r="B86" s="1" t="s">
        <v>38</v>
      </c>
      <c r="C86" s="1" t="s">
        <v>38</v>
      </c>
      <c r="D86" s="3" t="s">
        <v>548</v>
      </c>
      <c r="E86" s="3" t="s">
        <v>71</v>
      </c>
      <c r="F86" s="3">
        <v>1994</v>
      </c>
      <c r="G86" s="3" t="s">
        <v>72</v>
      </c>
      <c r="H86" s="3" t="s">
        <v>73</v>
      </c>
      <c r="I86" s="3" t="s">
        <v>74</v>
      </c>
      <c r="J86" s="3" t="s">
        <v>75</v>
      </c>
      <c r="K86" s="3" t="s">
        <v>45</v>
      </c>
      <c r="L86" s="3" t="s">
        <v>46</v>
      </c>
      <c r="M86" s="1" t="s">
        <v>12</v>
      </c>
      <c r="N86" s="1" t="s">
        <v>76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77</v>
      </c>
      <c r="T86" s="1" t="s">
        <v>78</v>
      </c>
      <c r="U86" s="1" t="s">
        <v>79</v>
      </c>
      <c r="V86" s="3" t="s">
        <v>133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97</v>
      </c>
      <c r="AE86" s="1" t="s">
        <v>88</v>
      </c>
      <c r="AF86" s="1" t="s">
        <v>49</v>
      </c>
      <c r="AG86" s="1" t="s">
        <v>49</v>
      </c>
      <c r="AH86" s="1" t="s">
        <v>83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6" t="s">
        <v>49</v>
      </c>
      <c r="AW86" s="30" t="s">
        <v>49</v>
      </c>
    </row>
    <row r="87" spans="1:49" ht="14.4" customHeight="1">
      <c r="A87" s="1">
        <v>1</v>
      </c>
      <c r="B87" s="1" t="s">
        <v>38</v>
      </c>
      <c r="C87" s="1" t="s">
        <v>38</v>
      </c>
      <c r="D87" s="3" t="s">
        <v>548</v>
      </c>
      <c r="E87" s="3" t="s">
        <v>71</v>
      </c>
      <c r="F87" s="3">
        <v>1994</v>
      </c>
      <c r="G87" s="3" t="s">
        <v>72</v>
      </c>
      <c r="H87" s="3" t="s">
        <v>73</v>
      </c>
      <c r="I87" s="3" t="s">
        <v>74</v>
      </c>
      <c r="J87" s="3" t="s">
        <v>75</v>
      </c>
      <c r="K87" s="3" t="s">
        <v>45</v>
      </c>
      <c r="L87" s="3" t="s">
        <v>46</v>
      </c>
      <c r="M87" s="1" t="s">
        <v>12</v>
      </c>
      <c r="N87" s="1" t="s">
        <v>76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77</v>
      </c>
      <c r="T87" s="1" t="s">
        <v>78</v>
      </c>
      <c r="U87" s="1" t="s">
        <v>79</v>
      </c>
      <c r="V87" s="3" t="s">
        <v>133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97</v>
      </c>
      <c r="AE87" s="1" t="s">
        <v>87</v>
      </c>
      <c r="AF87" s="1" t="s">
        <v>49</v>
      </c>
      <c r="AG87" s="1" t="s">
        <v>49</v>
      </c>
      <c r="AH87" s="1" t="s">
        <v>83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6" t="s">
        <v>49</v>
      </c>
      <c r="AW87" s="30" t="s">
        <v>49</v>
      </c>
    </row>
    <row r="88" spans="1:49" ht="14.4" customHeight="1">
      <c r="A88" s="1">
        <v>1</v>
      </c>
      <c r="B88" s="1" t="s">
        <v>38</v>
      </c>
      <c r="C88" s="1" t="s">
        <v>38</v>
      </c>
      <c r="D88" s="3" t="s">
        <v>548</v>
      </c>
      <c r="E88" s="3" t="s">
        <v>71</v>
      </c>
      <c r="F88" s="3">
        <v>1994</v>
      </c>
      <c r="G88" s="3" t="s">
        <v>72</v>
      </c>
      <c r="H88" s="3" t="s">
        <v>73</v>
      </c>
      <c r="I88" s="3" t="s">
        <v>74</v>
      </c>
      <c r="J88" s="3" t="s">
        <v>75</v>
      </c>
      <c r="K88" s="3" t="s">
        <v>45</v>
      </c>
      <c r="L88" s="3" t="s">
        <v>46</v>
      </c>
      <c r="M88" s="1" t="s">
        <v>12</v>
      </c>
      <c r="N88" s="1" t="s">
        <v>76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77</v>
      </c>
      <c r="T88" s="1" t="s">
        <v>78</v>
      </c>
      <c r="U88" s="1" t="s">
        <v>79</v>
      </c>
      <c r="V88" s="3" t="s">
        <v>133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97</v>
      </c>
      <c r="AE88" s="1" t="s">
        <v>93</v>
      </c>
      <c r="AF88" s="1" t="s">
        <v>49</v>
      </c>
      <c r="AG88" s="1" t="s">
        <v>49</v>
      </c>
      <c r="AH88" s="1" t="s">
        <v>83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6" t="s">
        <v>49</v>
      </c>
      <c r="AW88" s="30" t="s">
        <v>49</v>
      </c>
    </row>
    <row r="89" spans="1:49" ht="14.4" customHeight="1">
      <c r="A89" s="1">
        <v>1</v>
      </c>
      <c r="B89" s="1" t="s">
        <v>38</v>
      </c>
      <c r="C89" s="1" t="s">
        <v>38</v>
      </c>
      <c r="D89" s="3" t="s">
        <v>548</v>
      </c>
      <c r="E89" s="3" t="s">
        <v>71</v>
      </c>
      <c r="F89" s="3">
        <v>1994</v>
      </c>
      <c r="G89" s="3" t="s">
        <v>72</v>
      </c>
      <c r="H89" s="3" t="s">
        <v>73</v>
      </c>
      <c r="I89" s="3" t="s">
        <v>74</v>
      </c>
      <c r="J89" s="3" t="s">
        <v>75</v>
      </c>
      <c r="K89" s="3" t="s">
        <v>45</v>
      </c>
      <c r="L89" s="3" t="s">
        <v>46</v>
      </c>
      <c r="M89" s="1" t="s">
        <v>12</v>
      </c>
      <c r="N89" s="1" t="s">
        <v>76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77</v>
      </c>
      <c r="T89" s="1" t="s">
        <v>78</v>
      </c>
      <c r="U89" s="1" t="s">
        <v>79</v>
      </c>
      <c r="V89" s="3" t="s">
        <v>133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89</v>
      </c>
      <c r="AE89" s="1" t="s">
        <v>90</v>
      </c>
      <c r="AF89" s="1" t="s">
        <v>49</v>
      </c>
      <c r="AG89" s="1" t="s">
        <v>49</v>
      </c>
      <c r="AH89" s="1" t="s">
        <v>83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6" t="s">
        <v>49</v>
      </c>
      <c r="AW89" s="30" t="s">
        <v>49</v>
      </c>
    </row>
    <row r="90" spans="1:49" ht="14.4" customHeight="1">
      <c r="A90" s="1">
        <v>1</v>
      </c>
      <c r="B90" s="1" t="s">
        <v>38</v>
      </c>
      <c r="C90" s="1" t="s">
        <v>38</v>
      </c>
      <c r="D90" s="3" t="s">
        <v>548</v>
      </c>
      <c r="E90" s="3" t="s">
        <v>71</v>
      </c>
      <c r="F90" s="3">
        <v>1994</v>
      </c>
      <c r="G90" s="3" t="s">
        <v>72</v>
      </c>
      <c r="H90" s="3" t="s">
        <v>73</v>
      </c>
      <c r="I90" s="3" t="s">
        <v>74</v>
      </c>
      <c r="J90" s="3" t="s">
        <v>75</v>
      </c>
      <c r="K90" s="3" t="s">
        <v>45</v>
      </c>
      <c r="L90" s="3" t="s">
        <v>46</v>
      </c>
      <c r="M90" s="1" t="s">
        <v>12</v>
      </c>
      <c r="N90" s="1" t="s">
        <v>76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77</v>
      </c>
      <c r="T90" s="1" t="s">
        <v>78</v>
      </c>
      <c r="U90" s="1" t="s">
        <v>79</v>
      </c>
      <c r="V90" s="3" t="s">
        <v>133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89</v>
      </c>
      <c r="AE90" s="1" t="s">
        <v>84</v>
      </c>
      <c r="AF90" s="1" t="s">
        <v>49</v>
      </c>
      <c r="AG90" s="1" t="s">
        <v>49</v>
      </c>
      <c r="AH90" s="1" t="s">
        <v>83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6" t="s">
        <v>49</v>
      </c>
      <c r="AW90" s="30" t="s">
        <v>49</v>
      </c>
    </row>
    <row r="91" spans="1:49" ht="14.4" customHeight="1">
      <c r="A91" s="1">
        <v>1</v>
      </c>
      <c r="B91" s="1" t="s">
        <v>38</v>
      </c>
      <c r="C91" s="1" t="s">
        <v>38</v>
      </c>
      <c r="D91" s="3" t="s">
        <v>548</v>
      </c>
      <c r="E91" s="3" t="s">
        <v>71</v>
      </c>
      <c r="F91" s="3">
        <v>1994</v>
      </c>
      <c r="G91" s="3" t="s">
        <v>72</v>
      </c>
      <c r="H91" s="3" t="s">
        <v>73</v>
      </c>
      <c r="I91" s="3" t="s">
        <v>74</v>
      </c>
      <c r="J91" s="3" t="s">
        <v>75</v>
      </c>
      <c r="K91" s="3" t="s">
        <v>45</v>
      </c>
      <c r="L91" s="3" t="s">
        <v>46</v>
      </c>
      <c r="M91" s="1" t="s">
        <v>12</v>
      </c>
      <c r="N91" s="1" t="s">
        <v>76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77</v>
      </c>
      <c r="T91" s="1" t="s">
        <v>78</v>
      </c>
      <c r="U91" s="1" t="s">
        <v>79</v>
      </c>
      <c r="V91" s="3" t="s">
        <v>133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89</v>
      </c>
      <c r="AE91" s="1" t="s">
        <v>88</v>
      </c>
      <c r="AF91" s="1" t="s">
        <v>49</v>
      </c>
      <c r="AG91" s="1" t="s">
        <v>49</v>
      </c>
      <c r="AH91" s="1" t="s">
        <v>83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6" t="s">
        <v>49</v>
      </c>
      <c r="AW91" s="30" t="s">
        <v>49</v>
      </c>
    </row>
    <row r="92" spans="1:49" ht="14.4" customHeight="1">
      <c r="A92" s="1">
        <v>1</v>
      </c>
      <c r="B92" s="1" t="s">
        <v>38</v>
      </c>
      <c r="C92" s="1" t="s">
        <v>38</v>
      </c>
      <c r="D92" s="3" t="s">
        <v>548</v>
      </c>
      <c r="E92" s="3" t="s">
        <v>71</v>
      </c>
      <c r="F92" s="3">
        <v>1994</v>
      </c>
      <c r="G92" s="3" t="s">
        <v>72</v>
      </c>
      <c r="H92" s="3" t="s">
        <v>73</v>
      </c>
      <c r="I92" s="3" t="s">
        <v>74</v>
      </c>
      <c r="J92" s="3" t="s">
        <v>75</v>
      </c>
      <c r="K92" s="3" t="s">
        <v>45</v>
      </c>
      <c r="L92" s="3" t="s">
        <v>46</v>
      </c>
      <c r="M92" s="1" t="s">
        <v>12</v>
      </c>
      <c r="N92" s="1" t="s">
        <v>76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77</v>
      </c>
      <c r="T92" s="1" t="s">
        <v>78</v>
      </c>
      <c r="U92" s="1" t="s">
        <v>79</v>
      </c>
      <c r="V92" s="3" t="s">
        <v>133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89</v>
      </c>
      <c r="AE92" s="1" t="s">
        <v>87</v>
      </c>
      <c r="AF92" s="1" t="s">
        <v>49</v>
      </c>
      <c r="AG92" s="1" t="s">
        <v>49</v>
      </c>
      <c r="AH92" s="1" t="s">
        <v>83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6" t="s">
        <v>49</v>
      </c>
      <c r="AW92" s="30" t="s">
        <v>49</v>
      </c>
    </row>
    <row r="93" spans="1:49" ht="14.4" customHeight="1">
      <c r="A93" s="1">
        <v>1</v>
      </c>
      <c r="B93" s="1" t="s">
        <v>38</v>
      </c>
      <c r="C93" s="1" t="s">
        <v>38</v>
      </c>
      <c r="D93" s="3" t="s">
        <v>548</v>
      </c>
      <c r="E93" s="3" t="s">
        <v>71</v>
      </c>
      <c r="F93" s="3">
        <v>1994</v>
      </c>
      <c r="G93" s="3" t="s">
        <v>72</v>
      </c>
      <c r="H93" s="3" t="s">
        <v>73</v>
      </c>
      <c r="I93" s="3" t="s">
        <v>74</v>
      </c>
      <c r="J93" s="3" t="s">
        <v>75</v>
      </c>
      <c r="K93" s="3" t="s">
        <v>45</v>
      </c>
      <c r="L93" s="3" t="s">
        <v>46</v>
      </c>
      <c r="M93" s="1" t="s">
        <v>12</v>
      </c>
      <c r="N93" s="1" t="s">
        <v>76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77</v>
      </c>
      <c r="T93" s="1" t="s">
        <v>78</v>
      </c>
      <c r="U93" s="1" t="s">
        <v>79</v>
      </c>
      <c r="V93" s="3" t="s">
        <v>133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89</v>
      </c>
      <c r="AE93" s="1" t="s">
        <v>93</v>
      </c>
      <c r="AF93" s="1" t="s">
        <v>49</v>
      </c>
      <c r="AG93" s="1" t="s">
        <v>49</v>
      </c>
      <c r="AH93" s="1" t="s">
        <v>83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6" t="s">
        <v>49</v>
      </c>
      <c r="AW93" s="30" t="s">
        <v>49</v>
      </c>
    </row>
    <row r="94" spans="1:49" ht="14.4" customHeight="1">
      <c r="A94" s="1">
        <v>1</v>
      </c>
      <c r="B94" s="1" t="s">
        <v>38</v>
      </c>
      <c r="C94" s="1" t="s">
        <v>38</v>
      </c>
      <c r="D94" s="3" t="s">
        <v>548</v>
      </c>
      <c r="E94" s="3" t="s">
        <v>71</v>
      </c>
      <c r="F94" s="3">
        <v>1994</v>
      </c>
      <c r="G94" s="3" t="s">
        <v>72</v>
      </c>
      <c r="H94" s="3" t="s">
        <v>73</v>
      </c>
      <c r="I94" s="3" t="s">
        <v>74</v>
      </c>
      <c r="J94" s="3" t="s">
        <v>75</v>
      </c>
      <c r="K94" s="3" t="s">
        <v>45</v>
      </c>
      <c r="L94" s="3" t="s">
        <v>46</v>
      </c>
      <c r="M94" s="1" t="s">
        <v>12</v>
      </c>
      <c r="N94" s="1" t="s">
        <v>76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77</v>
      </c>
      <c r="T94" s="1" t="s">
        <v>78</v>
      </c>
      <c r="U94" s="1" t="s">
        <v>79</v>
      </c>
      <c r="V94" s="3" t="s">
        <v>133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90</v>
      </c>
      <c r="AE94" s="1" t="s">
        <v>84</v>
      </c>
      <c r="AF94" s="1" t="s">
        <v>49</v>
      </c>
      <c r="AG94" s="1" t="s">
        <v>49</v>
      </c>
      <c r="AH94" s="1" t="s">
        <v>83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6" t="s">
        <v>49</v>
      </c>
      <c r="AW94" s="30" t="s">
        <v>49</v>
      </c>
    </row>
    <row r="95" spans="1:49" ht="14.4" customHeight="1">
      <c r="A95" s="1">
        <v>1</v>
      </c>
      <c r="B95" s="1" t="s">
        <v>38</v>
      </c>
      <c r="C95" s="1" t="s">
        <v>38</v>
      </c>
      <c r="D95" s="3" t="s">
        <v>548</v>
      </c>
      <c r="E95" s="3" t="s">
        <v>71</v>
      </c>
      <c r="F95" s="3">
        <v>1994</v>
      </c>
      <c r="G95" s="3" t="s">
        <v>72</v>
      </c>
      <c r="H95" s="3" t="s">
        <v>73</v>
      </c>
      <c r="I95" s="3" t="s">
        <v>74</v>
      </c>
      <c r="J95" s="3" t="s">
        <v>75</v>
      </c>
      <c r="K95" s="3" t="s">
        <v>45</v>
      </c>
      <c r="L95" s="3" t="s">
        <v>46</v>
      </c>
      <c r="M95" s="1" t="s">
        <v>12</v>
      </c>
      <c r="N95" s="1" t="s">
        <v>76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77</v>
      </c>
      <c r="T95" s="1" t="s">
        <v>78</v>
      </c>
      <c r="U95" s="1" t="s">
        <v>79</v>
      </c>
      <c r="V95" s="3" t="s">
        <v>133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90</v>
      </c>
      <c r="AE95" s="1" t="s">
        <v>88</v>
      </c>
      <c r="AF95" s="1" t="s">
        <v>49</v>
      </c>
      <c r="AG95" s="1" t="s">
        <v>49</v>
      </c>
      <c r="AH95" s="1" t="s">
        <v>83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6" t="s">
        <v>49</v>
      </c>
      <c r="AW95" s="30" t="s">
        <v>49</v>
      </c>
    </row>
    <row r="96" spans="1:49" ht="14.4" customHeight="1">
      <c r="A96" s="1">
        <v>1</v>
      </c>
      <c r="B96" s="1" t="s">
        <v>38</v>
      </c>
      <c r="C96" s="1" t="s">
        <v>38</v>
      </c>
      <c r="D96" s="3" t="s">
        <v>548</v>
      </c>
      <c r="E96" s="3" t="s">
        <v>71</v>
      </c>
      <c r="F96" s="3">
        <v>1994</v>
      </c>
      <c r="G96" s="3" t="s">
        <v>72</v>
      </c>
      <c r="H96" s="3" t="s">
        <v>73</v>
      </c>
      <c r="I96" s="3" t="s">
        <v>74</v>
      </c>
      <c r="J96" s="3" t="s">
        <v>75</v>
      </c>
      <c r="K96" s="3" t="s">
        <v>45</v>
      </c>
      <c r="L96" s="3" t="s">
        <v>46</v>
      </c>
      <c r="M96" s="1" t="s">
        <v>12</v>
      </c>
      <c r="N96" s="1" t="s">
        <v>76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77</v>
      </c>
      <c r="T96" s="1" t="s">
        <v>78</v>
      </c>
      <c r="U96" s="1" t="s">
        <v>79</v>
      </c>
      <c r="V96" s="3" t="s">
        <v>133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90</v>
      </c>
      <c r="AE96" s="1" t="s">
        <v>87</v>
      </c>
      <c r="AF96" s="1" t="s">
        <v>49</v>
      </c>
      <c r="AG96" s="1" t="s">
        <v>49</v>
      </c>
      <c r="AH96" s="1" t="s">
        <v>83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6" t="s">
        <v>49</v>
      </c>
      <c r="AW96" s="30" t="s">
        <v>49</v>
      </c>
    </row>
    <row r="97" spans="1:49" ht="14.4" customHeight="1">
      <c r="A97" s="1">
        <v>1</v>
      </c>
      <c r="B97" s="1" t="s">
        <v>38</v>
      </c>
      <c r="C97" s="1" t="s">
        <v>38</v>
      </c>
      <c r="D97" s="3" t="s">
        <v>548</v>
      </c>
      <c r="E97" s="3" t="s">
        <v>71</v>
      </c>
      <c r="F97" s="3">
        <v>1994</v>
      </c>
      <c r="G97" s="3" t="s">
        <v>72</v>
      </c>
      <c r="H97" s="3" t="s">
        <v>73</v>
      </c>
      <c r="I97" s="3" t="s">
        <v>74</v>
      </c>
      <c r="J97" s="3" t="s">
        <v>75</v>
      </c>
      <c r="K97" s="3" t="s">
        <v>45</v>
      </c>
      <c r="L97" s="3" t="s">
        <v>46</v>
      </c>
      <c r="M97" s="1" t="s">
        <v>12</v>
      </c>
      <c r="N97" s="1" t="s">
        <v>76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77</v>
      </c>
      <c r="T97" s="1" t="s">
        <v>78</v>
      </c>
      <c r="U97" s="1" t="s">
        <v>79</v>
      </c>
      <c r="V97" s="3" t="s">
        <v>133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90</v>
      </c>
      <c r="AE97" s="1" t="s">
        <v>93</v>
      </c>
      <c r="AF97" s="1" t="s">
        <v>49</v>
      </c>
      <c r="AG97" s="1" t="s">
        <v>49</v>
      </c>
      <c r="AH97" s="1" t="s">
        <v>83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6" t="s">
        <v>49</v>
      </c>
      <c r="AW97" s="30" t="s">
        <v>49</v>
      </c>
    </row>
    <row r="98" spans="1:49" ht="14.4" customHeight="1">
      <c r="A98" s="1">
        <v>1</v>
      </c>
      <c r="B98" s="1" t="s">
        <v>38</v>
      </c>
      <c r="C98" s="1" t="s">
        <v>38</v>
      </c>
      <c r="D98" s="3" t="s">
        <v>548</v>
      </c>
      <c r="E98" s="3" t="s">
        <v>71</v>
      </c>
      <c r="F98" s="3">
        <v>1994</v>
      </c>
      <c r="G98" s="3" t="s">
        <v>72</v>
      </c>
      <c r="H98" s="3" t="s">
        <v>73</v>
      </c>
      <c r="I98" s="3" t="s">
        <v>74</v>
      </c>
      <c r="J98" s="3" t="s">
        <v>75</v>
      </c>
      <c r="K98" s="3" t="s">
        <v>45</v>
      </c>
      <c r="L98" s="3" t="s">
        <v>46</v>
      </c>
      <c r="M98" s="1" t="s">
        <v>12</v>
      </c>
      <c r="N98" s="1" t="s">
        <v>76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77</v>
      </c>
      <c r="T98" s="1" t="s">
        <v>78</v>
      </c>
      <c r="U98" s="1" t="s">
        <v>79</v>
      </c>
      <c r="V98" s="3" t="s">
        <v>133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84</v>
      </c>
      <c r="AE98" s="1" t="s">
        <v>88</v>
      </c>
      <c r="AF98" s="1" t="s">
        <v>49</v>
      </c>
      <c r="AG98" s="1" t="s">
        <v>49</v>
      </c>
      <c r="AH98" s="1" t="s">
        <v>83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6" t="s">
        <v>49</v>
      </c>
      <c r="AW98" s="30" t="s">
        <v>49</v>
      </c>
    </row>
    <row r="99" spans="1:49" ht="14.4" customHeight="1">
      <c r="A99" s="1">
        <v>1</v>
      </c>
      <c r="B99" s="1" t="s">
        <v>38</v>
      </c>
      <c r="C99" s="1" t="s">
        <v>38</v>
      </c>
      <c r="D99" s="3" t="s">
        <v>548</v>
      </c>
      <c r="E99" s="3" t="s">
        <v>71</v>
      </c>
      <c r="F99" s="3">
        <v>1994</v>
      </c>
      <c r="G99" s="3" t="s">
        <v>72</v>
      </c>
      <c r="H99" s="3" t="s">
        <v>73</v>
      </c>
      <c r="I99" s="3" t="s">
        <v>74</v>
      </c>
      <c r="J99" s="3" t="s">
        <v>75</v>
      </c>
      <c r="K99" s="3" t="s">
        <v>45</v>
      </c>
      <c r="L99" s="3" t="s">
        <v>46</v>
      </c>
      <c r="M99" s="1" t="s">
        <v>12</v>
      </c>
      <c r="N99" s="1" t="s">
        <v>76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77</v>
      </c>
      <c r="T99" s="1" t="s">
        <v>78</v>
      </c>
      <c r="U99" s="1" t="s">
        <v>79</v>
      </c>
      <c r="V99" s="3" t="s">
        <v>133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84</v>
      </c>
      <c r="AE99" s="1" t="s">
        <v>87</v>
      </c>
      <c r="AF99" s="1" t="s">
        <v>49</v>
      </c>
      <c r="AG99" s="1" t="s">
        <v>49</v>
      </c>
      <c r="AH99" s="1" t="s">
        <v>83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6" t="s">
        <v>49</v>
      </c>
      <c r="AW99" s="30" t="s">
        <v>49</v>
      </c>
    </row>
    <row r="100" spans="1:49" ht="14.4" customHeight="1">
      <c r="A100" s="1">
        <v>1</v>
      </c>
      <c r="B100" s="1" t="s">
        <v>38</v>
      </c>
      <c r="C100" s="1" t="s">
        <v>38</v>
      </c>
      <c r="D100" s="3" t="s">
        <v>548</v>
      </c>
      <c r="E100" s="3" t="s">
        <v>71</v>
      </c>
      <c r="F100" s="3">
        <v>1994</v>
      </c>
      <c r="G100" s="3" t="s">
        <v>72</v>
      </c>
      <c r="H100" s="3" t="s">
        <v>73</v>
      </c>
      <c r="I100" s="3" t="s">
        <v>74</v>
      </c>
      <c r="J100" s="3" t="s">
        <v>75</v>
      </c>
      <c r="K100" s="3" t="s">
        <v>45</v>
      </c>
      <c r="L100" s="3" t="s">
        <v>46</v>
      </c>
      <c r="M100" s="1" t="s">
        <v>12</v>
      </c>
      <c r="N100" s="1" t="s">
        <v>76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77</v>
      </c>
      <c r="T100" s="1" t="s">
        <v>78</v>
      </c>
      <c r="U100" s="1" t="s">
        <v>79</v>
      </c>
      <c r="V100" s="3" t="s">
        <v>133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84</v>
      </c>
      <c r="AE100" s="1" t="s">
        <v>93</v>
      </c>
      <c r="AF100" s="1" t="s">
        <v>49</v>
      </c>
      <c r="AG100" s="1" t="s">
        <v>49</v>
      </c>
      <c r="AH100" s="1" t="s">
        <v>83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6" t="s">
        <v>49</v>
      </c>
      <c r="AW100" s="30" t="s">
        <v>49</v>
      </c>
    </row>
    <row r="101" spans="1:49" ht="14.4" customHeight="1">
      <c r="A101" s="1">
        <v>1</v>
      </c>
      <c r="B101" s="1" t="s">
        <v>38</v>
      </c>
      <c r="C101" s="1" t="s">
        <v>38</v>
      </c>
      <c r="D101" s="3" t="s">
        <v>548</v>
      </c>
      <c r="E101" s="3" t="s">
        <v>71</v>
      </c>
      <c r="F101" s="3">
        <v>1994</v>
      </c>
      <c r="G101" s="3" t="s">
        <v>72</v>
      </c>
      <c r="H101" s="3" t="s">
        <v>73</v>
      </c>
      <c r="I101" s="3" t="s">
        <v>74</v>
      </c>
      <c r="J101" s="3" t="s">
        <v>75</v>
      </c>
      <c r="K101" s="3" t="s">
        <v>45</v>
      </c>
      <c r="L101" s="3" t="s">
        <v>46</v>
      </c>
      <c r="M101" s="1" t="s">
        <v>12</v>
      </c>
      <c r="N101" s="1" t="s">
        <v>76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77</v>
      </c>
      <c r="T101" s="1" t="s">
        <v>78</v>
      </c>
      <c r="U101" s="1" t="s">
        <v>79</v>
      </c>
      <c r="V101" s="3" t="s">
        <v>133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88</v>
      </c>
      <c r="AE101" s="1" t="s">
        <v>87</v>
      </c>
      <c r="AF101" s="1" t="s">
        <v>49</v>
      </c>
      <c r="AG101" s="1" t="s">
        <v>49</v>
      </c>
      <c r="AH101" s="1" t="s">
        <v>83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6" t="s">
        <v>49</v>
      </c>
      <c r="AW101" s="30" t="s">
        <v>49</v>
      </c>
    </row>
    <row r="102" spans="1:49" ht="14.4" customHeight="1">
      <c r="A102" s="1">
        <v>1</v>
      </c>
      <c r="B102" s="1" t="s">
        <v>38</v>
      </c>
      <c r="C102" s="1" t="s">
        <v>38</v>
      </c>
      <c r="D102" s="3" t="s">
        <v>548</v>
      </c>
      <c r="E102" s="3" t="s">
        <v>71</v>
      </c>
      <c r="F102" s="3">
        <v>1994</v>
      </c>
      <c r="G102" s="3" t="s">
        <v>72</v>
      </c>
      <c r="H102" s="3" t="s">
        <v>73</v>
      </c>
      <c r="I102" s="3" t="s">
        <v>74</v>
      </c>
      <c r="J102" s="3" t="s">
        <v>75</v>
      </c>
      <c r="K102" s="3" t="s">
        <v>45</v>
      </c>
      <c r="L102" s="3" t="s">
        <v>46</v>
      </c>
      <c r="M102" s="1" t="s">
        <v>12</v>
      </c>
      <c r="N102" s="1" t="s">
        <v>76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77</v>
      </c>
      <c r="T102" s="1" t="s">
        <v>78</v>
      </c>
      <c r="U102" s="1" t="s">
        <v>79</v>
      </c>
      <c r="V102" s="3" t="s">
        <v>133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88</v>
      </c>
      <c r="AE102" s="1" t="s">
        <v>93</v>
      </c>
      <c r="AF102" s="1" t="s">
        <v>49</v>
      </c>
      <c r="AG102" s="1" t="s">
        <v>49</v>
      </c>
      <c r="AH102" s="1" t="s">
        <v>83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6" t="s">
        <v>49</v>
      </c>
      <c r="AW102" s="30" t="s">
        <v>49</v>
      </c>
    </row>
    <row r="103" spans="1:49" ht="14.4" customHeight="1">
      <c r="A103" s="1">
        <v>1</v>
      </c>
      <c r="B103" s="1" t="s">
        <v>38</v>
      </c>
      <c r="C103" s="1" t="s">
        <v>38</v>
      </c>
      <c r="D103" s="3" t="s">
        <v>548</v>
      </c>
      <c r="E103" s="3" t="s">
        <v>71</v>
      </c>
      <c r="F103" s="3">
        <v>1994</v>
      </c>
      <c r="G103" s="3" t="s">
        <v>72</v>
      </c>
      <c r="H103" s="3" t="s">
        <v>73</v>
      </c>
      <c r="I103" s="3" t="s">
        <v>74</v>
      </c>
      <c r="J103" s="3" t="s">
        <v>75</v>
      </c>
      <c r="K103" s="3" t="s">
        <v>45</v>
      </c>
      <c r="L103" s="3" t="s">
        <v>46</v>
      </c>
      <c r="M103" s="1" t="s">
        <v>12</v>
      </c>
      <c r="N103" s="1" t="s">
        <v>76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77</v>
      </c>
      <c r="T103" s="1" t="s">
        <v>78</v>
      </c>
      <c r="U103" s="1" t="s">
        <v>79</v>
      </c>
      <c r="V103" s="3" t="s">
        <v>133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87</v>
      </c>
      <c r="AE103" s="1" t="s">
        <v>93</v>
      </c>
      <c r="AF103" s="1" t="s">
        <v>49</v>
      </c>
      <c r="AG103" s="1" t="s">
        <v>49</v>
      </c>
      <c r="AH103" s="1" t="s">
        <v>83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6" t="s">
        <v>49</v>
      </c>
      <c r="AW103" s="30" t="s">
        <v>49</v>
      </c>
    </row>
    <row r="104" spans="1:49" ht="14.4" customHeight="1">
      <c r="A104" s="1">
        <v>1</v>
      </c>
      <c r="B104" s="1" t="s">
        <v>38</v>
      </c>
      <c r="C104" s="1" t="s">
        <v>38</v>
      </c>
      <c r="D104" s="3" t="s">
        <v>548</v>
      </c>
      <c r="E104" s="3" t="s">
        <v>71</v>
      </c>
      <c r="F104" s="3">
        <v>1994</v>
      </c>
      <c r="G104" s="3" t="s">
        <v>72</v>
      </c>
      <c r="H104" s="3" t="s">
        <v>73</v>
      </c>
      <c r="I104" s="3" t="s">
        <v>219</v>
      </c>
      <c r="J104" s="3" t="s">
        <v>220</v>
      </c>
      <c r="K104" s="3" t="s">
        <v>45</v>
      </c>
      <c r="L104" s="3" t="s">
        <v>46</v>
      </c>
      <c r="M104" s="1" t="s">
        <v>12</v>
      </c>
      <c r="N104" s="1" t="s">
        <v>80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79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81</v>
      </c>
      <c r="AD104" s="1" t="s">
        <v>82</v>
      </c>
      <c r="AE104" s="1" t="s">
        <v>82</v>
      </c>
      <c r="AF104" s="1" t="s">
        <v>60</v>
      </c>
      <c r="AG104" s="1" t="s">
        <v>61</v>
      </c>
      <c r="AH104" s="1" t="s">
        <v>199</v>
      </c>
      <c r="AI104" s="1" t="s">
        <v>200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6" t="s">
        <v>49</v>
      </c>
      <c r="AS104" s="1">
        <f t="shared" ref="AS104:AS110" si="10">AL104*AN104</f>
        <v>9.9000000000000008E-3</v>
      </c>
      <c r="AT104" s="4">
        <f t="shared" ref="AT104:AT110" si="11">AS104/(AM104^2)*100</f>
        <v>8.6146135171117549E-2</v>
      </c>
      <c r="AU104" s="5">
        <v>0</v>
      </c>
      <c r="AV104" s="4">
        <f t="shared" ref="AV104:AV110" si="12">AT104*(1-AL104)/AL104</f>
        <v>0.43595165374474637</v>
      </c>
      <c r="AW104" s="29" t="s">
        <v>221</v>
      </c>
    </row>
    <row r="105" spans="1:49">
      <c r="A105" s="1">
        <v>1</v>
      </c>
      <c r="B105" s="1" t="s">
        <v>38</v>
      </c>
      <c r="C105" s="1" t="s">
        <v>38</v>
      </c>
      <c r="D105" s="3" t="s">
        <v>548</v>
      </c>
      <c r="E105" s="3" t="s">
        <v>71</v>
      </c>
      <c r="F105" s="3">
        <v>1994</v>
      </c>
      <c r="G105" s="3" t="s">
        <v>72</v>
      </c>
      <c r="H105" s="3" t="s">
        <v>73</v>
      </c>
      <c r="I105" s="3" t="s">
        <v>219</v>
      </c>
      <c r="J105" s="3" t="s">
        <v>220</v>
      </c>
      <c r="K105" s="3" t="s">
        <v>45</v>
      </c>
      <c r="L105" s="3" t="s">
        <v>46</v>
      </c>
      <c r="M105" s="1" t="s">
        <v>12</v>
      </c>
      <c r="N105" s="1" t="s">
        <v>80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79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84</v>
      </c>
      <c r="AE105" s="1" t="s">
        <v>84</v>
      </c>
      <c r="AF105" s="1" t="s">
        <v>60</v>
      </c>
      <c r="AG105" s="1" t="s">
        <v>61</v>
      </c>
      <c r="AH105" s="1" t="s">
        <v>199</v>
      </c>
      <c r="AI105" s="1" t="s">
        <v>200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6" t="s">
        <v>49</v>
      </c>
      <c r="AS105" s="1">
        <f t="shared" si="10"/>
        <v>4.5560000000000003E-2</v>
      </c>
      <c r="AT105" s="4">
        <f t="shared" si="11"/>
        <v>0.15624142661179696</v>
      </c>
      <c r="AU105" s="5">
        <v>0</v>
      </c>
      <c r="AV105" s="4">
        <f t="shared" si="12"/>
        <v>0.42674897119341554</v>
      </c>
      <c r="AW105" s="29" t="s">
        <v>221</v>
      </c>
    </row>
    <row r="106" spans="1:49">
      <c r="A106" s="1">
        <v>1</v>
      </c>
      <c r="B106" s="1" t="s">
        <v>38</v>
      </c>
      <c r="C106" s="1" t="s">
        <v>38</v>
      </c>
      <c r="D106" s="3" t="s">
        <v>548</v>
      </c>
      <c r="E106" s="3" t="s">
        <v>71</v>
      </c>
      <c r="F106" s="3">
        <v>1994</v>
      </c>
      <c r="G106" s="3" t="s">
        <v>72</v>
      </c>
      <c r="H106" s="3" t="s">
        <v>73</v>
      </c>
      <c r="I106" s="3" t="s">
        <v>219</v>
      </c>
      <c r="J106" s="3" t="s">
        <v>220</v>
      </c>
      <c r="K106" s="3" t="s">
        <v>45</v>
      </c>
      <c r="L106" s="3" t="s">
        <v>46</v>
      </c>
      <c r="M106" s="1" t="s">
        <v>12</v>
      </c>
      <c r="N106" s="1" t="s">
        <v>80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79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85</v>
      </c>
      <c r="AE106" s="1" t="s">
        <v>85</v>
      </c>
      <c r="AF106" s="1" t="s">
        <v>60</v>
      </c>
      <c r="AG106" s="1" t="s">
        <v>61</v>
      </c>
      <c r="AH106" s="1" t="s">
        <v>199</v>
      </c>
      <c r="AI106" s="1" t="s">
        <v>200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6" t="s">
        <v>49</v>
      </c>
      <c r="AS106" s="1">
        <f t="shared" si="10"/>
        <v>1.1009999999999999E-2</v>
      </c>
      <c r="AT106" s="4">
        <f t="shared" si="11"/>
        <v>0.27251800698002532</v>
      </c>
      <c r="AU106" s="5">
        <v>0</v>
      </c>
      <c r="AV106" s="4">
        <f t="shared" si="12"/>
        <v>0.47003787034974398</v>
      </c>
      <c r="AW106" s="29" t="s">
        <v>221</v>
      </c>
    </row>
    <row r="107" spans="1:49">
      <c r="A107" s="1">
        <v>1</v>
      </c>
      <c r="B107" s="1" t="s">
        <v>38</v>
      </c>
      <c r="C107" s="1" t="s">
        <v>38</v>
      </c>
      <c r="D107" s="3" t="s">
        <v>548</v>
      </c>
      <c r="E107" s="3" t="s">
        <v>71</v>
      </c>
      <c r="F107" s="3">
        <v>1994</v>
      </c>
      <c r="G107" s="3" t="s">
        <v>72</v>
      </c>
      <c r="H107" s="3" t="s">
        <v>73</v>
      </c>
      <c r="I107" s="3" t="s">
        <v>219</v>
      </c>
      <c r="J107" s="3" t="s">
        <v>220</v>
      </c>
      <c r="K107" s="3" t="s">
        <v>45</v>
      </c>
      <c r="L107" s="3" t="s">
        <v>46</v>
      </c>
      <c r="M107" s="1" t="s">
        <v>12</v>
      </c>
      <c r="N107" s="1" t="s">
        <v>80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79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86</v>
      </c>
      <c r="AD107" s="1" t="s">
        <v>87</v>
      </c>
      <c r="AE107" s="1" t="s">
        <v>87</v>
      </c>
      <c r="AF107" s="1" t="s">
        <v>60</v>
      </c>
      <c r="AG107" s="1" t="s">
        <v>61</v>
      </c>
      <c r="AH107" s="1" t="s">
        <v>199</v>
      </c>
      <c r="AI107" s="1" t="s">
        <v>200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6" t="s">
        <v>49</v>
      </c>
      <c r="AS107" s="1">
        <f t="shared" si="10"/>
        <v>4.7199999999999999E-2</v>
      </c>
      <c r="AT107" s="4">
        <f t="shared" si="11"/>
        <v>9.6051900586282893E-2</v>
      </c>
      <c r="AU107" s="5">
        <v>0</v>
      </c>
      <c r="AV107" s="4">
        <f t="shared" si="12"/>
        <v>0.31094767816915314</v>
      </c>
      <c r="AW107" s="29" t="s">
        <v>221</v>
      </c>
    </row>
    <row r="108" spans="1:49">
      <c r="A108" s="1">
        <v>1</v>
      </c>
      <c r="B108" s="1" t="s">
        <v>38</v>
      </c>
      <c r="C108" s="1" t="s">
        <v>38</v>
      </c>
      <c r="D108" s="3" t="s">
        <v>548</v>
      </c>
      <c r="E108" s="3" t="s">
        <v>71</v>
      </c>
      <c r="F108" s="3">
        <v>1994</v>
      </c>
      <c r="G108" s="3" t="s">
        <v>72</v>
      </c>
      <c r="H108" s="3" t="s">
        <v>73</v>
      </c>
      <c r="I108" s="3" t="s">
        <v>219</v>
      </c>
      <c r="J108" s="3" t="s">
        <v>220</v>
      </c>
      <c r="K108" s="3" t="s">
        <v>45</v>
      </c>
      <c r="L108" s="3" t="s">
        <v>46</v>
      </c>
      <c r="M108" s="1" t="s">
        <v>12</v>
      </c>
      <c r="N108" s="1" t="s">
        <v>80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79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86</v>
      </c>
      <c r="AD108" s="1" t="s">
        <v>88</v>
      </c>
      <c r="AE108" s="1" t="s">
        <v>88</v>
      </c>
      <c r="AF108" s="1" t="s">
        <v>60</v>
      </c>
      <c r="AG108" s="1" t="s">
        <v>61</v>
      </c>
      <c r="AH108" s="1" t="s">
        <v>199</v>
      </c>
      <c r="AI108" s="1" t="s">
        <v>200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6" t="s">
        <v>49</v>
      </c>
      <c r="AS108" s="1">
        <f t="shared" si="10"/>
        <v>4.6550000000000001E-2</v>
      </c>
      <c r="AT108" s="4">
        <f t="shared" si="11"/>
        <v>0.12227829015285442</v>
      </c>
      <c r="AU108" s="5">
        <v>0</v>
      </c>
      <c r="AV108" s="4">
        <f t="shared" si="12"/>
        <v>0.37681677169553102</v>
      </c>
      <c r="AW108" s="29" t="s">
        <v>221</v>
      </c>
    </row>
    <row r="109" spans="1:49">
      <c r="A109" s="1">
        <v>1</v>
      </c>
      <c r="B109" s="1" t="s">
        <v>38</v>
      </c>
      <c r="C109" s="1" t="s">
        <v>38</v>
      </c>
      <c r="D109" s="3" t="s">
        <v>548</v>
      </c>
      <c r="E109" s="3" t="s">
        <v>71</v>
      </c>
      <c r="F109" s="3">
        <v>1994</v>
      </c>
      <c r="G109" s="3" t="s">
        <v>72</v>
      </c>
      <c r="H109" s="3" t="s">
        <v>73</v>
      </c>
      <c r="I109" s="3" t="s">
        <v>219</v>
      </c>
      <c r="J109" s="3" t="s">
        <v>220</v>
      </c>
      <c r="K109" s="3" t="s">
        <v>45</v>
      </c>
      <c r="L109" s="3" t="s">
        <v>46</v>
      </c>
      <c r="M109" s="1" t="s">
        <v>12</v>
      </c>
      <c r="N109" s="1" t="s">
        <v>80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79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89</v>
      </c>
      <c r="AE109" s="1" t="s">
        <v>89</v>
      </c>
      <c r="AF109" s="1" t="s">
        <v>60</v>
      </c>
      <c r="AG109" s="1" t="s">
        <v>61</v>
      </c>
      <c r="AH109" s="1" t="s">
        <v>199</v>
      </c>
      <c r="AI109" s="1" t="s">
        <v>200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6" t="s">
        <v>49</v>
      </c>
      <c r="AS109" s="1">
        <f t="shared" si="10"/>
        <v>0.11466</v>
      </c>
      <c r="AT109" s="4">
        <f t="shared" si="11"/>
        <v>0.28525510254853764</v>
      </c>
      <c r="AU109" s="5">
        <v>0</v>
      </c>
      <c r="AV109" s="4">
        <f t="shared" si="12"/>
        <v>0.68500034829682843</v>
      </c>
      <c r="AW109" s="29" t="s">
        <v>221</v>
      </c>
    </row>
    <row r="110" spans="1:49">
      <c r="A110" s="1">
        <v>1</v>
      </c>
      <c r="B110" s="1" t="s">
        <v>38</v>
      </c>
      <c r="C110" s="1" t="s">
        <v>38</v>
      </c>
      <c r="D110" s="3" t="s">
        <v>548</v>
      </c>
      <c r="E110" s="3" t="s">
        <v>71</v>
      </c>
      <c r="F110" s="3">
        <v>1994</v>
      </c>
      <c r="G110" s="3" t="s">
        <v>72</v>
      </c>
      <c r="H110" s="3" t="s">
        <v>73</v>
      </c>
      <c r="I110" s="3" t="s">
        <v>219</v>
      </c>
      <c r="J110" s="3" t="s">
        <v>220</v>
      </c>
      <c r="K110" s="3" t="s">
        <v>45</v>
      </c>
      <c r="L110" s="3" t="s">
        <v>46</v>
      </c>
      <c r="M110" s="1" t="s">
        <v>12</v>
      </c>
      <c r="N110" s="1" t="s">
        <v>80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79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90</v>
      </c>
      <c r="AE110" s="1" t="s">
        <v>90</v>
      </c>
      <c r="AF110" s="1" t="s">
        <v>60</v>
      </c>
      <c r="AG110" s="1" t="s">
        <v>61</v>
      </c>
      <c r="AH110" s="1" t="s">
        <v>199</v>
      </c>
      <c r="AI110" s="1" t="s">
        <v>200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6" t="s">
        <v>49</v>
      </c>
      <c r="AS110" s="1">
        <f t="shared" si="10"/>
        <v>9.9820000000000006E-2</v>
      </c>
      <c r="AT110" s="4">
        <f t="shared" si="11"/>
        <v>0.15139289960930871</v>
      </c>
      <c r="AU110" s="5">
        <v>0</v>
      </c>
      <c r="AV110" s="4">
        <f t="shared" si="12"/>
        <v>0.31877138489164997</v>
      </c>
      <c r="AW110" s="29" t="s">
        <v>221</v>
      </c>
    </row>
    <row r="111" spans="1:49">
      <c r="A111" s="1">
        <v>1</v>
      </c>
      <c r="B111" s="1" t="s">
        <v>38</v>
      </c>
      <c r="C111" s="1" t="s">
        <v>38</v>
      </c>
      <c r="D111" s="3" t="s">
        <v>548</v>
      </c>
      <c r="E111" s="3" t="s">
        <v>71</v>
      </c>
      <c r="F111" s="3">
        <v>1994</v>
      </c>
      <c r="G111" s="3" t="s">
        <v>72</v>
      </c>
      <c r="H111" s="3" t="s">
        <v>73</v>
      </c>
      <c r="I111" s="3" t="s">
        <v>219</v>
      </c>
      <c r="J111" s="3" t="s">
        <v>220</v>
      </c>
      <c r="K111" s="3" t="s">
        <v>45</v>
      </c>
      <c r="L111" s="3" t="s">
        <v>46</v>
      </c>
      <c r="M111" s="1" t="s">
        <v>12</v>
      </c>
      <c r="N111" s="1" t="s">
        <v>80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79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91</v>
      </c>
      <c r="AC111" s="1" t="s">
        <v>91</v>
      </c>
      <c r="AD111" s="1" t="s">
        <v>93</v>
      </c>
      <c r="AE111" s="1" t="s">
        <v>93</v>
      </c>
      <c r="AF111" s="1" t="s">
        <v>92</v>
      </c>
      <c r="AG111" s="1" t="s">
        <v>49</v>
      </c>
      <c r="AH111" s="1" t="s">
        <v>199</v>
      </c>
      <c r="AI111" s="1" t="s">
        <v>200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6" t="s">
        <v>49</v>
      </c>
      <c r="AS111" s="1">
        <v>8.8000000000000003E-4</v>
      </c>
      <c r="AT111" s="4">
        <v>3.3531470000000001E-2</v>
      </c>
      <c r="AU111" s="5">
        <v>0</v>
      </c>
      <c r="AV111" s="4" t="s">
        <v>49</v>
      </c>
      <c r="AW111" s="29" t="s">
        <v>221</v>
      </c>
    </row>
    <row r="112" spans="1:49">
      <c r="A112" s="1">
        <v>1</v>
      </c>
      <c r="B112" s="1" t="s">
        <v>38</v>
      </c>
      <c r="C112" s="1" t="s">
        <v>38</v>
      </c>
      <c r="D112" s="3" t="s">
        <v>548</v>
      </c>
      <c r="E112" s="3" t="s">
        <v>71</v>
      </c>
      <c r="F112" s="3">
        <v>1994</v>
      </c>
      <c r="G112" s="3" t="s">
        <v>72</v>
      </c>
      <c r="H112" s="3" t="s">
        <v>73</v>
      </c>
      <c r="I112" s="3" t="s">
        <v>219</v>
      </c>
      <c r="J112" s="3" t="s">
        <v>220</v>
      </c>
      <c r="K112" s="3" t="s">
        <v>45</v>
      </c>
      <c r="L112" s="3" t="s">
        <v>46</v>
      </c>
      <c r="M112" s="1" t="s">
        <v>12</v>
      </c>
      <c r="N112" s="1" t="s">
        <v>80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79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94</v>
      </c>
      <c r="AB112" s="1" t="s">
        <v>95</v>
      </c>
      <c r="AC112" s="1" t="s">
        <v>96</v>
      </c>
      <c r="AD112" s="1" t="s">
        <v>97</v>
      </c>
      <c r="AE112" s="1" t="s">
        <v>97</v>
      </c>
      <c r="AF112" s="1" t="s">
        <v>53</v>
      </c>
      <c r="AG112" s="1" t="s">
        <v>53</v>
      </c>
      <c r="AH112" s="1" t="s">
        <v>83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6" t="s">
        <v>49</v>
      </c>
      <c r="AS112" s="1">
        <f>AL112*AN112</f>
        <v>21.771660000000001</v>
      </c>
      <c r="AT112" s="4">
        <f>AS112/(AM112^2)*100</f>
        <v>1.425549930908333</v>
      </c>
      <c r="AU112" s="5">
        <v>0</v>
      </c>
      <c r="AV112" s="4">
        <f>AT112*(1-AL112)/AL112</f>
        <v>0.75419002460899565</v>
      </c>
      <c r="AW112" s="29" t="s">
        <v>221</v>
      </c>
    </row>
    <row r="113" spans="1:49">
      <c r="A113" s="1">
        <v>1</v>
      </c>
      <c r="B113" s="1" t="s">
        <v>38</v>
      </c>
      <c r="C113" s="1" t="s">
        <v>38</v>
      </c>
      <c r="D113" s="3" t="s">
        <v>548</v>
      </c>
      <c r="E113" s="3" t="s">
        <v>71</v>
      </c>
      <c r="F113" s="3">
        <v>1994</v>
      </c>
      <c r="G113" s="3" t="s">
        <v>72</v>
      </c>
      <c r="H113" s="3" t="s">
        <v>73</v>
      </c>
      <c r="I113" s="3" t="s">
        <v>219</v>
      </c>
      <c r="J113" s="3" t="s">
        <v>220</v>
      </c>
      <c r="K113" s="3" t="s">
        <v>45</v>
      </c>
      <c r="L113" s="3" t="s">
        <v>46</v>
      </c>
      <c r="M113" s="1" t="s">
        <v>12</v>
      </c>
      <c r="N113" s="1" t="s">
        <v>80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79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97</v>
      </c>
      <c r="AE113" s="1" t="s">
        <v>89</v>
      </c>
      <c r="AF113" s="1" t="s">
        <v>49</v>
      </c>
      <c r="AG113" s="1" t="s">
        <v>49</v>
      </c>
      <c r="AH113" s="1" t="s">
        <v>199</v>
      </c>
      <c r="AI113" s="1" t="s">
        <v>200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6" t="s">
        <v>49</v>
      </c>
      <c r="AW113" s="30" t="s">
        <v>49</v>
      </c>
    </row>
    <row r="114" spans="1:49">
      <c r="A114" s="1">
        <v>1</v>
      </c>
      <c r="B114" s="1" t="s">
        <v>38</v>
      </c>
      <c r="C114" s="1" t="s">
        <v>38</v>
      </c>
      <c r="D114" s="3" t="s">
        <v>548</v>
      </c>
      <c r="E114" s="3" t="s">
        <v>71</v>
      </c>
      <c r="F114" s="3">
        <v>1994</v>
      </c>
      <c r="G114" s="3" t="s">
        <v>72</v>
      </c>
      <c r="H114" s="3" t="s">
        <v>73</v>
      </c>
      <c r="I114" s="3" t="s">
        <v>219</v>
      </c>
      <c r="J114" s="3" t="s">
        <v>220</v>
      </c>
      <c r="K114" s="3" t="s">
        <v>45</v>
      </c>
      <c r="L114" s="3" t="s">
        <v>46</v>
      </c>
      <c r="M114" s="1" t="s">
        <v>12</v>
      </c>
      <c r="N114" s="1" t="s">
        <v>80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79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97</v>
      </c>
      <c r="AE114" s="1" t="s">
        <v>90</v>
      </c>
      <c r="AF114" s="1" t="s">
        <v>49</v>
      </c>
      <c r="AG114" s="1" t="s">
        <v>49</v>
      </c>
      <c r="AH114" s="1" t="s">
        <v>199</v>
      </c>
      <c r="AI114" s="1" t="s">
        <v>200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6" t="s">
        <v>49</v>
      </c>
      <c r="AW114" s="30" t="s">
        <v>49</v>
      </c>
    </row>
    <row r="115" spans="1:49">
      <c r="A115" s="1">
        <v>1</v>
      </c>
      <c r="B115" s="1" t="s">
        <v>38</v>
      </c>
      <c r="C115" s="1" t="s">
        <v>38</v>
      </c>
      <c r="D115" s="3" t="s">
        <v>548</v>
      </c>
      <c r="E115" s="3" t="s">
        <v>71</v>
      </c>
      <c r="F115" s="3">
        <v>1994</v>
      </c>
      <c r="G115" s="3" t="s">
        <v>72</v>
      </c>
      <c r="H115" s="3" t="s">
        <v>73</v>
      </c>
      <c r="I115" s="3" t="s">
        <v>219</v>
      </c>
      <c r="J115" s="3" t="s">
        <v>220</v>
      </c>
      <c r="K115" s="3" t="s">
        <v>45</v>
      </c>
      <c r="L115" s="3" t="s">
        <v>46</v>
      </c>
      <c r="M115" s="1" t="s">
        <v>12</v>
      </c>
      <c r="N115" s="1" t="s">
        <v>80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79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97</v>
      </c>
      <c r="AE115" s="1" t="s">
        <v>84</v>
      </c>
      <c r="AF115" s="1" t="s">
        <v>49</v>
      </c>
      <c r="AG115" s="1" t="s">
        <v>49</v>
      </c>
      <c r="AH115" s="1" t="s">
        <v>199</v>
      </c>
      <c r="AI115" s="1" t="s">
        <v>200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6" t="s">
        <v>49</v>
      </c>
      <c r="AW115" s="30" t="s">
        <v>49</v>
      </c>
    </row>
    <row r="116" spans="1:49">
      <c r="A116" s="1">
        <v>1</v>
      </c>
      <c r="B116" s="1" t="s">
        <v>38</v>
      </c>
      <c r="C116" s="1" t="s">
        <v>38</v>
      </c>
      <c r="D116" s="3" t="s">
        <v>548</v>
      </c>
      <c r="E116" s="3" t="s">
        <v>71</v>
      </c>
      <c r="F116" s="3">
        <v>1994</v>
      </c>
      <c r="G116" s="3" t="s">
        <v>72</v>
      </c>
      <c r="H116" s="3" t="s">
        <v>73</v>
      </c>
      <c r="I116" s="3" t="s">
        <v>219</v>
      </c>
      <c r="J116" s="3" t="s">
        <v>220</v>
      </c>
      <c r="K116" s="3" t="s">
        <v>45</v>
      </c>
      <c r="L116" s="3" t="s">
        <v>46</v>
      </c>
      <c r="M116" s="1" t="s">
        <v>12</v>
      </c>
      <c r="N116" s="1" t="s">
        <v>80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79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97</v>
      </c>
      <c r="AE116" s="1" t="s">
        <v>88</v>
      </c>
      <c r="AF116" s="1" t="s">
        <v>49</v>
      </c>
      <c r="AG116" s="1" t="s">
        <v>49</v>
      </c>
      <c r="AH116" s="1" t="s">
        <v>199</v>
      </c>
      <c r="AI116" s="1" t="s">
        <v>200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6" t="s">
        <v>49</v>
      </c>
      <c r="AW116" s="30" t="s">
        <v>49</v>
      </c>
    </row>
    <row r="117" spans="1:49">
      <c r="A117" s="1">
        <v>1</v>
      </c>
      <c r="B117" s="1" t="s">
        <v>38</v>
      </c>
      <c r="C117" s="1" t="s">
        <v>38</v>
      </c>
      <c r="D117" s="3" t="s">
        <v>548</v>
      </c>
      <c r="E117" s="3" t="s">
        <v>71</v>
      </c>
      <c r="F117" s="3">
        <v>1994</v>
      </c>
      <c r="G117" s="3" t="s">
        <v>72</v>
      </c>
      <c r="H117" s="3" t="s">
        <v>73</v>
      </c>
      <c r="I117" s="3" t="s">
        <v>219</v>
      </c>
      <c r="J117" s="3" t="s">
        <v>220</v>
      </c>
      <c r="K117" s="3" t="s">
        <v>45</v>
      </c>
      <c r="L117" s="3" t="s">
        <v>46</v>
      </c>
      <c r="M117" s="1" t="s">
        <v>12</v>
      </c>
      <c r="N117" s="1" t="s">
        <v>80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79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97</v>
      </c>
      <c r="AE117" s="1" t="s">
        <v>87</v>
      </c>
      <c r="AF117" s="1" t="s">
        <v>49</v>
      </c>
      <c r="AG117" s="1" t="s">
        <v>49</v>
      </c>
      <c r="AH117" s="1" t="s">
        <v>199</v>
      </c>
      <c r="AI117" s="1" t="s">
        <v>200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6" t="s">
        <v>49</v>
      </c>
      <c r="AW117" s="30" t="s">
        <v>49</v>
      </c>
    </row>
    <row r="118" spans="1:49">
      <c r="A118" s="1">
        <v>1</v>
      </c>
      <c r="B118" s="1" t="s">
        <v>38</v>
      </c>
      <c r="C118" s="1" t="s">
        <v>38</v>
      </c>
      <c r="D118" s="3" t="s">
        <v>548</v>
      </c>
      <c r="E118" s="3" t="s">
        <v>71</v>
      </c>
      <c r="F118" s="3">
        <v>1994</v>
      </c>
      <c r="G118" s="3" t="s">
        <v>72</v>
      </c>
      <c r="H118" s="3" t="s">
        <v>73</v>
      </c>
      <c r="I118" s="3" t="s">
        <v>219</v>
      </c>
      <c r="J118" s="3" t="s">
        <v>220</v>
      </c>
      <c r="K118" s="3" t="s">
        <v>45</v>
      </c>
      <c r="L118" s="3" t="s">
        <v>46</v>
      </c>
      <c r="M118" s="1" t="s">
        <v>12</v>
      </c>
      <c r="N118" s="1" t="s">
        <v>80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79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97</v>
      </c>
      <c r="AE118" s="1" t="s">
        <v>93</v>
      </c>
      <c r="AF118" s="1" t="s">
        <v>49</v>
      </c>
      <c r="AG118" s="1" t="s">
        <v>49</v>
      </c>
      <c r="AH118" s="1" t="s">
        <v>199</v>
      </c>
      <c r="AI118" s="1" t="s">
        <v>200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6" t="s">
        <v>49</v>
      </c>
      <c r="AW118" s="30" t="s">
        <v>49</v>
      </c>
    </row>
    <row r="119" spans="1:49">
      <c r="A119" s="1">
        <v>1</v>
      </c>
      <c r="B119" s="1" t="s">
        <v>38</v>
      </c>
      <c r="C119" s="1" t="s">
        <v>38</v>
      </c>
      <c r="D119" s="3" t="s">
        <v>548</v>
      </c>
      <c r="E119" s="3" t="s">
        <v>71</v>
      </c>
      <c r="F119" s="3">
        <v>1994</v>
      </c>
      <c r="G119" s="3" t="s">
        <v>72</v>
      </c>
      <c r="H119" s="3" t="s">
        <v>73</v>
      </c>
      <c r="I119" s="3" t="s">
        <v>219</v>
      </c>
      <c r="J119" s="3" t="s">
        <v>220</v>
      </c>
      <c r="K119" s="3" t="s">
        <v>45</v>
      </c>
      <c r="L119" s="3" t="s">
        <v>46</v>
      </c>
      <c r="M119" s="1" t="s">
        <v>12</v>
      </c>
      <c r="N119" s="1" t="s">
        <v>80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79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89</v>
      </c>
      <c r="AE119" s="1" t="s">
        <v>90</v>
      </c>
      <c r="AF119" s="1" t="s">
        <v>49</v>
      </c>
      <c r="AG119" s="1" t="s">
        <v>49</v>
      </c>
      <c r="AH119" s="1" t="s">
        <v>199</v>
      </c>
      <c r="AI119" s="1" t="s">
        <v>200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6" t="s">
        <v>49</v>
      </c>
      <c r="AW119" s="30" t="s">
        <v>49</v>
      </c>
    </row>
    <row r="120" spans="1:49">
      <c r="A120" s="1">
        <v>1</v>
      </c>
      <c r="B120" s="1" t="s">
        <v>38</v>
      </c>
      <c r="C120" s="1" t="s">
        <v>38</v>
      </c>
      <c r="D120" s="3" t="s">
        <v>548</v>
      </c>
      <c r="E120" s="3" t="s">
        <v>71</v>
      </c>
      <c r="F120" s="3">
        <v>1994</v>
      </c>
      <c r="G120" s="3" t="s">
        <v>72</v>
      </c>
      <c r="H120" s="3" t="s">
        <v>73</v>
      </c>
      <c r="I120" s="3" t="s">
        <v>219</v>
      </c>
      <c r="J120" s="3" t="s">
        <v>220</v>
      </c>
      <c r="K120" s="3" t="s">
        <v>45</v>
      </c>
      <c r="L120" s="3" t="s">
        <v>46</v>
      </c>
      <c r="M120" s="1" t="s">
        <v>12</v>
      </c>
      <c r="N120" s="1" t="s">
        <v>80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79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89</v>
      </c>
      <c r="AE120" s="1" t="s">
        <v>84</v>
      </c>
      <c r="AF120" s="1" t="s">
        <v>49</v>
      </c>
      <c r="AG120" s="1" t="s">
        <v>49</v>
      </c>
      <c r="AH120" s="1" t="s">
        <v>199</v>
      </c>
      <c r="AI120" s="1" t="s">
        <v>200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6" t="s">
        <v>49</v>
      </c>
      <c r="AW120" s="30" t="s">
        <v>49</v>
      </c>
    </row>
    <row r="121" spans="1:49">
      <c r="A121" s="1">
        <v>1</v>
      </c>
      <c r="B121" s="1" t="s">
        <v>38</v>
      </c>
      <c r="C121" s="1" t="s">
        <v>38</v>
      </c>
      <c r="D121" s="3" t="s">
        <v>548</v>
      </c>
      <c r="E121" s="3" t="s">
        <v>71</v>
      </c>
      <c r="F121" s="3">
        <v>1994</v>
      </c>
      <c r="G121" s="3" t="s">
        <v>72</v>
      </c>
      <c r="H121" s="3" t="s">
        <v>73</v>
      </c>
      <c r="I121" s="3" t="s">
        <v>219</v>
      </c>
      <c r="J121" s="3" t="s">
        <v>220</v>
      </c>
      <c r="K121" s="3" t="s">
        <v>45</v>
      </c>
      <c r="L121" s="3" t="s">
        <v>46</v>
      </c>
      <c r="M121" s="1" t="s">
        <v>12</v>
      </c>
      <c r="N121" s="1" t="s">
        <v>80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79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89</v>
      </c>
      <c r="AE121" s="1" t="s">
        <v>88</v>
      </c>
      <c r="AF121" s="1" t="s">
        <v>49</v>
      </c>
      <c r="AG121" s="1" t="s">
        <v>49</v>
      </c>
      <c r="AH121" s="1" t="s">
        <v>199</v>
      </c>
      <c r="AI121" s="1" t="s">
        <v>200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6" t="s">
        <v>49</v>
      </c>
      <c r="AW121" s="30" t="s">
        <v>49</v>
      </c>
    </row>
    <row r="122" spans="1:49">
      <c r="A122" s="1">
        <v>1</v>
      </c>
      <c r="B122" s="1" t="s">
        <v>38</v>
      </c>
      <c r="C122" s="1" t="s">
        <v>38</v>
      </c>
      <c r="D122" s="3" t="s">
        <v>548</v>
      </c>
      <c r="E122" s="3" t="s">
        <v>71</v>
      </c>
      <c r="F122" s="3">
        <v>1994</v>
      </c>
      <c r="G122" s="3" t="s">
        <v>72</v>
      </c>
      <c r="H122" s="3" t="s">
        <v>73</v>
      </c>
      <c r="I122" s="3" t="s">
        <v>219</v>
      </c>
      <c r="J122" s="3" t="s">
        <v>220</v>
      </c>
      <c r="K122" s="3" t="s">
        <v>45</v>
      </c>
      <c r="L122" s="3" t="s">
        <v>46</v>
      </c>
      <c r="M122" s="1" t="s">
        <v>12</v>
      </c>
      <c r="N122" s="1" t="s">
        <v>80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79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89</v>
      </c>
      <c r="AE122" s="1" t="s">
        <v>87</v>
      </c>
      <c r="AF122" s="1" t="s">
        <v>49</v>
      </c>
      <c r="AG122" s="1" t="s">
        <v>49</v>
      </c>
      <c r="AH122" s="1" t="s">
        <v>199</v>
      </c>
      <c r="AI122" s="1" t="s">
        <v>200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6" t="s">
        <v>49</v>
      </c>
      <c r="AW122" s="30" t="s">
        <v>49</v>
      </c>
    </row>
    <row r="123" spans="1:49">
      <c r="A123" s="1">
        <v>1</v>
      </c>
      <c r="B123" s="1" t="s">
        <v>38</v>
      </c>
      <c r="C123" s="1" t="s">
        <v>38</v>
      </c>
      <c r="D123" s="3" t="s">
        <v>548</v>
      </c>
      <c r="E123" s="3" t="s">
        <v>71</v>
      </c>
      <c r="F123" s="3">
        <v>1994</v>
      </c>
      <c r="G123" s="3" t="s">
        <v>72</v>
      </c>
      <c r="H123" s="3" t="s">
        <v>73</v>
      </c>
      <c r="I123" s="3" t="s">
        <v>219</v>
      </c>
      <c r="J123" s="3" t="s">
        <v>220</v>
      </c>
      <c r="K123" s="3" t="s">
        <v>45</v>
      </c>
      <c r="L123" s="3" t="s">
        <v>46</v>
      </c>
      <c r="M123" s="1" t="s">
        <v>12</v>
      </c>
      <c r="N123" s="1" t="s">
        <v>80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79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89</v>
      </c>
      <c r="AE123" s="1" t="s">
        <v>93</v>
      </c>
      <c r="AF123" s="1" t="s">
        <v>49</v>
      </c>
      <c r="AG123" s="1" t="s">
        <v>49</v>
      </c>
      <c r="AH123" s="1" t="s">
        <v>199</v>
      </c>
      <c r="AI123" s="1" t="s">
        <v>200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6" t="s">
        <v>49</v>
      </c>
      <c r="AW123" s="30" t="s">
        <v>49</v>
      </c>
    </row>
    <row r="124" spans="1:49">
      <c r="A124" s="1">
        <v>1</v>
      </c>
      <c r="B124" s="1" t="s">
        <v>38</v>
      </c>
      <c r="C124" s="1" t="s">
        <v>38</v>
      </c>
      <c r="D124" s="3" t="s">
        <v>548</v>
      </c>
      <c r="E124" s="3" t="s">
        <v>71</v>
      </c>
      <c r="F124" s="3">
        <v>1994</v>
      </c>
      <c r="G124" s="3" t="s">
        <v>72</v>
      </c>
      <c r="H124" s="3" t="s">
        <v>73</v>
      </c>
      <c r="I124" s="3" t="s">
        <v>219</v>
      </c>
      <c r="J124" s="3" t="s">
        <v>220</v>
      </c>
      <c r="K124" s="3" t="s">
        <v>45</v>
      </c>
      <c r="L124" s="3" t="s">
        <v>46</v>
      </c>
      <c r="M124" s="1" t="s">
        <v>12</v>
      </c>
      <c r="N124" s="1" t="s">
        <v>80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79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90</v>
      </c>
      <c r="AE124" s="1" t="s">
        <v>84</v>
      </c>
      <c r="AF124" s="1" t="s">
        <v>49</v>
      </c>
      <c r="AG124" s="1" t="s">
        <v>49</v>
      </c>
      <c r="AH124" s="1" t="s">
        <v>199</v>
      </c>
      <c r="AI124" s="1" t="s">
        <v>200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6" t="s">
        <v>49</v>
      </c>
      <c r="AW124" s="30" t="s">
        <v>49</v>
      </c>
    </row>
    <row r="125" spans="1:49">
      <c r="A125" s="1">
        <v>1</v>
      </c>
      <c r="B125" s="1" t="s">
        <v>38</v>
      </c>
      <c r="C125" s="1" t="s">
        <v>38</v>
      </c>
      <c r="D125" s="3" t="s">
        <v>548</v>
      </c>
      <c r="E125" s="3" t="s">
        <v>71</v>
      </c>
      <c r="F125" s="3">
        <v>1994</v>
      </c>
      <c r="G125" s="3" t="s">
        <v>72</v>
      </c>
      <c r="H125" s="3" t="s">
        <v>73</v>
      </c>
      <c r="I125" s="3" t="s">
        <v>219</v>
      </c>
      <c r="J125" s="3" t="s">
        <v>220</v>
      </c>
      <c r="K125" s="3" t="s">
        <v>45</v>
      </c>
      <c r="L125" s="3" t="s">
        <v>46</v>
      </c>
      <c r="M125" s="1" t="s">
        <v>12</v>
      </c>
      <c r="N125" s="1" t="s">
        <v>80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79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90</v>
      </c>
      <c r="AE125" s="1" t="s">
        <v>88</v>
      </c>
      <c r="AF125" s="1" t="s">
        <v>49</v>
      </c>
      <c r="AG125" s="1" t="s">
        <v>49</v>
      </c>
      <c r="AH125" s="1" t="s">
        <v>199</v>
      </c>
      <c r="AI125" s="1" t="s">
        <v>200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6" t="s">
        <v>49</v>
      </c>
      <c r="AW125" s="30" t="s">
        <v>49</v>
      </c>
    </row>
    <row r="126" spans="1:49">
      <c r="A126" s="1">
        <v>1</v>
      </c>
      <c r="B126" s="1" t="s">
        <v>38</v>
      </c>
      <c r="C126" s="1" t="s">
        <v>38</v>
      </c>
      <c r="D126" s="3" t="s">
        <v>548</v>
      </c>
      <c r="E126" s="3" t="s">
        <v>71</v>
      </c>
      <c r="F126" s="3">
        <v>1994</v>
      </c>
      <c r="G126" s="3" t="s">
        <v>72</v>
      </c>
      <c r="H126" s="3" t="s">
        <v>73</v>
      </c>
      <c r="I126" s="3" t="s">
        <v>219</v>
      </c>
      <c r="J126" s="3" t="s">
        <v>220</v>
      </c>
      <c r="K126" s="3" t="s">
        <v>45</v>
      </c>
      <c r="L126" s="3" t="s">
        <v>46</v>
      </c>
      <c r="M126" s="1" t="s">
        <v>12</v>
      </c>
      <c r="N126" s="1" t="s">
        <v>80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79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90</v>
      </c>
      <c r="AE126" s="1" t="s">
        <v>87</v>
      </c>
      <c r="AF126" s="1" t="s">
        <v>49</v>
      </c>
      <c r="AG126" s="1" t="s">
        <v>49</v>
      </c>
      <c r="AH126" s="1" t="s">
        <v>199</v>
      </c>
      <c r="AI126" s="1" t="s">
        <v>200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6" t="s">
        <v>49</v>
      </c>
      <c r="AW126" s="30" t="s">
        <v>49</v>
      </c>
    </row>
    <row r="127" spans="1:49">
      <c r="A127" s="1">
        <v>1</v>
      </c>
      <c r="B127" s="1" t="s">
        <v>38</v>
      </c>
      <c r="C127" s="1" t="s">
        <v>38</v>
      </c>
      <c r="D127" s="3" t="s">
        <v>548</v>
      </c>
      <c r="E127" s="3" t="s">
        <v>71</v>
      </c>
      <c r="F127" s="3">
        <v>1994</v>
      </c>
      <c r="G127" s="3" t="s">
        <v>72</v>
      </c>
      <c r="H127" s="3" t="s">
        <v>73</v>
      </c>
      <c r="I127" s="3" t="s">
        <v>219</v>
      </c>
      <c r="J127" s="3" t="s">
        <v>220</v>
      </c>
      <c r="K127" s="3" t="s">
        <v>45</v>
      </c>
      <c r="L127" s="3" t="s">
        <v>46</v>
      </c>
      <c r="M127" s="1" t="s">
        <v>12</v>
      </c>
      <c r="N127" s="1" t="s">
        <v>80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79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90</v>
      </c>
      <c r="AE127" s="1" t="s">
        <v>93</v>
      </c>
      <c r="AF127" s="1" t="s">
        <v>49</v>
      </c>
      <c r="AG127" s="1" t="s">
        <v>49</v>
      </c>
      <c r="AH127" s="1" t="s">
        <v>199</v>
      </c>
      <c r="AI127" s="1" t="s">
        <v>200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6" t="s">
        <v>49</v>
      </c>
      <c r="AW127" s="30" t="s">
        <v>49</v>
      </c>
    </row>
    <row r="128" spans="1:49">
      <c r="A128" s="1">
        <v>1</v>
      </c>
      <c r="B128" s="1" t="s">
        <v>38</v>
      </c>
      <c r="C128" s="1" t="s">
        <v>38</v>
      </c>
      <c r="D128" s="3" t="s">
        <v>548</v>
      </c>
      <c r="E128" s="3" t="s">
        <v>71</v>
      </c>
      <c r="F128" s="3">
        <v>1994</v>
      </c>
      <c r="G128" s="3" t="s">
        <v>72</v>
      </c>
      <c r="H128" s="3" t="s">
        <v>73</v>
      </c>
      <c r="I128" s="3" t="s">
        <v>219</v>
      </c>
      <c r="J128" s="3" t="s">
        <v>220</v>
      </c>
      <c r="K128" s="3" t="s">
        <v>45</v>
      </c>
      <c r="L128" s="3" t="s">
        <v>46</v>
      </c>
      <c r="M128" s="1" t="s">
        <v>12</v>
      </c>
      <c r="N128" s="1" t="s">
        <v>80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79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84</v>
      </c>
      <c r="AE128" s="1" t="s">
        <v>88</v>
      </c>
      <c r="AF128" s="1" t="s">
        <v>49</v>
      </c>
      <c r="AG128" s="1" t="s">
        <v>49</v>
      </c>
      <c r="AH128" s="1" t="s">
        <v>199</v>
      </c>
      <c r="AI128" s="1" t="s">
        <v>200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6" t="s">
        <v>49</v>
      </c>
      <c r="AW128" s="30" t="s">
        <v>49</v>
      </c>
    </row>
    <row r="129" spans="1:49">
      <c r="A129" s="1">
        <v>1</v>
      </c>
      <c r="B129" s="1" t="s">
        <v>38</v>
      </c>
      <c r="C129" s="1" t="s">
        <v>38</v>
      </c>
      <c r="D129" s="3" t="s">
        <v>548</v>
      </c>
      <c r="E129" s="3" t="s">
        <v>71</v>
      </c>
      <c r="F129" s="3">
        <v>1994</v>
      </c>
      <c r="G129" s="3" t="s">
        <v>72</v>
      </c>
      <c r="H129" s="3" t="s">
        <v>73</v>
      </c>
      <c r="I129" s="3" t="s">
        <v>219</v>
      </c>
      <c r="J129" s="3" t="s">
        <v>220</v>
      </c>
      <c r="K129" s="3" t="s">
        <v>45</v>
      </c>
      <c r="L129" s="3" t="s">
        <v>46</v>
      </c>
      <c r="M129" s="1" t="s">
        <v>12</v>
      </c>
      <c r="N129" s="1" t="s">
        <v>80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79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84</v>
      </c>
      <c r="AE129" s="1" t="s">
        <v>87</v>
      </c>
      <c r="AF129" s="1" t="s">
        <v>49</v>
      </c>
      <c r="AG129" s="1" t="s">
        <v>49</v>
      </c>
      <c r="AH129" s="1" t="s">
        <v>199</v>
      </c>
      <c r="AI129" s="1" t="s">
        <v>200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6" t="s">
        <v>49</v>
      </c>
      <c r="AW129" s="30" t="s">
        <v>49</v>
      </c>
    </row>
    <row r="130" spans="1:49">
      <c r="A130" s="1">
        <v>1</v>
      </c>
      <c r="B130" s="1" t="s">
        <v>38</v>
      </c>
      <c r="C130" s="1" t="s">
        <v>38</v>
      </c>
      <c r="D130" s="3" t="s">
        <v>548</v>
      </c>
      <c r="E130" s="3" t="s">
        <v>71</v>
      </c>
      <c r="F130" s="3">
        <v>1994</v>
      </c>
      <c r="G130" s="3" t="s">
        <v>72</v>
      </c>
      <c r="H130" s="3" t="s">
        <v>73</v>
      </c>
      <c r="I130" s="3" t="s">
        <v>219</v>
      </c>
      <c r="J130" s="3" t="s">
        <v>220</v>
      </c>
      <c r="K130" s="3" t="s">
        <v>45</v>
      </c>
      <c r="L130" s="3" t="s">
        <v>46</v>
      </c>
      <c r="M130" s="1" t="s">
        <v>12</v>
      </c>
      <c r="N130" s="1" t="s">
        <v>80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79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84</v>
      </c>
      <c r="AE130" s="1" t="s">
        <v>93</v>
      </c>
      <c r="AF130" s="1" t="s">
        <v>49</v>
      </c>
      <c r="AG130" s="1" t="s">
        <v>49</v>
      </c>
      <c r="AH130" s="1" t="s">
        <v>199</v>
      </c>
      <c r="AI130" s="1" t="s">
        <v>200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6" t="s">
        <v>49</v>
      </c>
      <c r="AW130" s="30" t="s">
        <v>49</v>
      </c>
    </row>
    <row r="131" spans="1:49">
      <c r="A131" s="1">
        <v>1</v>
      </c>
      <c r="B131" s="1" t="s">
        <v>38</v>
      </c>
      <c r="C131" s="1" t="s">
        <v>38</v>
      </c>
      <c r="D131" s="3" t="s">
        <v>548</v>
      </c>
      <c r="E131" s="3" t="s">
        <v>71</v>
      </c>
      <c r="F131" s="3">
        <v>1994</v>
      </c>
      <c r="G131" s="3" t="s">
        <v>72</v>
      </c>
      <c r="H131" s="3" t="s">
        <v>73</v>
      </c>
      <c r="I131" s="3" t="s">
        <v>219</v>
      </c>
      <c r="J131" s="3" t="s">
        <v>220</v>
      </c>
      <c r="K131" s="3" t="s">
        <v>45</v>
      </c>
      <c r="L131" s="3" t="s">
        <v>46</v>
      </c>
      <c r="M131" s="1" t="s">
        <v>12</v>
      </c>
      <c r="N131" s="1" t="s">
        <v>80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79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88</v>
      </c>
      <c r="AE131" s="1" t="s">
        <v>87</v>
      </c>
      <c r="AF131" s="1" t="s">
        <v>49</v>
      </c>
      <c r="AG131" s="1" t="s">
        <v>49</v>
      </c>
      <c r="AH131" s="1" t="s">
        <v>199</v>
      </c>
      <c r="AI131" s="1" t="s">
        <v>200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6" t="s">
        <v>49</v>
      </c>
      <c r="AW131" s="30" t="s">
        <v>49</v>
      </c>
    </row>
    <row r="132" spans="1:49">
      <c r="A132" s="1">
        <v>1</v>
      </c>
      <c r="B132" s="1" t="s">
        <v>38</v>
      </c>
      <c r="C132" s="1" t="s">
        <v>38</v>
      </c>
      <c r="D132" s="3" t="s">
        <v>548</v>
      </c>
      <c r="E132" s="3" t="s">
        <v>71</v>
      </c>
      <c r="F132" s="3">
        <v>1994</v>
      </c>
      <c r="G132" s="3" t="s">
        <v>72</v>
      </c>
      <c r="H132" s="3" t="s">
        <v>73</v>
      </c>
      <c r="I132" s="3" t="s">
        <v>219</v>
      </c>
      <c r="J132" s="3" t="s">
        <v>220</v>
      </c>
      <c r="K132" s="3" t="s">
        <v>45</v>
      </c>
      <c r="L132" s="3" t="s">
        <v>46</v>
      </c>
      <c r="M132" s="1" t="s">
        <v>12</v>
      </c>
      <c r="N132" s="1" t="s">
        <v>80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79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88</v>
      </c>
      <c r="AE132" s="1" t="s">
        <v>93</v>
      </c>
      <c r="AF132" s="1" t="s">
        <v>49</v>
      </c>
      <c r="AG132" s="1" t="s">
        <v>49</v>
      </c>
      <c r="AH132" s="1" t="s">
        <v>199</v>
      </c>
      <c r="AI132" s="1" t="s">
        <v>200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6" t="s">
        <v>49</v>
      </c>
      <c r="AW132" s="30" t="s">
        <v>49</v>
      </c>
    </row>
    <row r="133" spans="1:49">
      <c r="A133" s="1">
        <v>1</v>
      </c>
      <c r="B133" s="1" t="s">
        <v>38</v>
      </c>
      <c r="C133" s="1" t="s">
        <v>38</v>
      </c>
      <c r="D133" s="3" t="s">
        <v>548</v>
      </c>
      <c r="E133" s="3" t="s">
        <v>71</v>
      </c>
      <c r="F133" s="3">
        <v>1994</v>
      </c>
      <c r="G133" s="3" t="s">
        <v>72</v>
      </c>
      <c r="H133" s="3" t="s">
        <v>73</v>
      </c>
      <c r="I133" s="3" t="s">
        <v>219</v>
      </c>
      <c r="J133" s="3" t="s">
        <v>220</v>
      </c>
      <c r="K133" s="3" t="s">
        <v>45</v>
      </c>
      <c r="L133" s="3" t="s">
        <v>46</v>
      </c>
      <c r="M133" s="1" t="s">
        <v>12</v>
      </c>
      <c r="N133" s="1" t="s">
        <v>80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79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87</v>
      </c>
      <c r="AE133" s="1" t="s">
        <v>93</v>
      </c>
      <c r="AF133" s="1" t="s">
        <v>49</v>
      </c>
      <c r="AG133" s="1" t="s">
        <v>49</v>
      </c>
      <c r="AH133" s="1" t="s">
        <v>199</v>
      </c>
      <c r="AI133" s="1" t="s">
        <v>200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6" t="s">
        <v>49</v>
      </c>
      <c r="AW133" s="30" t="s">
        <v>49</v>
      </c>
    </row>
    <row r="134" spans="1:49">
      <c r="A134" s="1">
        <v>1</v>
      </c>
      <c r="B134" s="1" t="s">
        <v>38</v>
      </c>
      <c r="C134" s="1" t="s">
        <v>38</v>
      </c>
      <c r="D134" s="3" t="s">
        <v>548</v>
      </c>
      <c r="E134" s="3" t="s">
        <v>71</v>
      </c>
      <c r="F134" s="3">
        <v>1994</v>
      </c>
      <c r="G134" s="3" t="s">
        <v>72</v>
      </c>
      <c r="H134" s="3" t="s">
        <v>73</v>
      </c>
      <c r="I134" s="3" t="s">
        <v>219</v>
      </c>
      <c r="J134" s="3" t="s">
        <v>220</v>
      </c>
      <c r="K134" s="3" t="s">
        <v>45</v>
      </c>
      <c r="L134" s="3" t="s">
        <v>46</v>
      </c>
      <c r="M134" s="1" t="s">
        <v>12</v>
      </c>
      <c r="N134" s="1" t="s">
        <v>80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79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81</v>
      </c>
      <c r="AD134" s="1" t="s">
        <v>82</v>
      </c>
      <c r="AE134" s="1" t="s">
        <v>82</v>
      </c>
      <c r="AF134" s="1" t="s">
        <v>60</v>
      </c>
      <c r="AG134" s="1" t="s">
        <v>61</v>
      </c>
      <c r="AH134" s="1" t="s">
        <v>199</v>
      </c>
      <c r="AI134" s="1" t="s">
        <v>200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6" t="s">
        <v>49</v>
      </c>
      <c r="AS134" s="1">
        <f t="shared" ref="AS134:AS140" si="14">AL134*AN134</f>
        <v>1.7699999999999999E-3</v>
      </c>
      <c r="AT134" s="4">
        <f t="shared" ref="AT134:AT140" si="15">AS134/(AM134^2)*100</f>
        <v>9.2685200215741805E-3</v>
      </c>
      <c r="AU134" s="5">
        <v>0</v>
      </c>
      <c r="AV134" s="4">
        <f>AT134*(1-AL134)/AL134</f>
        <v>0.14782503966612381</v>
      </c>
      <c r="AW134" s="29" t="s">
        <v>221</v>
      </c>
    </row>
    <row r="135" spans="1:49">
      <c r="A135" s="1">
        <v>1</v>
      </c>
      <c r="B135" s="1" t="s">
        <v>38</v>
      </c>
      <c r="C135" s="1" t="s">
        <v>38</v>
      </c>
      <c r="D135" s="3" t="s">
        <v>548</v>
      </c>
      <c r="E135" s="3" t="s">
        <v>71</v>
      </c>
      <c r="F135" s="3">
        <v>1994</v>
      </c>
      <c r="G135" s="3" t="s">
        <v>72</v>
      </c>
      <c r="H135" s="3" t="s">
        <v>73</v>
      </c>
      <c r="I135" s="3" t="s">
        <v>219</v>
      </c>
      <c r="J135" s="3" t="s">
        <v>220</v>
      </c>
      <c r="K135" s="3" t="s">
        <v>45</v>
      </c>
      <c r="L135" s="3" t="s">
        <v>46</v>
      </c>
      <c r="M135" s="1" t="s">
        <v>12</v>
      </c>
      <c r="N135" s="1" t="s">
        <v>80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79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84</v>
      </c>
      <c r="AE135" s="1" t="s">
        <v>84</v>
      </c>
      <c r="AF135" s="1" t="s">
        <v>60</v>
      </c>
      <c r="AG135" s="1" t="s">
        <v>61</v>
      </c>
      <c r="AH135" s="1" t="s">
        <v>199</v>
      </c>
      <c r="AI135" s="1" t="s">
        <v>200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6" t="s">
        <v>49</v>
      </c>
      <c r="AS135" s="1">
        <f t="shared" si="14"/>
        <v>5.1599999999999997E-3</v>
      </c>
      <c r="AT135" s="4">
        <f t="shared" si="15"/>
        <v>1.3000755857898715E-2</v>
      </c>
      <c r="AU135" s="5">
        <v>0</v>
      </c>
      <c r="AV135" s="4">
        <f>AT135*(1-AL135)/AL135</f>
        <v>0.13817082388510962</v>
      </c>
      <c r="AW135" s="29" t="s">
        <v>221</v>
      </c>
    </row>
    <row r="136" spans="1:49">
      <c r="A136" s="1">
        <v>1</v>
      </c>
      <c r="B136" s="1" t="s">
        <v>38</v>
      </c>
      <c r="C136" s="1" t="s">
        <v>38</v>
      </c>
      <c r="D136" s="3" t="s">
        <v>548</v>
      </c>
      <c r="E136" s="3" t="s">
        <v>71</v>
      </c>
      <c r="F136" s="3">
        <v>1994</v>
      </c>
      <c r="G136" s="3" t="s">
        <v>72</v>
      </c>
      <c r="H136" s="3" t="s">
        <v>73</v>
      </c>
      <c r="I136" s="3" t="s">
        <v>219</v>
      </c>
      <c r="J136" s="3" t="s">
        <v>220</v>
      </c>
      <c r="K136" s="3" t="s">
        <v>45</v>
      </c>
      <c r="L136" s="3" t="s">
        <v>46</v>
      </c>
      <c r="M136" s="1" t="s">
        <v>12</v>
      </c>
      <c r="N136" s="1" t="s">
        <v>80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79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85</v>
      </c>
      <c r="AE136" s="1" t="s">
        <v>85</v>
      </c>
      <c r="AF136" s="1" t="s">
        <v>60</v>
      </c>
      <c r="AG136" s="1" t="s">
        <v>61</v>
      </c>
      <c r="AH136" s="1" t="s">
        <v>199</v>
      </c>
      <c r="AI136" s="1" t="s">
        <v>200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6" t="s">
        <v>49</v>
      </c>
      <c r="AS136" s="1">
        <f t="shared" si="14"/>
        <v>0</v>
      </c>
      <c r="AT136" s="4">
        <f t="shared" si="15"/>
        <v>0</v>
      </c>
      <c r="AU136" s="5">
        <v>0</v>
      </c>
      <c r="AV136" s="4">
        <f>AN136/(AM136^2)*100</f>
        <v>0.26846358291497763</v>
      </c>
      <c r="AW136" s="29" t="s">
        <v>221</v>
      </c>
    </row>
    <row r="137" spans="1:49">
      <c r="A137" s="1">
        <v>1</v>
      </c>
      <c r="B137" s="1" t="s">
        <v>38</v>
      </c>
      <c r="C137" s="1" t="s">
        <v>38</v>
      </c>
      <c r="D137" s="3" t="s">
        <v>548</v>
      </c>
      <c r="E137" s="3" t="s">
        <v>71</v>
      </c>
      <c r="F137" s="3">
        <v>1994</v>
      </c>
      <c r="G137" s="3" t="s">
        <v>72</v>
      </c>
      <c r="H137" s="3" t="s">
        <v>73</v>
      </c>
      <c r="I137" s="3" t="s">
        <v>219</v>
      </c>
      <c r="J137" s="3" t="s">
        <v>220</v>
      </c>
      <c r="K137" s="3" t="s">
        <v>45</v>
      </c>
      <c r="L137" s="3" t="s">
        <v>46</v>
      </c>
      <c r="M137" s="1" t="s">
        <v>12</v>
      </c>
      <c r="N137" s="1" t="s">
        <v>80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79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86</v>
      </c>
      <c r="AD137" s="1" t="s">
        <v>87</v>
      </c>
      <c r="AE137" s="1" t="s">
        <v>87</v>
      </c>
      <c r="AF137" s="1" t="s">
        <v>60</v>
      </c>
      <c r="AG137" s="1" t="s">
        <v>61</v>
      </c>
      <c r="AH137" s="1" t="s">
        <v>199</v>
      </c>
      <c r="AI137" s="1" t="s">
        <v>200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6" t="s">
        <v>49</v>
      </c>
      <c r="AS137" s="1">
        <f t="shared" si="14"/>
        <v>0.11559999999999999</v>
      </c>
      <c r="AT137" s="4">
        <f t="shared" si="15"/>
        <v>0.17883220712358608</v>
      </c>
      <c r="AU137" s="5">
        <v>0</v>
      </c>
      <c r="AV137" s="4">
        <f>AT137*(1-AL137)/AL137</f>
        <v>0.1305660750971511</v>
      </c>
      <c r="AW137" s="29" t="s">
        <v>221</v>
      </c>
    </row>
    <row r="138" spans="1:49">
      <c r="A138" s="1">
        <v>1</v>
      </c>
      <c r="B138" s="1" t="s">
        <v>38</v>
      </c>
      <c r="C138" s="1" t="s">
        <v>38</v>
      </c>
      <c r="D138" s="3" t="s">
        <v>548</v>
      </c>
      <c r="E138" s="3" t="s">
        <v>71</v>
      </c>
      <c r="F138" s="3">
        <v>1994</v>
      </c>
      <c r="G138" s="3" t="s">
        <v>72</v>
      </c>
      <c r="H138" s="3" t="s">
        <v>73</v>
      </c>
      <c r="I138" s="3" t="s">
        <v>219</v>
      </c>
      <c r="J138" s="3" t="s">
        <v>220</v>
      </c>
      <c r="K138" s="3" t="s">
        <v>45</v>
      </c>
      <c r="L138" s="3" t="s">
        <v>46</v>
      </c>
      <c r="M138" s="1" t="s">
        <v>12</v>
      </c>
      <c r="N138" s="1" t="s">
        <v>80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79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86</v>
      </c>
      <c r="AD138" s="1" t="s">
        <v>88</v>
      </c>
      <c r="AE138" s="1" t="s">
        <v>88</v>
      </c>
      <c r="AF138" s="1" t="s">
        <v>60</v>
      </c>
      <c r="AG138" s="1" t="s">
        <v>61</v>
      </c>
      <c r="AH138" s="1" t="s">
        <v>199</v>
      </c>
      <c r="AI138" s="1" t="s">
        <v>200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6" t="s">
        <v>49</v>
      </c>
      <c r="AS138" s="1">
        <f t="shared" si="14"/>
        <v>0.14856</v>
      </c>
      <c r="AT138" s="4">
        <f t="shared" si="15"/>
        <v>0.30145859205688269</v>
      </c>
      <c r="AU138" s="5">
        <v>0</v>
      </c>
      <c r="AV138" s="4">
        <f>AT138*(1-AL138)/AL138</f>
        <v>0.18555044196069839</v>
      </c>
      <c r="AW138" s="29" t="s">
        <v>221</v>
      </c>
    </row>
    <row r="139" spans="1:49">
      <c r="A139" s="1">
        <v>1</v>
      </c>
      <c r="B139" s="1" t="s">
        <v>38</v>
      </c>
      <c r="C139" s="1" t="s">
        <v>38</v>
      </c>
      <c r="D139" s="3" t="s">
        <v>548</v>
      </c>
      <c r="E139" s="3" t="s">
        <v>71</v>
      </c>
      <c r="F139" s="3">
        <v>1994</v>
      </c>
      <c r="G139" s="3" t="s">
        <v>72</v>
      </c>
      <c r="H139" s="3" t="s">
        <v>73</v>
      </c>
      <c r="I139" s="3" t="s">
        <v>219</v>
      </c>
      <c r="J139" s="3" t="s">
        <v>220</v>
      </c>
      <c r="K139" s="3" t="s">
        <v>45</v>
      </c>
      <c r="L139" s="3" t="s">
        <v>46</v>
      </c>
      <c r="M139" s="1" t="s">
        <v>12</v>
      </c>
      <c r="N139" s="1" t="s">
        <v>80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79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89</v>
      </c>
      <c r="AE139" s="1" t="s">
        <v>89</v>
      </c>
      <c r="AF139" s="1" t="s">
        <v>60</v>
      </c>
      <c r="AG139" s="1" t="s">
        <v>61</v>
      </c>
      <c r="AH139" s="1" t="s">
        <v>199</v>
      </c>
      <c r="AI139" s="1" t="s">
        <v>200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6" t="s">
        <v>49</v>
      </c>
      <c r="AS139" s="1">
        <f t="shared" si="14"/>
        <v>7.4480000000000005E-2</v>
      </c>
      <c r="AT139" s="4">
        <f t="shared" si="15"/>
        <v>0.11185601691657056</v>
      </c>
      <c r="AU139" s="5">
        <v>0</v>
      </c>
      <c r="AV139" s="4">
        <f>AT139*(1-AL139)/AL139</f>
        <v>0.45883794694348334</v>
      </c>
      <c r="AW139" s="29" t="s">
        <v>221</v>
      </c>
    </row>
    <row r="140" spans="1:49">
      <c r="A140" s="1">
        <v>1</v>
      </c>
      <c r="B140" s="1" t="s">
        <v>38</v>
      </c>
      <c r="C140" s="1" t="s">
        <v>38</v>
      </c>
      <c r="D140" s="3" t="s">
        <v>548</v>
      </c>
      <c r="E140" s="3" t="s">
        <v>71</v>
      </c>
      <c r="F140" s="3">
        <v>1994</v>
      </c>
      <c r="G140" s="3" t="s">
        <v>72</v>
      </c>
      <c r="H140" s="3" t="s">
        <v>73</v>
      </c>
      <c r="I140" s="3" t="s">
        <v>219</v>
      </c>
      <c r="J140" s="3" t="s">
        <v>220</v>
      </c>
      <c r="K140" s="3" t="s">
        <v>45</v>
      </c>
      <c r="L140" s="3" t="s">
        <v>46</v>
      </c>
      <c r="M140" s="1" t="s">
        <v>12</v>
      </c>
      <c r="N140" s="1" t="s">
        <v>80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79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90</v>
      </c>
      <c r="AE140" s="1" t="s">
        <v>90</v>
      </c>
      <c r="AF140" s="1" t="s">
        <v>60</v>
      </c>
      <c r="AG140" s="1" t="s">
        <v>61</v>
      </c>
      <c r="AH140" s="1" t="s">
        <v>199</v>
      </c>
      <c r="AI140" s="1" t="s">
        <v>200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6" t="s">
        <v>49</v>
      </c>
      <c r="AS140" s="1">
        <f t="shared" si="14"/>
        <v>0.21060000000000001</v>
      </c>
      <c r="AT140" s="4">
        <f t="shared" si="15"/>
        <v>0.22947075718812246</v>
      </c>
      <c r="AU140" s="5">
        <v>0</v>
      </c>
      <c r="AV140" s="4">
        <f>AT140*(1-AL140)/AL140</f>
        <v>0.19547508945654873</v>
      </c>
      <c r="AW140" s="29" t="s">
        <v>221</v>
      </c>
    </row>
    <row r="141" spans="1:49">
      <c r="A141" s="1">
        <v>1</v>
      </c>
      <c r="B141" s="1" t="s">
        <v>38</v>
      </c>
      <c r="C141" s="1" t="s">
        <v>38</v>
      </c>
      <c r="D141" s="3" t="s">
        <v>548</v>
      </c>
      <c r="E141" s="3" t="s">
        <v>71</v>
      </c>
      <c r="F141" s="3">
        <v>1994</v>
      </c>
      <c r="G141" s="3" t="s">
        <v>72</v>
      </c>
      <c r="H141" s="3" t="s">
        <v>73</v>
      </c>
      <c r="I141" s="3" t="s">
        <v>219</v>
      </c>
      <c r="J141" s="3" t="s">
        <v>220</v>
      </c>
      <c r="K141" s="3" t="s">
        <v>45</v>
      </c>
      <c r="L141" s="3" t="s">
        <v>46</v>
      </c>
      <c r="M141" s="1" t="s">
        <v>12</v>
      </c>
      <c r="N141" s="1" t="s">
        <v>80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79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91</v>
      </c>
      <c r="AC141" s="1" t="s">
        <v>91</v>
      </c>
      <c r="AD141" s="1" t="s">
        <v>93</v>
      </c>
      <c r="AE141" s="1" t="s">
        <v>93</v>
      </c>
      <c r="AF141" s="1" t="s">
        <v>92</v>
      </c>
      <c r="AG141" s="1" t="s">
        <v>49</v>
      </c>
      <c r="AH141" s="1" t="s">
        <v>199</v>
      </c>
      <c r="AI141" s="1" t="s">
        <v>200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6" t="s">
        <v>49</v>
      </c>
      <c r="AS141" s="1">
        <v>7.1840000000000001E-2</v>
      </c>
      <c r="AT141" s="4">
        <v>2.400344</v>
      </c>
      <c r="AU141" s="5">
        <v>0</v>
      </c>
      <c r="AV141" s="4" t="s">
        <v>49</v>
      </c>
      <c r="AW141" s="29" t="s">
        <v>221</v>
      </c>
    </row>
    <row r="142" spans="1:49" ht="14.4" customHeight="1">
      <c r="A142" s="1">
        <v>1</v>
      </c>
      <c r="B142" s="1" t="s">
        <v>38</v>
      </c>
      <c r="C142" s="1" t="s">
        <v>38</v>
      </c>
      <c r="D142" s="3" t="s">
        <v>548</v>
      </c>
      <c r="E142" s="3" t="s">
        <v>71</v>
      </c>
      <c r="F142" s="3">
        <v>1994</v>
      </c>
      <c r="G142" s="3" t="s">
        <v>72</v>
      </c>
      <c r="H142" s="3" t="s">
        <v>73</v>
      </c>
      <c r="I142" s="3" t="s">
        <v>219</v>
      </c>
      <c r="J142" s="3" t="s">
        <v>220</v>
      </c>
      <c r="K142" s="3" t="s">
        <v>45</v>
      </c>
      <c r="L142" s="3" t="s">
        <v>46</v>
      </c>
      <c r="M142" s="1" t="s">
        <v>12</v>
      </c>
      <c r="N142" s="1" t="s">
        <v>80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79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94</v>
      </c>
      <c r="AB142" s="1" t="s">
        <v>95</v>
      </c>
      <c r="AC142" s="1" t="s">
        <v>96</v>
      </c>
      <c r="AD142" s="1" t="s">
        <v>97</v>
      </c>
      <c r="AE142" s="1" t="s">
        <v>97</v>
      </c>
      <c r="AF142" s="1" t="s">
        <v>53</v>
      </c>
      <c r="AG142" s="1" t="s">
        <v>53</v>
      </c>
      <c r="AH142" s="1" t="s">
        <v>199</v>
      </c>
      <c r="AI142" s="1" t="s">
        <v>200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6" t="s">
        <v>49</v>
      </c>
      <c r="AS142" s="1">
        <f>AL142*AN142</f>
        <v>0.86292000000000002</v>
      </c>
      <c r="AT142" s="4">
        <f>AS142/(AM142^2)*100</f>
        <v>3.6579210510151804E-2</v>
      </c>
      <c r="AU142" s="5">
        <v>0</v>
      </c>
      <c r="AV142" s="4">
        <f>AT142*(1-AL142)/AL142</f>
        <v>0.32204050037368942</v>
      </c>
      <c r="AW142" s="29" t="s">
        <v>221</v>
      </c>
    </row>
    <row r="143" spans="1:49" ht="14.4" customHeight="1">
      <c r="A143" s="1">
        <v>1</v>
      </c>
      <c r="B143" s="1" t="s">
        <v>38</v>
      </c>
      <c r="C143" s="1" t="s">
        <v>38</v>
      </c>
      <c r="D143" s="3" t="s">
        <v>548</v>
      </c>
      <c r="E143" s="3" t="s">
        <v>71</v>
      </c>
      <c r="F143" s="3">
        <v>1994</v>
      </c>
      <c r="G143" s="3" t="s">
        <v>72</v>
      </c>
      <c r="H143" s="3" t="s">
        <v>73</v>
      </c>
      <c r="I143" s="3" t="s">
        <v>219</v>
      </c>
      <c r="J143" s="3" t="s">
        <v>220</v>
      </c>
      <c r="K143" s="3" t="s">
        <v>45</v>
      </c>
      <c r="L143" s="3" t="s">
        <v>46</v>
      </c>
      <c r="M143" s="1" t="s">
        <v>12</v>
      </c>
      <c r="N143" s="1" t="s">
        <v>80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79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97</v>
      </c>
      <c r="AE143" s="1" t="s">
        <v>89</v>
      </c>
      <c r="AF143" s="1" t="s">
        <v>49</v>
      </c>
      <c r="AG143" s="1" t="s">
        <v>49</v>
      </c>
      <c r="AH143" s="1" t="s">
        <v>199</v>
      </c>
      <c r="AI143" s="1" t="s">
        <v>200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6" t="s">
        <v>49</v>
      </c>
      <c r="AW143" s="30" t="s">
        <v>49</v>
      </c>
    </row>
    <row r="144" spans="1:49" ht="14.4" customHeight="1">
      <c r="A144" s="1">
        <v>1</v>
      </c>
      <c r="B144" s="1" t="s">
        <v>38</v>
      </c>
      <c r="C144" s="1" t="s">
        <v>38</v>
      </c>
      <c r="D144" s="3" t="s">
        <v>548</v>
      </c>
      <c r="E144" s="3" t="s">
        <v>71</v>
      </c>
      <c r="F144" s="3">
        <v>1994</v>
      </c>
      <c r="G144" s="3" t="s">
        <v>72</v>
      </c>
      <c r="H144" s="3" t="s">
        <v>73</v>
      </c>
      <c r="I144" s="3" t="s">
        <v>219</v>
      </c>
      <c r="J144" s="3" t="s">
        <v>220</v>
      </c>
      <c r="K144" s="3" t="s">
        <v>45</v>
      </c>
      <c r="L144" s="3" t="s">
        <v>46</v>
      </c>
      <c r="M144" s="1" t="s">
        <v>12</v>
      </c>
      <c r="N144" s="1" t="s">
        <v>80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79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97</v>
      </c>
      <c r="AE144" s="1" t="s">
        <v>90</v>
      </c>
      <c r="AF144" s="1" t="s">
        <v>49</v>
      </c>
      <c r="AG144" s="1" t="s">
        <v>49</v>
      </c>
      <c r="AH144" s="1" t="s">
        <v>199</v>
      </c>
      <c r="AI144" s="1" t="s">
        <v>200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6" t="s">
        <v>49</v>
      </c>
      <c r="AW144" s="30" t="s">
        <v>49</v>
      </c>
    </row>
    <row r="145" spans="1:49" ht="14.4" customHeight="1">
      <c r="A145" s="1">
        <v>1</v>
      </c>
      <c r="B145" s="1" t="s">
        <v>38</v>
      </c>
      <c r="C145" s="1" t="s">
        <v>38</v>
      </c>
      <c r="D145" s="3" t="s">
        <v>548</v>
      </c>
      <c r="E145" s="3" t="s">
        <v>71</v>
      </c>
      <c r="F145" s="3">
        <v>1994</v>
      </c>
      <c r="G145" s="3" t="s">
        <v>72</v>
      </c>
      <c r="H145" s="3" t="s">
        <v>73</v>
      </c>
      <c r="I145" s="3" t="s">
        <v>219</v>
      </c>
      <c r="J145" s="3" t="s">
        <v>220</v>
      </c>
      <c r="K145" s="3" t="s">
        <v>45</v>
      </c>
      <c r="L145" s="3" t="s">
        <v>46</v>
      </c>
      <c r="M145" s="1" t="s">
        <v>12</v>
      </c>
      <c r="N145" s="1" t="s">
        <v>80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79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97</v>
      </c>
      <c r="AE145" s="1" t="s">
        <v>84</v>
      </c>
      <c r="AF145" s="1" t="s">
        <v>49</v>
      </c>
      <c r="AG145" s="1" t="s">
        <v>49</v>
      </c>
      <c r="AH145" s="1" t="s">
        <v>199</v>
      </c>
      <c r="AI145" s="1" t="s">
        <v>200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6" t="s">
        <v>49</v>
      </c>
      <c r="AW145" s="30" t="s">
        <v>49</v>
      </c>
    </row>
    <row r="146" spans="1:49" ht="14.4" customHeight="1">
      <c r="A146" s="1">
        <v>1</v>
      </c>
      <c r="B146" s="1" t="s">
        <v>38</v>
      </c>
      <c r="C146" s="1" t="s">
        <v>38</v>
      </c>
      <c r="D146" s="3" t="s">
        <v>548</v>
      </c>
      <c r="E146" s="3" t="s">
        <v>71</v>
      </c>
      <c r="F146" s="3">
        <v>1994</v>
      </c>
      <c r="G146" s="3" t="s">
        <v>72</v>
      </c>
      <c r="H146" s="3" t="s">
        <v>73</v>
      </c>
      <c r="I146" s="3" t="s">
        <v>219</v>
      </c>
      <c r="J146" s="3" t="s">
        <v>220</v>
      </c>
      <c r="K146" s="3" t="s">
        <v>45</v>
      </c>
      <c r="L146" s="3" t="s">
        <v>46</v>
      </c>
      <c r="M146" s="1" t="s">
        <v>12</v>
      </c>
      <c r="N146" s="1" t="s">
        <v>80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79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97</v>
      </c>
      <c r="AE146" s="1" t="s">
        <v>88</v>
      </c>
      <c r="AF146" s="1" t="s">
        <v>49</v>
      </c>
      <c r="AG146" s="1" t="s">
        <v>49</v>
      </c>
      <c r="AH146" s="1" t="s">
        <v>199</v>
      </c>
      <c r="AI146" s="1" t="s">
        <v>200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6" t="s">
        <v>49</v>
      </c>
      <c r="AW146" s="30" t="s">
        <v>49</v>
      </c>
    </row>
    <row r="147" spans="1:49" ht="14.4" customHeight="1">
      <c r="A147" s="1">
        <v>1</v>
      </c>
      <c r="B147" s="1" t="s">
        <v>38</v>
      </c>
      <c r="C147" s="1" t="s">
        <v>38</v>
      </c>
      <c r="D147" s="3" t="s">
        <v>548</v>
      </c>
      <c r="E147" s="3" t="s">
        <v>71</v>
      </c>
      <c r="F147" s="3">
        <v>1994</v>
      </c>
      <c r="G147" s="3" t="s">
        <v>72</v>
      </c>
      <c r="H147" s="3" t="s">
        <v>73</v>
      </c>
      <c r="I147" s="3" t="s">
        <v>219</v>
      </c>
      <c r="J147" s="3" t="s">
        <v>220</v>
      </c>
      <c r="K147" s="3" t="s">
        <v>45</v>
      </c>
      <c r="L147" s="3" t="s">
        <v>46</v>
      </c>
      <c r="M147" s="1" t="s">
        <v>12</v>
      </c>
      <c r="N147" s="1" t="s">
        <v>80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79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97</v>
      </c>
      <c r="AE147" s="1" t="s">
        <v>87</v>
      </c>
      <c r="AF147" s="1" t="s">
        <v>49</v>
      </c>
      <c r="AG147" s="1" t="s">
        <v>49</v>
      </c>
      <c r="AH147" s="1" t="s">
        <v>199</v>
      </c>
      <c r="AI147" s="1" t="s">
        <v>200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6" t="s">
        <v>49</v>
      </c>
      <c r="AW147" s="30" t="s">
        <v>49</v>
      </c>
    </row>
    <row r="148" spans="1:49" ht="14.4" customHeight="1">
      <c r="A148" s="1">
        <v>1</v>
      </c>
      <c r="B148" s="1" t="s">
        <v>38</v>
      </c>
      <c r="C148" s="1" t="s">
        <v>38</v>
      </c>
      <c r="D148" s="3" t="s">
        <v>548</v>
      </c>
      <c r="E148" s="3" t="s">
        <v>71</v>
      </c>
      <c r="F148" s="3">
        <v>1994</v>
      </c>
      <c r="G148" s="3" t="s">
        <v>72</v>
      </c>
      <c r="H148" s="3" t="s">
        <v>73</v>
      </c>
      <c r="I148" s="3" t="s">
        <v>219</v>
      </c>
      <c r="J148" s="3" t="s">
        <v>220</v>
      </c>
      <c r="K148" s="3" t="s">
        <v>45</v>
      </c>
      <c r="L148" s="3" t="s">
        <v>46</v>
      </c>
      <c r="M148" s="1" t="s">
        <v>12</v>
      </c>
      <c r="N148" s="1" t="s">
        <v>80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79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97</v>
      </c>
      <c r="AE148" s="1" t="s">
        <v>93</v>
      </c>
      <c r="AF148" s="1" t="s">
        <v>49</v>
      </c>
      <c r="AG148" s="1" t="s">
        <v>49</v>
      </c>
      <c r="AH148" s="1" t="s">
        <v>199</v>
      </c>
      <c r="AI148" s="1" t="s">
        <v>200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6" t="s">
        <v>49</v>
      </c>
      <c r="AW148" s="30" t="s">
        <v>49</v>
      </c>
    </row>
    <row r="149" spans="1:49" ht="14.4" customHeight="1">
      <c r="A149" s="1">
        <v>1</v>
      </c>
      <c r="B149" s="1" t="s">
        <v>38</v>
      </c>
      <c r="C149" s="1" t="s">
        <v>38</v>
      </c>
      <c r="D149" s="3" t="s">
        <v>548</v>
      </c>
      <c r="E149" s="3" t="s">
        <v>71</v>
      </c>
      <c r="F149" s="3">
        <v>1994</v>
      </c>
      <c r="G149" s="3" t="s">
        <v>72</v>
      </c>
      <c r="H149" s="3" t="s">
        <v>73</v>
      </c>
      <c r="I149" s="3" t="s">
        <v>219</v>
      </c>
      <c r="J149" s="3" t="s">
        <v>220</v>
      </c>
      <c r="K149" s="3" t="s">
        <v>45</v>
      </c>
      <c r="L149" s="3" t="s">
        <v>46</v>
      </c>
      <c r="M149" s="1" t="s">
        <v>12</v>
      </c>
      <c r="N149" s="1" t="s">
        <v>80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79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89</v>
      </c>
      <c r="AE149" s="1" t="s">
        <v>90</v>
      </c>
      <c r="AF149" s="1" t="s">
        <v>49</v>
      </c>
      <c r="AG149" s="1" t="s">
        <v>49</v>
      </c>
      <c r="AH149" s="1" t="s">
        <v>199</v>
      </c>
      <c r="AI149" s="1" t="s">
        <v>200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6" t="s">
        <v>49</v>
      </c>
      <c r="AW149" s="30" t="s">
        <v>49</v>
      </c>
    </row>
    <row r="150" spans="1:49" ht="14.4" customHeight="1">
      <c r="A150" s="1">
        <v>1</v>
      </c>
      <c r="B150" s="1" t="s">
        <v>38</v>
      </c>
      <c r="C150" s="1" t="s">
        <v>38</v>
      </c>
      <c r="D150" s="3" t="s">
        <v>548</v>
      </c>
      <c r="E150" s="3" t="s">
        <v>71</v>
      </c>
      <c r="F150" s="3">
        <v>1994</v>
      </c>
      <c r="G150" s="3" t="s">
        <v>72</v>
      </c>
      <c r="H150" s="3" t="s">
        <v>73</v>
      </c>
      <c r="I150" s="3" t="s">
        <v>219</v>
      </c>
      <c r="J150" s="3" t="s">
        <v>220</v>
      </c>
      <c r="K150" s="3" t="s">
        <v>45</v>
      </c>
      <c r="L150" s="3" t="s">
        <v>46</v>
      </c>
      <c r="M150" s="1" t="s">
        <v>12</v>
      </c>
      <c r="N150" s="1" t="s">
        <v>80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79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89</v>
      </c>
      <c r="AE150" s="1" t="s">
        <v>84</v>
      </c>
      <c r="AF150" s="1" t="s">
        <v>49</v>
      </c>
      <c r="AG150" s="1" t="s">
        <v>49</v>
      </c>
      <c r="AH150" s="1" t="s">
        <v>199</v>
      </c>
      <c r="AI150" s="1" t="s">
        <v>200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6" t="s">
        <v>49</v>
      </c>
      <c r="AW150" s="30" t="s">
        <v>49</v>
      </c>
    </row>
    <row r="151" spans="1:49" ht="14.4" customHeight="1">
      <c r="A151" s="1">
        <v>1</v>
      </c>
      <c r="B151" s="1" t="s">
        <v>38</v>
      </c>
      <c r="C151" s="1" t="s">
        <v>38</v>
      </c>
      <c r="D151" s="3" t="s">
        <v>548</v>
      </c>
      <c r="E151" s="3" t="s">
        <v>71</v>
      </c>
      <c r="F151" s="3">
        <v>1994</v>
      </c>
      <c r="G151" s="3" t="s">
        <v>72</v>
      </c>
      <c r="H151" s="3" t="s">
        <v>73</v>
      </c>
      <c r="I151" s="3" t="s">
        <v>219</v>
      </c>
      <c r="J151" s="3" t="s">
        <v>220</v>
      </c>
      <c r="K151" s="3" t="s">
        <v>45</v>
      </c>
      <c r="L151" s="3" t="s">
        <v>46</v>
      </c>
      <c r="M151" s="1" t="s">
        <v>12</v>
      </c>
      <c r="N151" s="1" t="s">
        <v>80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79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89</v>
      </c>
      <c r="AE151" s="1" t="s">
        <v>88</v>
      </c>
      <c r="AF151" s="1" t="s">
        <v>49</v>
      </c>
      <c r="AG151" s="1" t="s">
        <v>49</v>
      </c>
      <c r="AH151" s="1" t="s">
        <v>199</v>
      </c>
      <c r="AI151" s="1" t="s">
        <v>200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6" t="s">
        <v>49</v>
      </c>
      <c r="AW151" s="30" t="s">
        <v>49</v>
      </c>
    </row>
    <row r="152" spans="1:49" ht="14.4" customHeight="1">
      <c r="A152" s="1">
        <v>1</v>
      </c>
      <c r="B152" s="1" t="s">
        <v>38</v>
      </c>
      <c r="C152" s="1" t="s">
        <v>38</v>
      </c>
      <c r="D152" s="3" t="s">
        <v>548</v>
      </c>
      <c r="E152" s="3" t="s">
        <v>71</v>
      </c>
      <c r="F152" s="3">
        <v>1994</v>
      </c>
      <c r="G152" s="3" t="s">
        <v>72</v>
      </c>
      <c r="H152" s="3" t="s">
        <v>73</v>
      </c>
      <c r="I152" s="3" t="s">
        <v>219</v>
      </c>
      <c r="J152" s="3" t="s">
        <v>220</v>
      </c>
      <c r="K152" s="3" t="s">
        <v>45</v>
      </c>
      <c r="L152" s="3" t="s">
        <v>46</v>
      </c>
      <c r="M152" s="1" t="s">
        <v>12</v>
      </c>
      <c r="N152" s="1" t="s">
        <v>80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79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89</v>
      </c>
      <c r="AE152" s="1" t="s">
        <v>87</v>
      </c>
      <c r="AF152" s="1" t="s">
        <v>49</v>
      </c>
      <c r="AG152" s="1" t="s">
        <v>49</v>
      </c>
      <c r="AH152" s="1" t="s">
        <v>199</v>
      </c>
      <c r="AI152" s="1" t="s">
        <v>200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6" t="s">
        <v>49</v>
      </c>
      <c r="AW152" s="30" t="s">
        <v>49</v>
      </c>
    </row>
    <row r="153" spans="1:49" ht="14.4" customHeight="1">
      <c r="A153" s="1">
        <v>1</v>
      </c>
      <c r="B153" s="1" t="s">
        <v>38</v>
      </c>
      <c r="C153" s="1" t="s">
        <v>38</v>
      </c>
      <c r="D153" s="3" t="s">
        <v>548</v>
      </c>
      <c r="E153" s="3" t="s">
        <v>71</v>
      </c>
      <c r="F153" s="3">
        <v>1994</v>
      </c>
      <c r="G153" s="3" t="s">
        <v>72</v>
      </c>
      <c r="H153" s="3" t="s">
        <v>73</v>
      </c>
      <c r="I153" s="3" t="s">
        <v>219</v>
      </c>
      <c r="J153" s="3" t="s">
        <v>220</v>
      </c>
      <c r="K153" s="3" t="s">
        <v>45</v>
      </c>
      <c r="L153" s="3" t="s">
        <v>46</v>
      </c>
      <c r="M153" s="1" t="s">
        <v>12</v>
      </c>
      <c r="N153" s="1" t="s">
        <v>80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79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89</v>
      </c>
      <c r="AE153" s="1" t="s">
        <v>93</v>
      </c>
      <c r="AF153" s="1" t="s">
        <v>49</v>
      </c>
      <c r="AG153" s="1" t="s">
        <v>49</v>
      </c>
      <c r="AH153" s="1" t="s">
        <v>199</v>
      </c>
      <c r="AI153" s="1" t="s">
        <v>200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6" t="s">
        <v>49</v>
      </c>
      <c r="AW153" s="30" t="s">
        <v>49</v>
      </c>
    </row>
    <row r="154" spans="1:49" ht="14.4" customHeight="1">
      <c r="A154" s="1">
        <v>1</v>
      </c>
      <c r="B154" s="1" t="s">
        <v>38</v>
      </c>
      <c r="C154" s="1" t="s">
        <v>38</v>
      </c>
      <c r="D154" s="3" t="s">
        <v>548</v>
      </c>
      <c r="E154" s="3" t="s">
        <v>71</v>
      </c>
      <c r="F154" s="3">
        <v>1994</v>
      </c>
      <c r="G154" s="3" t="s">
        <v>72</v>
      </c>
      <c r="H154" s="3" t="s">
        <v>73</v>
      </c>
      <c r="I154" s="3" t="s">
        <v>219</v>
      </c>
      <c r="J154" s="3" t="s">
        <v>220</v>
      </c>
      <c r="K154" s="3" t="s">
        <v>45</v>
      </c>
      <c r="L154" s="3" t="s">
        <v>46</v>
      </c>
      <c r="M154" s="1" t="s">
        <v>12</v>
      </c>
      <c r="N154" s="1" t="s">
        <v>80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79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90</v>
      </c>
      <c r="AE154" s="1" t="s">
        <v>84</v>
      </c>
      <c r="AF154" s="1" t="s">
        <v>49</v>
      </c>
      <c r="AG154" s="1" t="s">
        <v>49</v>
      </c>
      <c r="AH154" s="1" t="s">
        <v>199</v>
      </c>
      <c r="AI154" s="1" t="s">
        <v>200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6" t="s">
        <v>49</v>
      </c>
      <c r="AW154" s="30" t="s">
        <v>49</v>
      </c>
    </row>
    <row r="155" spans="1:49" ht="14.4" customHeight="1">
      <c r="A155" s="1">
        <v>1</v>
      </c>
      <c r="B155" s="1" t="s">
        <v>38</v>
      </c>
      <c r="C155" s="1" t="s">
        <v>38</v>
      </c>
      <c r="D155" s="3" t="s">
        <v>548</v>
      </c>
      <c r="E155" s="3" t="s">
        <v>71</v>
      </c>
      <c r="F155" s="3">
        <v>1994</v>
      </c>
      <c r="G155" s="3" t="s">
        <v>72</v>
      </c>
      <c r="H155" s="3" t="s">
        <v>73</v>
      </c>
      <c r="I155" s="3" t="s">
        <v>219</v>
      </c>
      <c r="J155" s="3" t="s">
        <v>220</v>
      </c>
      <c r="K155" s="3" t="s">
        <v>45</v>
      </c>
      <c r="L155" s="3" t="s">
        <v>46</v>
      </c>
      <c r="M155" s="1" t="s">
        <v>12</v>
      </c>
      <c r="N155" s="1" t="s">
        <v>80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79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90</v>
      </c>
      <c r="AE155" s="1" t="s">
        <v>88</v>
      </c>
      <c r="AF155" s="1" t="s">
        <v>49</v>
      </c>
      <c r="AG155" s="1" t="s">
        <v>49</v>
      </c>
      <c r="AH155" s="1" t="s">
        <v>199</v>
      </c>
      <c r="AI155" s="1" t="s">
        <v>200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6" t="s">
        <v>49</v>
      </c>
      <c r="AW155" s="30" t="s">
        <v>49</v>
      </c>
    </row>
    <row r="156" spans="1:49" ht="14.4" customHeight="1">
      <c r="A156" s="1">
        <v>1</v>
      </c>
      <c r="B156" s="1" t="s">
        <v>38</v>
      </c>
      <c r="C156" s="1" t="s">
        <v>38</v>
      </c>
      <c r="D156" s="3" t="s">
        <v>548</v>
      </c>
      <c r="E156" s="3" t="s">
        <v>71</v>
      </c>
      <c r="F156" s="3">
        <v>1994</v>
      </c>
      <c r="G156" s="3" t="s">
        <v>72</v>
      </c>
      <c r="H156" s="3" t="s">
        <v>73</v>
      </c>
      <c r="I156" s="3" t="s">
        <v>219</v>
      </c>
      <c r="J156" s="3" t="s">
        <v>220</v>
      </c>
      <c r="K156" s="3" t="s">
        <v>45</v>
      </c>
      <c r="L156" s="3" t="s">
        <v>46</v>
      </c>
      <c r="M156" s="1" t="s">
        <v>12</v>
      </c>
      <c r="N156" s="1" t="s">
        <v>80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79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90</v>
      </c>
      <c r="AE156" s="1" t="s">
        <v>87</v>
      </c>
      <c r="AF156" s="1" t="s">
        <v>49</v>
      </c>
      <c r="AG156" s="1" t="s">
        <v>49</v>
      </c>
      <c r="AH156" s="1" t="s">
        <v>199</v>
      </c>
      <c r="AI156" s="1" t="s">
        <v>200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6" t="s">
        <v>49</v>
      </c>
      <c r="AW156" s="30" t="s">
        <v>49</v>
      </c>
    </row>
    <row r="157" spans="1:49" ht="14.4" customHeight="1">
      <c r="A157" s="1">
        <v>1</v>
      </c>
      <c r="B157" s="1" t="s">
        <v>38</v>
      </c>
      <c r="C157" s="1" t="s">
        <v>38</v>
      </c>
      <c r="D157" s="3" t="s">
        <v>548</v>
      </c>
      <c r="E157" s="3" t="s">
        <v>71</v>
      </c>
      <c r="F157" s="3">
        <v>1994</v>
      </c>
      <c r="G157" s="3" t="s">
        <v>72</v>
      </c>
      <c r="H157" s="3" t="s">
        <v>73</v>
      </c>
      <c r="I157" s="3" t="s">
        <v>219</v>
      </c>
      <c r="J157" s="3" t="s">
        <v>220</v>
      </c>
      <c r="K157" s="3" t="s">
        <v>45</v>
      </c>
      <c r="L157" s="3" t="s">
        <v>46</v>
      </c>
      <c r="M157" s="1" t="s">
        <v>12</v>
      </c>
      <c r="N157" s="1" t="s">
        <v>80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79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90</v>
      </c>
      <c r="AE157" s="1" t="s">
        <v>93</v>
      </c>
      <c r="AF157" s="1" t="s">
        <v>49</v>
      </c>
      <c r="AG157" s="1" t="s">
        <v>49</v>
      </c>
      <c r="AH157" s="1" t="s">
        <v>199</v>
      </c>
      <c r="AI157" s="1" t="s">
        <v>200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6" t="s">
        <v>49</v>
      </c>
      <c r="AW157" s="30" t="s">
        <v>49</v>
      </c>
    </row>
    <row r="158" spans="1:49" ht="14.4" customHeight="1">
      <c r="A158" s="1">
        <v>1</v>
      </c>
      <c r="B158" s="1" t="s">
        <v>38</v>
      </c>
      <c r="C158" s="1" t="s">
        <v>38</v>
      </c>
      <c r="D158" s="3" t="s">
        <v>548</v>
      </c>
      <c r="E158" s="3" t="s">
        <v>71</v>
      </c>
      <c r="F158" s="3">
        <v>1994</v>
      </c>
      <c r="G158" s="3" t="s">
        <v>72</v>
      </c>
      <c r="H158" s="3" t="s">
        <v>73</v>
      </c>
      <c r="I158" s="3" t="s">
        <v>219</v>
      </c>
      <c r="J158" s="3" t="s">
        <v>220</v>
      </c>
      <c r="K158" s="3" t="s">
        <v>45</v>
      </c>
      <c r="L158" s="3" t="s">
        <v>46</v>
      </c>
      <c r="M158" s="1" t="s">
        <v>12</v>
      </c>
      <c r="N158" s="1" t="s">
        <v>80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79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84</v>
      </c>
      <c r="AE158" s="1" t="s">
        <v>88</v>
      </c>
      <c r="AF158" s="1" t="s">
        <v>49</v>
      </c>
      <c r="AG158" s="1" t="s">
        <v>49</v>
      </c>
      <c r="AH158" s="1" t="s">
        <v>199</v>
      </c>
      <c r="AI158" s="1" t="s">
        <v>200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6" t="s">
        <v>49</v>
      </c>
      <c r="AW158" s="30" t="s">
        <v>49</v>
      </c>
    </row>
    <row r="159" spans="1:49" ht="14.4" customHeight="1">
      <c r="A159" s="1">
        <v>1</v>
      </c>
      <c r="B159" s="1" t="s">
        <v>38</v>
      </c>
      <c r="C159" s="1" t="s">
        <v>38</v>
      </c>
      <c r="D159" s="3" t="s">
        <v>548</v>
      </c>
      <c r="E159" s="3" t="s">
        <v>71</v>
      </c>
      <c r="F159" s="3">
        <v>1994</v>
      </c>
      <c r="G159" s="3" t="s">
        <v>72</v>
      </c>
      <c r="H159" s="3" t="s">
        <v>73</v>
      </c>
      <c r="I159" s="3" t="s">
        <v>219</v>
      </c>
      <c r="J159" s="3" t="s">
        <v>220</v>
      </c>
      <c r="K159" s="3" t="s">
        <v>45</v>
      </c>
      <c r="L159" s="3" t="s">
        <v>46</v>
      </c>
      <c r="M159" s="1" t="s">
        <v>12</v>
      </c>
      <c r="N159" s="1" t="s">
        <v>80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79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84</v>
      </c>
      <c r="AE159" s="1" t="s">
        <v>87</v>
      </c>
      <c r="AF159" s="1" t="s">
        <v>49</v>
      </c>
      <c r="AG159" s="1" t="s">
        <v>49</v>
      </c>
      <c r="AH159" s="1" t="s">
        <v>199</v>
      </c>
      <c r="AI159" s="1" t="s">
        <v>200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6" t="s">
        <v>49</v>
      </c>
      <c r="AW159" s="30" t="s">
        <v>49</v>
      </c>
    </row>
    <row r="160" spans="1:49" ht="14.4" customHeight="1">
      <c r="A160" s="1">
        <v>1</v>
      </c>
      <c r="B160" s="1" t="s">
        <v>38</v>
      </c>
      <c r="C160" s="1" t="s">
        <v>38</v>
      </c>
      <c r="D160" s="3" t="s">
        <v>548</v>
      </c>
      <c r="E160" s="3" t="s">
        <v>71</v>
      </c>
      <c r="F160" s="3">
        <v>1994</v>
      </c>
      <c r="G160" s="3" t="s">
        <v>72</v>
      </c>
      <c r="H160" s="3" t="s">
        <v>73</v>
      </c>
      <c r="I160" s="3" t="s">
        <v>219</v>
      </c>
      <c r="J160" s="3" t="s">
        <v>220</v>
      </c>
      <c r="K160" s="3" t="s">
        <v>45</v>
      </c>
      <c r="L160" s="3" t="s">
        <v>46</v>
      </c>
      <c r="M160" s="1" t="s">
        <v>12</v>
      </c>
      <c r="N160" s="1" t="s">
        <v>80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79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84</v>
      </c>
      <c r="AE160" s="1" t="s">
        <v>93</v>
      </c>
      <c r="AF160" s="1" t="s">
        <v>49</v>
      </c>
      <c r="AG160" s="1" t="s">
        <v>49</v>
      </c>
      <c r="AH160" s="1" t="s">
        <v>199</v>
      </c>
      <c r="AI160" s="1" t="s">
        <v>200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6" t="s">
        <v>49</v>
      </c>
      <c r="AW160" s="30" t="s">
        <v>49</v>
      </c>
    </row>
    <row r="161" spans="1:49" ht="14.4" customHeight="1">
      <c r="A161" s="1">
        <v>1</v>
      </c>
      <c r="B161" s="1" t="s">
        <v>38</v>
      </c>
      <c r="C161" s="1" t="s">
        <v>38</v>
      </c>
      <c r="D161" s="3" t="s">
        <v>548</v>
      </c>
      <c r="E161" s="3" t="s">
        <v>71</v>
      </c>
      <c r="F161" s="3">
        <v>1994</v>
      </c>
      <c r="G161" s="3" t="s">
        <v>72</v>
      </c>
      <c r="H161" s="3" t="s">
        <v>73</v>
      </c>
      <c r="I161" s="3" t="s">
        <v>219</v>
      </c>
      <c r="J161" s="3" t="s">
        <v>220</v>
      </c>
      <c r="K161" s="3" t="s">
        <v>45</v>
      </c>
      <c r="L161" s="3" t="s">
        <v>46</v>
      </c>
      <c r="M161" s="1" t="s">
        <v>12</v>
      </c>
      <c r="N161" s="1" t="s">
        <v>80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79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88</v>
      </c>
      <c r="AE161" s="1" t="s">
        <v>87</v>
      </c>
      <c r="AF161" s="1" t="s">
        <v>49</v>
      </c>
      <c r="AG161" s="1" t="s">
        <v>49</v>
      </c>
      <c r="AH161" s="1" t="s">
        <v>199</v>
      </c>
      <c r="AI161" s="1" t="s">
        <v>200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6" t="s">
        <v>49</v>
      </c>
      <c r="AW161" s="30" t="s">
        <v>49</v>
      </c>
    </row>
    <row r="162" spans="1:49" ht="14.4" customHeight="1">
      <c r="A162" s="1">
        <v>1</v>
      </c>
      <c r="B162" s="1" t="s">
        <v>38</v>
      </c>
      <c r="C162" s="1" t="s">
        <v>38</v>
      </c>
      <c r="D162" s="3" t="s">
        <v>548</v>
      </c>
      <c r="E162" s="3" t="s">
        <v>71</v>
      </c>
      <c r="F162" s="3">
        <v>1994</v>
      </c>
      <c r="G162" s="3" t="s">
        <v>72</v>
      </c>
      <c r="H162" s="3" t="s">
        <v>73</v>
      </c>
      <c r="I162" s="3" t="s">
        <v>219</v>
      </c>
      <c r="J162" s="3" t="s">
        <v>220</v>
      </c>
      <c r="K162" s="3" t="s">
        <v>45</v>
      </c>
      <c r="L162" s="3" t="s">
        <v>46</v>
      </c>
      <c r="M162" s="1" t="s">
        <v>12</v>
      </c>
      <c r="N162" s="1" t="s">
        <v>80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79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88</v>
      </c>
      <c r="AE162" s="1" t="s">
        <v>93</v>
      </c>
      <c r="AF162" s="1" t="s">
        <v>49</v>
      </c>
      <c r="AG162" s="1" t="s">
        <v>49</v>
      </c>
      <c r="AH162" s="1" t="s">
        <v>199</v>
      </c>
      <c r="AI162" s="1" t="s">
        <v>200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6" t="s">
        <v>49</v>
      </c>
      <c r="AW162" s="30" t="s">
        <v>49</v>
      </c>
    </row>
    <row r="163" spans="1:49" ht="14.4" customHeight="1">
      <c r="A163" s="1">
        <v>1</v>
      </c>
      <c r="B163" s="1" t="s">
        <v>38</v>
      </c>
      <c r="C163" s="1" t="s">
        <v>38</v>
      </c>
      <c r="D163" s="3" t="s">
        <v>548</v>
      </c>
      <c r="E163" s="3" t="s">
        <v>71</v>
      </c>
      <c r="F163" s="3">
        <v>1994</v>
      </c>
      <c r="G163" s="3" t="s">
        <v>72</v>
      </c>
      <c r="H163" s="3" t="s">
        <v>73</v>
      </c>
      <c r="I163" s="3" t="s">
        <v>219</v>
      </c>
      <c r="J163" s="3" t="s">
        <v>220</v>
      </c>
      <c r="K163" s="3" t="s">
        <v>45</v>
      </c>
      <c r="L163" s="3" t="s">
        <v>46</v>
      </c>
      <c r="M163" s="1" t="s">
        <v>12</v>
      </c>
      <c r="N163" s="1" t="s">
        <v>80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79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87</v>
      </c>
      <c r="AE163" s="1" t="s">
        <v>93</v>
      </c>
      <c r="AF163" s="1" t="s">
        <v>49</v>
      </c>
      <c r="AG163" s="1" t="s">
        <v>49</v>
      </c>
      <c r="AH163" s="1" t="s">
        <v>199</v>
      </c>
      <c r="AI163" s="1" t="s">
        <v>200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6" t="s">
        <v>49</v>
      </c>
      <c r="AW163" s="30" t="s">
        <v>49</v>
      </c>
    </row>
    <row r="164" spans="1:49" ht="14.4" customHeight="1">
      <c r="A164" s="1">
        <v>70</v>
      </c>
      <c r="B164" s="1" t="s">
        <v>38</v>
      </c>
      <c r="C164" s="1" t="s">
        <v>38</v>
      </c>
      <c r="D164" s="1" t="s">
        <v>109</v>
      </c>
      <c r="E164" s="1" t="s">
        <v>40</v>
      </c>
      <c r="F164" s="1">
        <v>2016</v>
      </c>
      <c r="G164" s="1" t="s">
        <v>110</v>
      </c>
      <c r="H164" s="3" t="s">
        <v>111</v>
      </c>
      <c r="I164" s="3" t="s">
        <v>112</v>
      </c>
      <c r="J164" s="1" t="s">
        <v>113</v>
      </c>
      <c r="K164" s="1" t="s">
        <v>114</v>
      </c>
      <c r="L164" s="1" t="s">
        <v>46</v>
      </c>
      <c r="M164" s="1" t="s">
        <v>115</v>
      </c>
      <c r="N164" s="1" t="s">
        <v>116</v>
      </c>
      <c r="O164" s="1">
        <v>0.65</v>
      </c>
      <c r="P164" s="1">
        <v>1</v>
      </c>
      <c r="Q164" s="1">
        <v>1</v>
      </c>
      <c r="R164" s="1">
        <v>1</v>
      </c>
      <c r="S164" s="1" t="s">
        <v>117</v>
      </c>
      <c r="T164" s="1" t="s">
        <v>118</v>
      </c>
      <c r="U164" s="1" t="s">
        <v>119</v>
      </c>
      <c r="V164" s="1" t="s">
        <v>120</v>
      </c>
      <c r="W164" s="1">
        <v>61.683332999999998</v>
      </c>
      <c r="X164" s="1">
        <v>8.4166670000000003</v>
      </c>
      <c r="Y164" s="1" t="s">
        <v>121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122</v>
      </c>
      <c r="AE164" s="1" t="s">
        <v>122</v>
      </c>
      <c r="AF164" s="1" t="s">
        <v>53</v>
      </c>
      <c r="AG164" s="1" t="s">
        <v>53</v>
      </c>
      <c r="AH164" s="1" t="s">
        <v>123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AS164/AL164</f>
        <v>713.82727272727277</v>
      </c>
      <c r="AO164" s="1" t="s">
        <v>49</v>
      </c>
      <c r="AP164" s="6">
        <v>0</v>
      </c>
      <c r="AQ164" s="6" t="s">
        <v>49</v>
      </c>
      <c r="AR164" s="6" t="s">
        <v>49</v>
      </c>
      <c r="AS164" s="1">
        <v>78.521000000000001</v>
      </c>
      <c r="AT164" s="4">
        <f>AS164/(AM164^2)*100</f>
        <v>7.9639133433405007</v>
      </c>
      <c r="AU164" s="5">
        <v>0</v>
      </c>
      <c r="AV164" s="4">
        <f>AT164*(1-AL164)/AL164</f>
        <v>64.435298868845862</v>
      </c>
      <c r="AW164" s="29" t="s">
        <v>131</v>
      </c>
    </row>
    <row r="165" spans="1:49" ht="14.4" customHeight="1">
      <c r="A165" s="1">
        <v>70</v>
      </c>
      <c r="B165" s="1" t="s">
        <v>38</v>
      </c>
      <c r="C165" s="1" t="s">
        <v>38</v>
      </c>
      <c r="D165" s="1" t="s">
        <v>109</v>
      </c>
      <c r="E165" s="1" t="s">
        <v>40</v>
      </c>
      <c r="F165" s="1">
        <v>2016</v>
      </c>
      <c r="G165" s="1" t="s">
        <v>110</v>
      </c>
      <c r="H165" s="3" t="s">
        <v>111</v>
      </c>
      <c r="I165" s="3" t="s">
        <v>112</v>
      </c>
      <c r="J165" s="1" t="s">
        <v>113</v>
      </c>
      <c r="K165" s="1" t="s">
        <v>114</v>
      </c>
      <c r="L165" s="1" t="s">
        <v>46</v>
      </c>
      <c r="M165" s="1" t="s">
        <v>115</v>
      </c>
      <c r="N165" s="1" t="s">
        <v>116</v>
      </c>
      <c r="O165" s="1">
        <v>0.65</v>
      </c>
      <c r="P165" s="1">
        <v>1</v>
      </c>
      <c r="Q165" s="1">
        <v>1</v>
      </c>
      <c r="R165" s="1">
        <v>1</v>
      </c>
      <c r="S165" s="1" t="s">
        <v>117</v>
      </c>
      <c r="T165" s="1" t="s">
        <v>118</v>
      </c>
      <c r="U165" s="1" t="s">
        <v>119</v>
      </c>
      <c r="V165" s="1" t="s">
        <v>120</v>
      </c>
      <c r="W165" s="1">
        <v>61.683332999999998</v>
      </c>
      <c r="X165" s="1">
        <v>8.4166670000000003</v>
      </c>
      <c r="Y165" s="1" t="s">
        <v>121</v>
      </c>
      <c r="Z165" s="1" t="s">
        <v>49</v>
      </c>
      <c r="AA165" s="1" t="s">
        <v>50</v>
      </c>
      <c r="AB165" s="1" t="s">
        <v>66</v>
      </c>
      <c r="AC165" s="1" t="s">
        <v>124</v>
      </c>
      <c r="AD165" s="1" t="s">
        <v>125</v>
      </c>
      <c r="AE165" s="1" t="s">
        <v>125</v>
      </c>
      <c r="AF165" s="1" t="s">
        <v>60</v>
      </c>
      <c r="AG165" s="1" t="s">
        <v>61</v>
      </c>
      <c r="AH165" s="1" t="s">
        <v>123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AS165/AL165</f>
        <v>0.18311688311688309</v>
      </c>
      <c r="AO165" s="1" t="s">
        <v>49</v>
      </c>
      <c r="AP165" s="6">
        <v>0</v>
      </c>
      <c r="AQ165" s="6" t="s">
        <v>49</v>
      </c>
      <c r="AR165" s="6" t="s">
        <v>49</v>
      </c>
      <c r="AS165" s="1">
        <v>0.14099999999999999</v>
      </c>
      <c r="AT165" s="4">
        <f>AS165/(AM165^2)*100</f>
        <v>1.5984763459510929</v>
      </c>
      <c r="AU165" s="5">
        <v>0</v>
      </c>
      <c r="AV165" s="4">
        <f>AT165*(1-AL165)/AL165</f>
        <v>0.47746696047889781</v>
      </c>
      <c r="AW165" s="29" t="s">
        <v>131</v>
      </c>
    </row>
    <row r="166" spans="1:49" ht="14.4" customHeight="1">
      <c r="A166" s="1">
        <v>70</v>
      </c>
      <c r="B166" s="1" t="s">
        <v>38</v>
      </c>
      <c r="C166" s="1" t="s">
        <v>38</v>
      </c>
      <c r="D166" s="1" t="s">
        <v>109</v>
      </c>
      <c r="E166" s="1" t="s">
        <v>40</v>
      </c>
      <c r="F166" s="1">
        <v>2016</v>
      </c>
      <c r="G166" s="1" t="s">
        <v>110</v>
      </c>
      <c r="H166" s="3" t="s">
        <v>111</v>
      </c>
      <c r="I166" s="3" t="s">
        <v>112</v>
      </c>
      <c r="J166" s="1" t="s">
        <v>113</v>
      </c>
      <c r="K166" s="1" t="s">
        <v>114</v>
      </c>
      <c r="L166" s="1" t="s">
        <v>46</v>
      </c>
      <c r="M166" s="1" t="s">
        <v>115</v>
      </c>
      <c r="N166" s="1" t="s">
        <v>116</v>
      </c>
      <c r="O166" s="1">
        <v>0.65</v>
      </c>
      <c r="P166" s="1">
        <v>1</v>
      </c>
      <c r="Q166" s="1">
        <v>1</v>
      </c>
      <c r="R166" s="1">
        <v>1</v>
      </c>
      <c r="S166" s="1" t="s">
        <v>117</v>
      </c>
      <c r="T166" s="1" t="s">
        <v>118</v>
      </c>
      <c r="U166" s="1" t="s">
        <v>119</v>
      </c>
      <c r="V166" s="1" t="s">
        <v>120</v>
      </c>
      <c r="W166" s="1">
        <v>61.683332999999998</v>
      </c>
      <c r="X166" s="1">
        <v>8.4166670000000003</v>
      </c>
      <c r="Y166" s="1" t="s">
        <v>121</v>
      </c>
      <c r="Z166" s="1" t="s">
        <v>49</v>
      </c>
      <c r="AA166" s="1" t="s">
        <v>50</v>
      </c>
      <c r="AB166" s="1" t="s">
        <v>66</v>
      </c>
      <c r="AC166" s="1" t="s">
        <v>124</v>
      </c>
      <c r="AD166" s="1" t="s">
        <v>126</v>
      </c>
      <c r="AE166" s="1" t="s">
        <v>126</v>
      </c>
      <c r="AF166" s="1" t="s">
        <v>60</v>
      </c>
      <c r="AG166" s="1" t="s">
        <v>61</v>
      </c>
      <c r="AH166" s="1" t="s">
        <v>123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AS166/AL166</f>
        <v>0.29523809523809524</v>
      </c>
      <c r="AO166" s="1" t="s">
        <v>49</v>
      </c>
      <c r="AP166" s="6">
        <v>0</v>
      </c>
      <c r="AQ166" s="6" t="s">
        <v>49</v>
      </c>
      <c r="AR166" s="6" t="s">
        <v>49</v>
      </c>
      <c r="AS166" s="1">
        <v>6.2E-2</v>
      </c>
      <c r="AT166" s="4">
        <f>AS166/(AM166^2)*100</f>
        <v>0.75271036433609728</v>
      </c>
      <c r="AU166" s="5">
        <v>0</v>
      </c>
      <c r="AV166" s="4">
        <f>AT166*(1-AL166)/AL166</f>
        <v>2.8316247039310327</v>
      </c>
      <c r="AW166" s="29" t="s">
        <v>131</v>
      </c>
    </row>
    <row r="167" spans="1:49" ht="14.4" customHeight="1">
      <c r="A167" s="1">
        <v>70</v>
      </c>
      <c r="B167" s="1" t="s">
        <v>38</v>
      </c>
      <c r="C167" s="1" t="s">
        <v>38</v>
      </c>
      <c r="D167" s="1" t="s">
        <v>109</v>
      </c>
      <c r="E167" s="1" t="s">
        <v>40</v>
      </c>
      <c r="F167" s="1">
        <v>2016</v>
      </c>
      <c r="G167" s="1" t="s">
        <v>110</v>
      </c>
      <c r="H167" s="3" t="s">
        <v>111</v>
      </c>
      <c r="I167" s="3" t="s">
        <v>112</v>
      </c>
      <c r="J167" s="1" t="s">
        <v>113</v>
      </c>
      <c r="K167" s="1" t="s">
        <v>114</v>
      </c>
      <c r="L167" s="1" t="s">
        <v>46</v>
      </c>
      <c r="M167" s="1" t="s">
        <v>115</v>
      </c>
      <c r="N167" s="1" t="s">
        <v>116</v>
      </c>
      <c r="O167" s="1">
        <v>0.65</v>
      </c>
      <c r="P167" s="1">
        <v>1</v>
      </c>
      <c r="Q167" s="1">
        <v>1</v>
      </c>
      <c r="R167" s="1">
        <v>1</v>
      </c>
      <c r="S167" s="1" t="s">
        <v>117</v>
      </c>
      <c r="T167" s="1" t="s">
        <v>118</v>
      </c>
      <c r="U167" s="1" t="s">
        <v>119</v>
      </c>
      <c r="V167" s="1" t="s">
        <v>120</v>
      </c>
      <c r="W167" s="1">
        <v>61.683332999999998</v>
      </c>
      <c r="X167" s="1">
        <v>8.4166670000000003</v>
      </c>
      <c r="Y167" s="1" t="s">
        <v>121</v>
      </c>
      <c r="Z167" s="1" t="s">
        <v>49</v>
      </c>
      <c r="AA167" s="1" t="s">
        <v>127</v>
      </c>
      <c r="AB167" s="1" t="s">
        <v>128</v>
      </c>
      <c r="AC167" s="1" t="s">
        <v>128</v>
      </c>
      <c r="AD167" s="1" t="s">
        <v>128</v>
      </c>
      <c r="AE167" s="1" t="s">
        <v>128</v>
      </c>
      <c r="AF167" s="1" t="s">
        <v>60</v>
      </c>
      <c r="AG167" s="1" t="s">
        <v>129</v>
      </c>
      <c r="AH167" s="1" t="s">
        <v>123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AS167/AL167</f>
        <v>66.323076923076925</v>
      </c>
      <c r="AO167" s="1" t="s">
        <v>49</v>
      </c>
      <c r="AP167" s="6">
        <v>0</v>
      </c>
      <c r="AQ167" s="6" t="s">
        <v>49</v>
      </c>
      <c r="AR167" s="6" t="s">
        <v>49</v>
      </c>
      <c r="AS167" s="1">
        <v>8.6219999999999999</v>
      </c>
      <c r="AT167" s="4">
        <f>AS167/(AM167^2)*100</f>
        <v>12.515604587022789</v>
      </c>
      <c r="AU167" s="5">
        <v>0</v>
      </c>
      <c r="AV167" s="4">
        <f>AT167*(1-AL167)/AL167</f>
        <v>83.758276851614042</v>
      </c>
      <c r="AW167" s="29" t="s">
        <v>131</v>
      </c>
    </row>
    <row r="168" spans="1:49" ht="14.4" customHeight="1">
      <c r="A168" s="1">
        <v>70</v>
      </c>
      <c r="B168" s="1" t="s">
        <v>38</v>
      </c>
      <c r="C168" s="1" t="s">
        <v>38</v>
      </c>
      <c r="D168" s="1" t="s">
        <v>109</v>
      </c>
      <c r="E168" s="1" t="s">
        <v>40</v>
      </c>
      <c r="F168" s="1">
        <v>2016</v>
      </c>
      <c r="G168" s="1" t="s">
        <v>110</v>
      </c>
      <c r="H168" s="3" t="s">
        <v>111</v>
      </c>
      <c r="I168" s="3" t="s">
        <v>112</v>
      </c>
      <c r="J168" s="1" t="s">
        <v>113</v>
      </c>
      <c r="K168" s="1" t="s">
        <v>114</v>
      </c>
      <c r="L168" s="1" t="s">
        <v>46</v>
      </c>
      <c r="M168" s="1" t="s">
        <v>115</v>
      </c>
      <c r="N168" s="1" t="s">
        <v>116</v>
      </c>
      <c r="O168" s="1">
        <v>0.65</v>
      </c>
      <c r="P168" s="1">
        <v>1</v>
      </c>
      <c r="Q168" s="1">
        <v>1</v>
      </c>
      <c r="R168" s="1">
        <v>1</v>
      </c>
      <c r="S168" s="1" t="s">
        <v>117</v>
      </c>
      <c r="T168" s="1" t="s">
        <v>118</v>
      </c>
      <c r="U168" s="1" t="s">
        <v>119</v>
      </c>
      <c r="V168" s="1" t="s">
        <v>120</v>
      </c>
      <c r="W168" s="1">
        <v>61.683332999999998</v>
      </c>
      <c r="X168" s="1">
        <v>8.4166670000000003</v>
      </c>
      <c r="Y168" s="1" t="s">
        <v>121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122</v>
      </c>
      <c r="AE168" s="1" t="s">
        <v>125</v>
      </c>
      <c r="AF168" s="1" t="s">
        <v>49</v>
      </c>
      <c r="AG168" s="1" t="s">
        <v>49</v>
      </c>
      <c r="AH168" s="1" t="s">
        <v>123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6" t="s">
        <v>49</v>
      </c>
      <c r="AS168" s="1">
        <v>0.61699999999999999</v>
      </c>
      <c r="AT168" s="6" t="s">
        <v>49</v>
      </c>
      <c r="AU168" s="6" t="s">
        <v>49</v>
      </c>
      <c r="AV168" s="6" t="s">
        <v>49</v>
      </c>
      <c r="AW168" s="30" t="s">
        <v>49</v>
      </c>
    </row>
    <row r="169" spans="1:49" ht="14.4" customHeight="1">
      <c r="A169" s="1">
        <v>70</v>
      </c>
      <c r="B169" s="1" t="s">
        <v>38</v>
      </c>
      <c r="C169" s="1" t="s">
        <v>38</v>
      </c>
      <c r="D169" s="1" t="s">
        <v>109</v>
      </c>
      <c r="E169" s="1" t="s">
        <v>40</v>
      </c>
      <c r="F169" s="1">
        <v>2016</v>
      </c>
      <c r="G169" s="1" t="s">
        <v>110</v>
      </c>
      <c r="H169" s="3" t="s">
        <v>111</v>
      </c>
      <c r="I169" s="3" t="s">
        <v>112</v>
      </c>
      <c r="J169" s="1" t="s">
        <v>113</v>
      </c>
      <c r="K169" s="1" t="s">
        <v>114</v>
      </c>
      <c r="L169" s="1" t="s">
        <v>46</v>
      </c>
      <c r="M169" s="1" t="s">
        <v>115</v>
      </c>
      <c r="N169" s="1" t="s">
        <v>116</v>
      </c>
      <c r="O169" s="1">
        <v>0.65</v>
      </c>
      <c r="P169" s="1">
        <v>1</v>
      </c>
      <c r="Q169" s="1">
        <v>1</v>
      </c>
      <c r="R169" s="1">
        <v>1</v>
      </c>
      <c r="S169" s="1" t="s">
        <v>117</v>
      </c>
      <c r="T169" s="1" t="s">
        <v>118</v>
      </c>
      <c r="U169" s="1" t="s">
        <v>119</v>
      </c>
      <c r="V169" s="1" t="s">
        <v>120</v>
      </c>
      <c r="W169" s="1">
        <v>61.683332999999998</v>
      </c>
      <c r="X169" s="1">
        <v>8.4166670000000003</v>
      </c>
      <c r="Y169" s="1" t="s">
        <v>121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122</v>
      </c>
      <c r="AE169" s="1" t="s">
        <v>126</v>
      </c>
      <c r="AF169" s="1" t="s">
        <v>49</v>
      </c>
      <c r="AG169" s="1" t="s">
        <v>49</v>
      </c>
      <c r="AH169" s="1" t="s">
        <v>123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6" t="s">
        <v>49</v>
      </c>
      <c r="AS169" s="1">
        <v>0.59199999999999997</v>
      </c>
      <c r="AT169" s="6" t="s">
        <v>49</v>
      </c>
      <c r="AU169" s="6" t="s">
        <v>49</v>
      </c>
      <c r="AV169" s="6" t="s">
        <v>49</v>
      </c>
      <c r="AW169" s="30" t="s">
        <v>49</v>
      </c>
    </row>
    <row r="170" spans="1:49" ht="14.4" customHeight="1">
      <c r="A170" s="1">
        <v>70</v>
      </c>
      <c r="B170" s="1" t="s">
        <v>38</v>
      </c>
      <c r="C170" s="1" t="s">
        <v>38</v>
      </c>
      <c r="D170" s="1" t="s">
        <v>109</v>
      </c>
      <c r="E170" s="1" t="s">
        <v>40</v>
      </c>
      <c r="F170" s="1">
        <v>2016</v>
      </c>
      <c r="G170" s="1" t="s">
        <v>110</v>
      </c>
      <c r="H170" s="3" t="s">
        <v>111</v>
      </c>
      <c r="I170" s="3" t="s">
        <v>112</v>
      </c>
      <c r="J170" s="1" t="s">
        <v>113</v>
      </c>
      <c r="K170" s="1" t="s">
        <v>114</v>
      </c>
      <c r="L170" s="1" t="s">
        <v>46</v>
      </c>
      <c r="M170" s="1" t="s">
        <v>115</v>
      </c>
      <c r="N170" s="1" t="s">
        <v>116</v>
      </c>
      <c r="O170" s="1">
        <v>0.65</v>
      </c>
      <c r="P170" s="1">
        <v>1</v>
      </c>
      <c r="Q170" s="1">
        <v>1</v>
      </c>
      <c r="R170" s="1">
        <v>1</v>
      </c>
      <c r="S170" s="1" t="s">
        <v>117</v>
      </c>
      <c r="T170" s="1" t="s">
        <v>118</v>
      </c>
      <c r="U170" s="1" t="s">
        <v>119</v>
      </c>
      <c r="V170" s="1" t="s">
        <v>120</v>
      </c>
      <c r="W170" s="1">
        <v>61.683332999999998</v>
      </c>
      <c r="X170" s="1">
        <v>8.4166670000000003</v>
      </c>
      <c r="Y170" s="1" t="s">
        <v>121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122</v>
      </c>
      <c r="AE170" s="1" t="s">
        <v>128</v>
      </c>
      <c r="AF170" s="1" t="s">
        <v>49</v>
      </c>
      <c r="AG170" s="1" t="s">
        <v>49</v>
      </c>
      <c r="AH170" s="1" t="s">
        <v>123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6" t="s">
        <v>49</v>
      </c>
      <c r="AS170" s="1">
        <v>7.49</v>
      </c>
      <c r="AT170" s="6" t="s">
        <v>49</v>
      </c>
      <c r="AU170" s="6" t="s">
        <v>49</v>
      </c>
      <c r="AV170" s="6" t="s">
        <v>49</v>
      </c>
      <c r="AW170" s="30" t="s">
        <v>49</v>
      </c>
    </row>
    <row r="171" spans="1:49" ht="14.4" customHeight="1">
      <c r="A171" s="1">
        <v>70</v>
      </c>
      <c r="B171" s="1" t="s">
        <v>38</v>
      </c>
      <c r="C171" s="1" t="s">
        <v>38</v>
      </c>
      <c r="D171" s="1" t="s">
        <v>109</v>
      </c>
      <c r="E171" s="1" t="s">
        <v>40</v>
      </c>
      <c r="F171" s="1">
        <v>2016</v>
      </c>
      <c r="G171" s="1" t="s">
        <v>110</v>
      </c>
      <c r="H171" s="3" t="s">
        <v>111</v>
      </c>
      <c r="I171" s="3" t="s">
        <v>112</v>
      </c>
      <c r="J171" s="1" t="s">
        <v>113</v>
      </c>
      <c r="K171" s="1" t="s">
        <v>114</v>
      </c>
      <c r="L171" s="1" t="s">
        <v>46</v>
      </c>
      <c r="M171" s="1" t="s">
        <v>115</v>
      </c>
      <c r="N171" s="1" t="s">
        <v>116</v>
      </c>
      <c r="O171" s="1">
        <v>0.65</v>
      </c>
      <c r="P171" s="1">
        <v>1</v>
      </c>
      <c r="Q171" s="1">
        <v>1</v>
      </c>
      <c r="R171" s="1">
        <v>1</v>
      </c>
      <c r="S171" s="1" t="s">
        <v>117</v>
      </c>
      <c r="T171" s="1" t="s">
        <v>118</v>
      </c>
      <c r="U171" s="1" t="s">
        <v>119</v>
      </c>
      <c r="V171" s="1" t="s">
        <v>120</v>
      </c>
      <c r="W171" s="1">
        <v>61.683332999999998</v>
      </c>
      <c r="X171" s="1">
        <v>8.4166670000000003</v>
      </c>
      <c r="Y171" s="1" t="s">
        <v>121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125</v>
      </c>
      <c r="AE171" s="1" t="s">
        <v>126</v>
      </c>
      <c r="AF171" s="1" t="s">
        <v>49</v>
      </c>
      <c r="AG171" s="1" t="s">
        <v>49</v>
      </c>
      <c r="AH171" s="1" t="s">
        <v>123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6" t="s">
        <v>49</v>
      </c>
      <c r="AS171" s="1">
        <v>4.3999999999999997E-2</v>
      </c>
      <c r="AT171" s="6" t="s">
        <v>49</v>
      </c>
      <c r="AU171" s="6" t="s">
        <v>49</v>
      </c>
      <c r="AV171" s="6" t="s">
        <v>49</v>
      </c>
      <c r="AW171" s="30" t="s">
        <v>49</v>
      </c>
    </row>
    <row r="172" spans="1:49" ht="14.4" customHeight="1">
      <c r="A172" s="1">
        <v>70</v>
      </c>
      <c r="B172" s="1" t="s">
        <v>38</v>
      </c>
      <c r="C172" s="1" t="s">
        <v>38</v>
      </c>
      <c r="D172" s="1" t="s">
        <v>109</v>
      </c>
      <c r="E172" s="1" t="s">
        <v>40</v>
      </c>
      <c r="F172" s="1">
        <v>2016</v>
      </c>
      <c r="G172" s="1" t="s">
        <v>110</v>
      </c>
      <c r="H172" s="3" t="s">
        <v>111</v>
      </c>
      <c r="I172" s="3" t="s">
        <v>112</v>
      </c>
      <c r="J172" s="1" t="s">
        <v>113</v>
      </c>
      <c r="K172" s="1" t="s">
        <v>114</v>
      </c>
      <c r="L172" s="1" t="s">
        <v>46</v>
      </c>
      <c r="M172" s="1" t="s">
        <v>115</v>
      </c>
      <c r="N172" s="1" t="s">
        <v>116</v>
      </c>
      <c r="O172" s="1">
        <v>0.65</v>
      </c>
      <c r="P172" s="1">
        <v>1</v>
      </c>
      <c r="Q172" s="1">
        <v>1</v>
      </c>
      <c r="R172" s="1">
        <v>1</v>
      </c>
      <c r="S172" s="1" t="s">
        <v>117</v>
      </c>
      <c r="T172" s="1" t="s">
        <v>118</v>
      </c>
      <c r="U172" s="1" t="s">
        <v>119</v>
      </c>
      <c r="V172" s="1" t="s">
        <v>120</v>
      </c>
      <c r="W172" s="1">
        <v>61.683332999999998</v>
      </c>
      <c r="X172" s="1">
        <v>8.4166670000000003</v>
      </c>
      <c r="Y172" s="1" t="s">
        <v>121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125</v>
      </c>
      <c r="AE172" s="1" t="s">
        <v>128</v>
      </c>
      <c r="AF172" s="1" t="s">
        <v>49</v>
      </c>
      <c r="AG172" s="1" t="s">
        <v>49</v>
      </c>
      <c r="AH172" s="1" t="s">
        <v>123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6" t="s">
        <v>49</v>
      </c>
      <c r="AS172" s="1">
        <v>-0.11</v>
      </c>
      <c r="AT172" s="6" t="s">
        <v>49</v>
      </c>
      <c r="AU172" s="6" t="s">
        <v>49</v>
      </c>
      <c r="AV172" s="6" t="s">
        <v>49</v>
      </c>
      <c r="AW172" s="30" t="s">
        <v>49</v>
      </c>
    </row>
    <row r="173" spans="1:49" ht="14.4" customHeight="1">
      <c r="A173" s="1">
        <v>70</v>
      </c>
      <c r="B173" s="1" t="s">
        <v>38</v>
      </c>
      <c r="C173" s="1" t="s">
        <v>38</v>
      </c>
      <c r="D173" s="1" t="s">
        <v>109</v>
      </c>
      <c r="E173" s="1" t="s">
        <v>40</v>
      </c>
      <c r="F173" s="1">
        <v>2016</v>
      </c>
      <c r="G173" s="1" t="s">
        <v>110</v>
      </c>
      <c r="H173" s="3" t="s">
        <v>111</v>
      </c>
      <c r="I173" s="3" t="s">
        <v>112</v>
      </c>
      <c r="J173" s="1" t="s">
        <v>113</v>
      </c>
      <c r="K173" s="1" t="s">
        <v>114</v>
      </c>
      <c r="L173" s="1" t="s">
        <v>46</v>
      </c>
      <c r="M173" s="1" t="s">
        <v>115</v>
      </c>
      <c r="N173" s="1" t="s">
        <v>116</v>
      </c>
      <c r="O173" s="1">
        <v>0.65</v>
      </c>
      <c r="P173" s="1">
        <v>1</v>
      </c>
      <c r="Q173" s="1">
        <v>1</v>
      </c>
      <c r="R173" s="1">
        <v>1</v>
      </c>
      <c r="S173" s="1" t="s">
        <v>117</v>
      </c>
      <c r="T173" s="1" t="s">
        <v>118</v>
      </c>
      <c r="U173" s="1" t="s">
        <v>119</v>
      </c>
      <c r="V173" s="1" t="s">
        <v>120</v>
      </c>
      <c r="W173" s="1">
        <v>61.683332999999998</v>
      </c>
      <c r="X173" s="1">
        <v>8.4166670000000003</v>
      </c>
      <c r="Y173" s="1" t="s">
        <v>121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126</v>
      </c>
      <c r="AE173" s="1" t="s">
        <v>128</v>
      </c>
      <c r="AF173" s="1" t="s">
        <v>49</v>
      </c>
      <c r="AG173" s="1" t="s">
        <v>49</v>
      </c>
      <c r="AH173" s="1" t="s">
        <v>123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6" t="s">
        <v>49</v>
      </c>
      <c r="AS173" s="1">
        <v>0.23400000000000001</v>
      </c>
      <c r="AT173" s="6" t="s">
        <v>49</v>
      </c>
      <c r="AU173" s="6" t="s">
        <v>49</v>
      </c>
      <c r="AV173" s="6" t="s">
        <v>49</v>
      </c>
      <c r="AW173" s="30" t="s">
        <v>49</v>
      </c>
    </row>
    <row r="174" spans="1:49" ht="14.4" customHeight="1">
      <c r="A174" s="1">
        <v>70</v>
      </c>
      <c r="B174" s="1" t="s">
        <v>38</v>
      </c>
      <c r="C174" s="1" t="s">
        <v>38</v>
      </c>
      <c r="D174" s="1" t="s">
        <v>109</v>
      </c>
      <c r="E174" s="1" t="s">
        <v>40</v>
      </c>
      <c r="F174" s="1">
        <v>2016</v>
      </c>
      <c r="G174" s="1" t="s">
        <v>110</v>
      </c>
      <c r="H174" s="3" t="s">
        <v>111</v>
      </c>
      <c r="I174" s="3" t="s">
        <v>112</v>
      </c>
      <c r="J174" s="1" t="s">
        <v>113</v>
      </c>
      <c r="K174" s="1" t="s">
        <v>114</v>
      </c>
      <c r="L174" s="1" t="s">
        <v>46</v>
      </c>
      <c r="M174" s="1" t="s">
        <v>115</v>
      </c>
      <c r="N174" s="1" t="s">
        <v>116</v>
      </c>
      <c r="O174" s="1">
        <v>0.65</v>
      </c>
      <c r="P174" s="1">
        <v>1</v>
      </c>
      <c r="Q174" s="1">
        <v>1</v>
      </c>
      <c r="R174" s="1">
        <v>1</v>
      </c>
      <c r="S174" s="1" t="s">
        <v>117</v>
      </c>
      <c r="T174" s="1" t="s">
        <v>118</v>
      </c>
      <c r="U174" s="1" t="s">
        <v>119</v>
      </c>
      <c r="V174" s="1" t="s">
        <v>132</v>
      </c>
      <c r="W174" s="1">
        <v>63.2</v>
      </c>
      <c r="X174" s="1">
        <v>18.95</v>
      </c>
      <c r="Y174" s="1" t="s">
        <v>121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122</v>
      </c>
      <c r="AE174" s="1" t="s">
        <v>122</v>
      </c>
      <c r="AF174" s="1" t="s">
        <v>53</v>
      </c>
      <c r="AG174" s="1" t="s">
        <v>53</v>
      </c>
      <c r="AH174" s="1" t="s">
        <v>123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AS174/AL174</f>
        <v>143.83666666666667</v>
      </c>
      <c r="AO174" s="1" t="s">
        <v>49</v>
      </c>
      <c r="AP174" s="6">
        <v>0</v>
      </c>
      <c r="AQ174" s="6" t="s">
        <v>49</v>
      </c>
      <c r="AR174" s="6" t="s">
        <v>49</v>
      </c>
      <c r="AS174" s="1">
        <v>43.151000000000003</v>
      </c>
      <c r="AT174" s="4">
        <f>AS174/(AM174^2)*100</f>
        <v>14.585924824229316</v>
      </c>
      <c r="AU174" s="5">
        <v>0</v>
      </c>
      <c r="AV174" s="4">
        <f>AT174*(1-AL174)/AL174</f>
        <v>34.033824589868402</v>
      </c>
      <c r="AW174" s="29" t="s">
        <v>131</v>
      </c>
    </row>
    <row r="175" spans="1:49" ht="14.4" customHeight="1">
      <c r="A175" s="1">
        <v>70</v>
      </c>
      <c r="B175" s="1" t="s">
        <v>38</v>
      </c>
      <c r="C175" s="1" t="s">
        <v>38</v>
      </c>
      <c r="D175" s="1" t="s">
        <v>109</v>
      </c>
      <c r="E175" s="1" t="s">
        <v>40</v>
      </c>
      <c r="F175" s="1">
        <v>2016</v>
      </c>
      <c r="G175" s="1" t="s">
        <v>110</v>
      </c>
      <c r="H175" s="3" t="s">
        <v>111</v>
      </c>
      <c r="I175" s="3" t="s">
        <v>112</v>
      </c>
      <c r="J175" s="1" t="s">
        <v>113</v>
      </c>
      <c r="K175" s="1" t="s">
        <v>114</v>
      </c>
      <c r="L175" s="1" t="s">
        <v>46</v>
      </c>
      <c r="M175" s="1" t="s">
        <v>115</v>
      </c>
      <c r="N175" s="1" t="s">
        <v>116</v>
      </c>
      <c r="O175" s="1">
        <v>0.65</v>
      </c>
      <c r="P175" s="1">
        <v>1</v>
      </c>
      <c r="Q175" s="1">
        <v>1</v>
      </c>
      <c r="R175" s="1">
        <v>1</v>
      </c>
      <c r="S175" s="1" t="s">
        <v>117</v>
      </c>
      <c r="T175" s="1" t="s">
        <v>118</v>
      </c>
      <c r="U175" s="1" t="s">
        <v>119</v>
      </c>
      <c r="V175" s="1" t="s">
        <v>132</v>
      </c>
      <c r="W175" s="1">
        <v>63.2</v>
      </c>
      <c r="X175" s="1">
        <v>18.95</v>
      </c>
      <c r="Y175" s="1" t="s">
        <v>121</v>
      </c>
      <c r="Z175" s="1" t="s">
        <v>49</v>
      </c>
      <c r="AA175" s="1" t="s">
        <v>50</v>
      </c>
      <c r="AB175" s="1" t="s">
        <v>66</v>
      </c>
      <c r="AC175" s="1" t="s">
        <v>124</v>
      </c>
      <c r="AD175" s="1" t="s">
        <v>125</v>
      </c>
      <c r="AE175" s="1" t="s">
        <v>125</v>
      </c>
      <c r="AF175" s="1" t="s">
        <v>60</v>
      </c>
      <c r="AG175" s="1" t="s">
        <v>61</v>
      </c>
      <c r="AH175" s="1" t="s">
        <v>123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AS175/AL175</f>
        <v>0.18095238095238095</v>
      </c>
      <c r="AO175" s="1" t="s">
        <v>49</v>
      </c>
      <c r="AP175" s="6">
        <v>0</v>
      </c>
      <c r="AQ175" s="6" t="s">
        <v>49</v>
      </c>
      <c r="AR175" s="6" t="s">
        <v>49</v>
      </c>
      <c r="AS175" s="1">
        <v>3.7999999999999999E-2</v>
      </c>
      <c r="AT175" s="4">
        <f>AS175/(AM175^2)*100</f>
        <v>0.39288262114742406</v>
      </c>
      <c r="AU175" s="5">
        <v>0</v>
      </c>
      <c r="AV175" s="4">
        <f>AT175*(1-AL175)/AL175</f>
        <v>1.4779870033641194</v>
      </c>
      <c r="AW175" s="29" t="s">
        <v>131</v>
      </c>
    </row>
    <row r="176" spans="1:49" ht="14.4" customHeight="1">
      <c r="A176" s="1">
        <v>70</v>
      </c>
      <c r="B176" s="1" t="s">
        <v>38</v>
      </c>
      <c r="C176" s="1" t="s">
        <v>38</v>
      </c>
      <c r="D176" s="1" t="s">
        <v>109</v>
      </c>
      <c r="E176" s="1" t="s">
        <v>40</v>
      </c>
      <c r="F176" s="1">
        <v>2016</v>
      </c>
      <c r="G176" s="1" t="s">
        <v>110</v>
      </c>
      <c r="H176" s="3" t="s">
        <v>111</v>
      </c>
      <c r="I176" s="3" t="s">
        <v>112</v>
      </c>
      <c r="J176" s="1" t="s">
        <v>113</v>
      </c>
      <c r="K176" s="1" t="s">
        <v>114</v>
      </c>
      <c r="L176" s="1" t="s">
        <v>46</v>
      </c>
      <c r="M176" s="1" t="s">
        <v>115</v>
      </c>
      <c r="N176" s="1" t="s">
        <v>116</v>
      </c>
      <c r="O176" s="1">
        <v>0.65</v>
      </c>
      <c r="P176" s="1">
        <v>1</v>
      </c>
      <c r="Q176" s="1">
        <v>1</v>
      </c>
      <c r="R176" s="1">
        <v>1</v>
      </c>
      <c r="S176" s="1" t="s">
        <v>117</v>
      </c>
      <c r="T176" s="1" t="s">
        <v>118</v>
      </c>
      <c r="U176" s="1" t="s">
        <v>119</v>
      </c>
      <c r="V176" s="1" t="s">
        <v>132</v>
      </c>
      <c r="W176" s="1">
        <v>63.2</v>
      </c>
      <c r="X176" s="1">
        <v>18.95</v>
      </c>
      <c r="Y176" s="1" t="s">
        <v>121</v>
      </c>
      <c r="Z176" s="1" t="s">
        <v>49</v>
      </c>
      <c r="AA176" s="1" t="s">
        <v>50</v>
      </c>
      <c r="AB176" s="1" t="s">
        <v>66</v>
      </c>
      <c r="AC176" s="1" t="s">
        <v>124</v>
      </c>
      <c r="AD176" s="1" t="s">
        <v>126</v>
      </c>
      <c r="AE176" s="1" t="s">
        <v>126</v>
      </c>
      <c r="AF176" s="1" t="s">
        <v>60</v>
      </c>
      <c r="AG176" s="1" t="s">
        <v>61</v>
      </c>
      <c r="AH176" s="1" t="s">
        <v>123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AS176/AL176</f>
        <v>0.29444444444444445</v>
      </c>
      <c r="AO176" s="1" t="s">
        <v>49</v>
      </c>
      <c r="AP176" s="6">
        <v>0</v>
      </c>
      <c r="AQ176" s="6" t="s">
        <v>49</v>
      </c>
      <c r="AR176" s="6" t="s">
        <v>49</v>
      </c>
      <c r="AS176" s="1">
        <v>5.2999999999999999E-2</v>
      </c>
      <c r="AT176" s="4">
        <f>AS176/(AM176^2)*100</f>
        <v>0.60491234477720968</v>
      </c>
      <c r="AU176" s="5">
        <v>0</v>
      </c>
      <c r="AV176" s="4">
        <f>AT176*(1-AL176)/AL176</f>
        <v>2.7557117928739552</v>
      </c>
      <c r="AW176" s="29" t="s">
        <v>131</v>
      </c>
    </row>
    <row r="177" spans="1:49" ht="14.4" customHeight="1">
      <c r="A177" s="1">
        <v>70</v>
      </c>
      <c r="B177" s="1" t="s">
        <v>38</v>
      </c>
      <c r="C177" s="1" t="s">
        <v>38</v>
      </c>
      <c r="D177" s="1" t="s">
        <v>109</v>
      </c>
      <c r="E177" s="1" t="s">
        <v>40</v>
      </c>
      <c r="F177" s="1">
        <v>2016</v>
      </c>
      <c r="G177" s="1" t="s">
        <v>110</v>
      </c>
      <c r="H177" s="3" t="s">
        <v>111</v>
      </c>
      <c r="I177" s="3" t="s">
        <v>112</v>
      </c>
      <c r="J177" s="1" t="s">
        <v>113</v>
      </c>
      <c r="K177" s="1" t="s">
        <v>114</v>
      </c>
      <c r="L177" s="1" t="s">
        <v>46</v>
      </c>
      <c r="M177" s="1" t="s">
        <v>115</v>
      </c>
      <c r="N177" s="1" t="s">
        <v>116</v>
      </c>
      <c r="O177" s="1">
        <v>0.65</v>
      </c>
      <c r="P177" s="1">
        <v>1</v>
      </c>
      <c r="Q177" s="1">
        <v>1</v>
      </c>
      <c r="R177" s="1">
        <v>1</v>
      </c>
      <c r="S177" s="1" t="s">
        <v>117</v>
      </c>
      <c r="T177" s="1" t="s">
        <v>118</v>
      </c>
      <c r="U177" s="1" t="s">
        <v>119</v>
      </c>
      <c r="V177" s="1" t="s">
        <v>132</v>
      </c>
      <c r="W177" s="1">
        <v>63.2</v>
      </c>
      <c r="X177" s="1">
        <v>18.95</v>
      </c>
      <c r="Y177" s="1" t="s">
        <v>121</v>
      </c>
      <c r="Z177" s="1" t="s">
        <v>49</v>
      </c>
      <c r="AA177" s="1" t="s">
        <v>127</v>
      </c>
      <c r="AB177" s="1" t="s">
        <v>128</v>
      </c>
      <c r="AC177" s="1" t="s">
        <v>128</v>
      </c>
      <c r="AD177" s="1" t="s">
        <v>128</v>
      </c>
      <c r="AE177" s="1" t="s">
        <v>128</v>
      </c>
      <c r="AF177" s="1" t="s">
        <v>60</v>
      </c>
      <c r="AG177" s="1" t="s">
        <v>129</v>
      </c>
      <c r="AH177" s="1" t="s">
        <v>123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AS177/AL177</f>
        <v>11.346666666666668</v>
      </c>
      <c r="AO177" s="1" t="s">
        <v>49</v>
      </c>
      <c r="AP177" s="6">
        <v>0</v>
      </c>
      <c r="AQ177" s="6" t="s">
        <v>49</v>
      </c>
      <c r="AR177" s="6" t="s">
        <v>49</v>
      </c>
      <c r="AS177" s="1">
        <v>1.702</v>
      </c>
      <c r="AT177" s="4">
        <f>AS177/(AM177^2)*100</f>
        <v>16.621093749999996</v>
      </c>
      <c r="AU177" s="5">
        <v>0</v>
      </c>
      <c r="AV177" s="4">
        <f>AT177*(1-AL177)/AL177</f>
        <v>94.186197916666643</v>
      </c>
      <c r="AW177" s="29" t="s">
        <v>131</v>
      </c>
    </row>
    <row r="178" spans="1:49" ht="14.4" customHeight="1">
      <c r="A178" s="1">
        <v>70</v>
      </c>
      <c r="B178" s="1" t="s">
        <v>38</v>
      </c>
      <c r="C178" s="1" t="s">
        <v>38</v>
      </c>
      <c r="D178" s="1" t="s">
        <v>109</v>
      </c>
      <c r="E178" s="1" t="s">
        <v>40</v>
      </c>
      <c r="F178" s="1">
        <v>2016</v>
      </c>
      <c r="G178" s="1" t="s">
        <v>110</v>
      </c>
      <c r="H178" s="3" t="s">
        <v>111</v>
      </c>
      <c r="I178" s="3" t="s">
        <v>112</v>
      </c>
      <c r="J178" s="1" t="s">
        <v>113</v>
      </c>
      <c r="K178" s="1" t="s">
        <v>114</v>
      </c>
      <c r="L178" s="1" t="s">
        <v>46</v>
      </c>
      <c r="M178" s="1" t="s">
        <v>115</v>
      </c>
      <c r="N178" s="1" t="s">
        <v>116</v>
      </c>
      <c r="O178" s="1">
        <v>0.65</v>
      </c>
      <c r="P178" s="1">
        <v>1</v>
      </c>
      <c r="Q178" s="1">
        <v>1</v>
      </c>
      <c r="R178" s="1">
        <v>1</v>
      </c>
      <c r="S178" s="1" t="s">
        <v>117</v>
      </c>
      <c r="T178" s="1" t="s">
        <v>118</v>
      </c>
      <c r="U178" s="1" t="s">
        <v>119</v>
      </c>
      <c r="V178" s="1" t="s">
        <v>132</v>
      </c>
      <c r="W178" s="1">
        <v>63.2</v>
      </c>
      <c r="X178" s="1">
        <v>18.95</v>
      </c>
      <c r="Y178" s="1" t="s">
        <v>121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122</v>
      </c>
      <c r="AE178" s="1" t="s">
        <v>125</v>
      </c>
      <c r="AF178" s="1" t="s">
        <v>49</v>
      </c>
      <c r="AG178" s="1" t="s">
        <v>49</v>
      </c>
      <c r="AH178" s="1" t="s">
        <v>123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6" t="s">
        <v>49</v>
      </c>
      <c r="AS178" s="1">
        <v>-0.123</v>
      </c>
      <c r="AT178" s="6" t="s">
        <v>49</v>
      </c>
      <c r="AU178" s="6" t="s">
        <v>49</v>
      </c>
      <c r="AV178" s="6" t="s">
        <v>49</v>
      </c>
      <c r="AW178" s="30" t="s">
        <v>49</v>
      </c>
    </row>
    <row r="179" spans="1:49" ht="14.4" customHeight="1">
      <c r="A179" s="1">
        <v>70</v>
      </c>
      <c r="B179" s="1" t="s">
        <v>38</v>
      </c>
      <c r="C179" s="1" t="s">
        <v>38</v>
      </c>
      <c r="D179" s="1" t="s">
        <v>109</v>
      </c>
      <c r="E179" s="1" t="s">
        <v>40</v>
      </c>
      <c r="F179" s="1">
        <v>2016</v>
      </c>
      <c r="G179" s="1" t="s">
        <v>110</v>
      </c>
      <c r="H179" s="3" t="s">
        <v>111</v>
      </c>
      <c r="I179" s="3" t="s">
        <v>112</v>
      </c>
      <c r="J179" s="1" t="s">
        <v>113</v>
      </c>
      <c r="K179" s="1" t="s">
        <v>114</v>
      </c>
      <c r="L179" s="1" t="s">
        <v>46</v>
      </c>
      <c r="M179" s="1" t="s">
        <v>115</v>
      </c>
      <c r="N179" s="1" t="s">
        <v>116</v>
      </c>
      <c r="O179" s="1">
        <v>0.65</v>
      </c>
      <c r="P179" s="1">
        <v>1</v>
      </c>
      <c r="Q179" s="1">
        <v>1</v>
      </c>
      <c r="R179" s="1">
        <v>1</v>
      </c>
      <c r="S179" s="1" t="s">
        <v>117</v>
      </c>
      <c r="T179" s="1" t="s">
        <v>118</v>
      </c>
      <c r="U179" s="1" t="s">
        <v>119</v>
      </c>
      <c r="V179" s="1" t="s">
        <v>132</v>
      </c>
      <c r="W179" s="1">
        <v>63.2</v>
      </c>
      <c r="X179" s="1">
        <v>18.95</v>
      </c>
      <c r="Y179" s="1" t="s">
        <v>121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122</v>
      </c>
      <c r="AE179" s="1" t="s">
        <v>126</v>
      </c>
      <c r="AF179" s="1" t="s">
        <v>49</v>
      </c>
      <c r="AG179" s="1" t="s">
        <v>49</v>
      </c>
      <c r="AH179" s="1" t="s">
        <v>123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6" t="s">
        <v>49</v>
      </c>
      <c r="AS179" s="1">
        <v>0.47699999999999998</v>
      </c>
      <c r="AT179" s="6" t="s">
        <v>49</v>
      </c>
      <c r="AU179" s="6" t="s">
        <v>49</v>
      </c>
      <c r="AV179" s="6" t="s">
        <v>49</v>
      </c>
      <c r="AW179" s="30" t="s">
        <v>49</v>
      </c>
    </row>
    <row r="180" spans="1:49" ht="14.4" customHeight="1">
      <c r="A180" s="1">
        <v>70</v>
      </c>
      <c r="B180" s="1" t="s">
        <v>38</v>
      </c>
      <c r="C180" s="1" t="s">
        <v>38</v>
      </c>
      <c r="D180" s="1" t="s">
        <v>109</v>
      </c>
      <c r="E180" s="1" t="s">
        <v>40</v>
      </c>
      <c r="F180" s="1">
        <v>2016</v>
      </c>
      <c r="G180" s="1" t="s">
        <v>110</v>
      </c>
      <c r="H180" s="3" t="s">
        <v>111</v>
      </c>
      <c r="I180" s="3" t="s">
        <v>112</v>
      </c>
      <c r="J180" s="1" t="s">
        <v>113</v>
      </c>
      <c r="K180" s="1" t="s">
        <v>114</v>
      </c>
      <c r="L180" s="1" t="s">
        <v>46</v>
      </c>
      <c r="M180" s="1" t="s">
        <v>115</v>
      </c>
      <c r="N180" s="1" t="s">
        <v>116</v>
      </c>
      <c r="O180" s="1">
        <v>0.65</v>
      </c>
      <c r="P180" s="1">
        <v>1</v>
      </c>
      <c r="Q180" s="1">
        <v>1</v>
      </c>
      <c r="R180" s="1">
        <v>1</v>
      </c>
      <c r="S180" s="1" t="s">
        <v>117</v>
      </c>
      <c r="T180" s="1" t="s">
        <v>118</v>
      </c>
      <c r="U180" s="1" t="s">
        <v>119</v>
      </c>
      <c r="V180" s="1" t="s">
        <v>132</v>
      </c>
      <c r="W180" s="1">
        <v>63.2</v>
      </c>
      <c r="X180" s="1">
        <v>18.95</v>
      </c>
      <c r="Y180" s="1" t="s">
        <v>121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122</v>
      </c>
      <c r="AE180" s="1" t="s">
        <v>128</v>
      </c>
      <c r="AF180" s="1" t="s">
        <v>49</v>
      </c>
      <c r="AG180" s="1" t="s">
        <v>49</v>
      </c>
      <c r="AH180" s="1" t="s">
        <v>123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6" t="s">
        <v>49</v>
      </c>
      <c r="AS180" s="1">
        <v>2.7589999999999999</v>
      </c>
      <c r="AT180" s="6" t="s">
        <v>49</v>
      </c>
      <c r="AU180" s="6" t="s">
        <v>49</v>
      </c>
      <c r="AV180" s="6" t="s">
        <v>49</v>
      </c>
      <c r="AW180" s="30" t="s">
        <v>49</v>
      </c>
    </row>
    <row r="181" spans="1:49" ht="14.4" customHeight="1">
      <c r="A181" s="1">
        <v>70</v>
      </c>
      <c r="B181" s="1" t="s">
        <v>38</v>
      </c>
      <c r="C181" s="1" t="s">
        <v>38</v>
      </c>
      <c r="D181" s="1" t="s">
        <v>109</v>
      </c>
      <c r="E181" s="1" t="s">
        <v>40</v>
      </c>
      <c r="F181" s="1">
        <v>2016</v>
      </c>
      <c r="G181" s="1" t="s">
        <v>110</v>
      </c>
      <c r="H181" s="3" t="s">
        <v>111</v>
      </c>
      <c r="I181" s="3" t="s">
        <v>112</v>
      </c>
      <c r="J181" s="1" t="s">
        <v>113</v>
      </c>
      <c r="K181" s="1" t="s">
        <v>114</v>
      </c>
      <c r="L181" s="1" t="s">
        <v>46</v>
      </c>
      <c r="M181" s="1" t="s">
        <v>115</v>
      </c>
      <c r="N181" s="1" t="s">
        <v>116</v>
      </c>
      <c r="O181" s="1">
        <v>0.65</v>
      </c>
      <c r="P181" s="1">
        <v>1</v>
      </c>
      <c r="Q181" s="1">
        <v>1</v>
      </c>
      <c r="R181" s="1">
        <v>1</v>
      </c>
      <c r="S181" s="1" t="s">
        <v>117</v>
      </c>
      <c r="T181" s="1" t="s">
        <v>118</v>
      </c>
      <c r="U181" s="1" t="s">
        <v>119</v>
      </c>
      <c r="V181" s="1" t="s">
        <v>132</v>
      </c>
      <c r="W181" s="1">
        <v>63.2</v>
      </c>
      <c r="X181" s="1">
        <v>18.95</v>
      </c>
      <c r="Y181" s="1" t="s">
        <v>121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125</v>
      </c>
      <c r="AE181" s="1" t="s">
        <v>126</v>
      </c>
      <c r="AF181" s="1" t="s">
        <v>49</v>
      </c>
      <c r="AG181" s="1" t="s">
        <v>49</v>
      </c>
      <c r="AH181" s="1" t="s">
        <v>123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6" t="s">
        <v>49</v>
      </c>
      <c r="AS181" s="1">
        <v>-3.0000000000000001E-3</v>
      </c>
      <c r="AT181" s="6" t="s">
        <v>49</v>
      </c>
      <c r="AU181" s="6" t="s">
        <v>49</v>
      </c>
      <c r="AV181" s="6" t="s">
        <v>49</v>
      </c>
      <c r="AW181" s="30" t="s">
        <v>49</v>
      </c>
    </row>
    <row r="182" spans="1:49" ht="14.4" customHeight="1">
      <c r="A182" s="1">
        <v>70</v>
      </c>
      <c r="B182" s="1" t="s">
        <v>38</v>
      </c>
      <c r="C182" s="1" t="s">
        <v>38</v>
      </c>
      <c r="D182" s="1" t="s">
        <v>109</v>
      </c>
      <c r="E182" s="1" t="s">
        <v>40</v>
      </c>
      <c r="F182" s="1">
        <v>2016</v>
      </c>
      <c r="G182" s="1" t="s">
        <v>110</v>
      </c>
      <c r="H182" s="3" t="s">
        <v>111</v>
      </c>
      <c r="I182" s="3" t="s">
        <v>112</v>
      </c>
      <c r="J182" s="1" t="s">
        <v>113</v>
      </c>
      <c r="K182" s="1" t="s">
        <v>114</v>
      </c>
      <c r="L182" s="1" t="s">
        <v>46</v>
      </c>
      <c r="M182" s="1" t="s">
        <v>115</v>
      </c>
      <c r="N182" s="1" t="s">
        <v>116</v>
      </c>
      <c r="O182" s="1">
        <v>0.65</v>
      </c>
      <c r="P182" s="1">
        <v>1</v>
      </c>
      <c r="Q182" s="1">
        <v>1</v>
      </c>
      <c r="R182" s="1">
        <v>1</v>
      </c>
      <c r="S182" s="1" t="s">
        <v>117</v>
      </c>
      <c r="T182" s="1" t="s">
        <v>118</v>
      </c>
      <c r="U182" s="1" t="s">
        <v>119</v>
      </c>
      <c r="V182" s="1" t="s">
        <v>132</v>
      </c>
      <c r="W182" s="1">
        <v>63.2</v>
      </c>
      <c r="X182" s="1">
        <v>18.95</v>
      </c>
      <c r="Y182" s="1" t="s">
        <v>121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125</v>
      </c>
      <c r="AE182" s="1" t="s">
        <v>128</v>
      </c>
      <c r="AF182" s="1" t="s">
        <v>49</v>
      </c>
      <c r="AG182" s="1" t="s">
        <v>49</v>
      </c>
      <c r="AH182" s="1" t="s">
        <v>123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6" t="s">
        <v>49</v>
      </c>
      <c r="AS182" s="1">
        <v>2.8000000000000001E-2</v>
      </c>
      <c r="AT182" s="6" t="s">
        <v>49</v>
      </c>
      <c r="AU182" s="6" t="s">
        <v>49</v>
      </c>
      <c r="AV182" s="6" t="s">
        <v>49</v>
      </c>
      <c r="AW182" s="30" t="s">
        <v>49</v>
      </c>
    </row>
    <row r="183" spans="1:49" ht="14.4" customHeight="1">
      <c r="A183" s="1">
        <v>70</v>
      </c>
      <c r="B183" s="1" t="s">
        <v>38</v>
      </c>
      <c r="C183" s="1" t="s">
        <v>38</v>
      </c>
      <c r="D183" s="1" t="s">
        <v>109</v>
      </c>
      <c r="E183" s="1" t="s">
        <v>40</v>
      </c>
      <c r="F183" s="1">
        <v>2016</v>
      </c>
      <c r="G183" s="1" t="s">
        <v>110</v>
      </c>
      <c r="H183" s="3" t="s">
        <v>111</v>
      </c>
      <c r="I183" s="3" t="s">
        <v>112</v>
      </c>
      <c r="J183" s="1" t="s">
        <v>113</v>
      </c>
      <c r="K183" s="1" t="s">
        <v>114</v>
      </c>
      <c r="L183" s="1" t="s">
        <v>46</v>
      </c>
      <c r="M183" s="1" t="s">
        <v>115</v>
      </c>
      <c r="N183" s="1" t="s">
        <v>116</v>
      </c>
      <c r="O183" s="1">
        <v>0.65</v>
      </c>
      <c r="P183" s="1">
        <v>1</v>
      </c>
      <c r="Q183" s="1">
        <v>1</v>
      </c>
      <c r="R183" s="1">
        <v>1</v>
      </c>
      <c r="S183" s="1" t="s">
        <v>117</v>
      </c>
      <c r="T183" s="1" t="s">
        <v>118</v>
      </c>
      <c r="U183" s="1" t="s">
        <v>119</v>
      </c>
      <c r="V183" s="1" t="s">
        <v>132</v>
      </c>
      <c r="W183" s="1">
        <v>63.2</v>
      </c>
      <c r="X183" s="1">
        <v>18.95</v>
      </c>
      <c r="Y183" s="1" t="s">
        <v>121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126</v>
      </c>
      <c r="AE183" s="1" t="s">
        <v>128</v>
      </c>
      <c r="AF183" s="1" t="s">
        <v>49</v>
      </c>
      <c r="AG183" s="1" t="s">
        <v>49</v>
      </c>
      <c r="AH183" s="1" t="s">
        <v>123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6" t="s">
        <v>49</v>
      </c>
      <c r="AS183" s="1">
        <v>5.5E-2</v>
      </c>
      <c r="AT183" s="6" t="s">
        <v>49</v>
      </c>
      <c r="AU183" s="6" t="s">
        <v>49</v>
      </c>
      <c r="AV183" s="6" t="s">
        <v>49</v>
      </c>
      <c r="AW183" s="30" t="s">
        <v>49</v>
      </c>
    </row>
    <row r="184" spans="1:49" ht="14.4" customHeight="1">
      <c r="A184" s="1">
        <v>70</v>
      </c>
      <c r="B184" s="1" t="s">
        <v>38</v>
      </c>
      <c r="C184" s="1" t="s">
        <v>38</v>
      </c>
      <c r="D184" s="1" t="s">
        <v>109</v>
      </c>
      <c r="E184" s="1" t="s">
        <v>40</v>
      </c>
      <c r="F184" s="1">
        <v>2016</v>
      </c>
      <c r="G184" s="1" t="s">
        <v>110</v>
      </c>
      <c r="H184" s="3" t="s">
        <v>111</v>
      </c>
      <c r="I184" s="3" t="s">
        <v>112</v>
      </c>
      <c r="J184" s="1" t="s">
        <v>113</v>
      </c>
      <c r="K184" s="1" t="s">
        <v>114</v>
      </c>
      <c r="L184" s="1" t="s">
        <v>46</v>
      </c>
      <c r="M184" s="1" t="s">
        <v>115</v>
      </c>
      <c r="N184" s="1" t="s">
        <v>116</v>
      </c>
      <c r="O184" s="1">
        <v>0.65</v>
      </c>
      <c r="P184" s="1">
        <v>1</v>
      </c>
      <c r="Q184" s="1">
        <v>1</v>
      </c>
      <c r="R184" s="1">
        <v>1</v>
      </c>
      <c r="S184" s="1" t="s">
        <v>117</v>
      </c>
      <c r="T184" s="1" t="s">
        <v>118</v>
      </c>
      <c r="U184" s="1" t="s">
        <v>119</v>
      </c>
      <c r="V184" s="1" t="s">
        <v>134</v>
      </c>
      <c r="W184" s="1">
        <v>63.216667000000001</v>
      </c>
      <c r="X184" s="1">
        <v>18.966667000000001</v>
      </c>
      <c r="Y184" s="1" t="s">
        <v>121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122</v>
      </c>
      <c r="AE184" s="1" t="s">
        <v>122</v>
      </c>
      <c r="AF184" s="1" t="s">
        <v>53</v>
      </c>
      <c r="AG184" s="1" t="s">
        <v>53</v>
      </c>
      <c r="AH184" s="1" t="s">
        <v>123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AS184/AL184</f>
        <v>382.82941176470587</v>
      </c>
      <c r="AO184" s="1" t="s">
        <v>49</v>
      </c>
      <c r="AP184" s="6">
        <v>0</v>
      </c>
      <c r="AQ184" s="6" t="s">
        <v>49</v>
      </c>
      <c r="AR184" s="6" t="s">
        <v>49</v>
      </c>
      <c r="AS184" s="1">
        <v>65.081000000000003</v>
      </c>
      <c r="AT184" s="4">
        <f>AS184/(AM184^2)*100</f>
        <v>8.6057520661157039</v>
      </c>
      <c r="AU184" s="5">
        <v>0</v>
      </c>
      <c r="AV184" s="4">
        <f>AT184*(1-AL184)/AL184</f>
        <v>42.016318911035491</v>
      </c>
      <c r="AW184" s="29" t="s">
        <v>131</v>
      </c>
    </row>
    <row r="185" spans="1:49" ht="14.4" customHeight="1">
      <c r="A185" s="1">
        <v>70</v>
      </c>
      <c r="B185" s="1" t="s">
        <v>38</v>
      </c>
      <c r="C185" s="1" t="s">
        <v>38</v>
      </c>
      <c r="D185" s="1" t="s">
        <v>109</v>
      </c>
      <c r="E185" s="1" t="s">
        <v>40</v>
      </c>
      <c r="F185" s="1">
        <v>2016</v>
      </c>
      <c r="G185" s="1" t="s">
        <v>110</v>
      </c>
      <c r="H185" s="3" t="s">
        <v>111</v>
      </c>
      <c r="I185" s="3" t="s">
        <v>112</v>
      </c>
      <c r="J185" s="1" t="s">
        <v>113</v>
      </c>
      <c r="K185" s="1" t="s">
        <v>114</v>
      </c>
      <c r="L185" s="1" t="s">
        <v>46</v>
      </c>
      <c r="M185" s="1" t="s">
        <v>115</v>
      </c>
      <c r="N185" s="1" t="s">
        <v>116</v>
      </c>
      <c r="O185" s="1">
        <v>0.65</v>
      </c>
      <c r="P185" s="1">
        <v>1</v>
      </c>
      <c r="Q185" s="1">
        <v>1</v>
      </c>
      <c r="R185" s="1">
        <v>1</v>
      </c>
      <c r="S185" s="1" t="s">
        <v>117</v>
      </c>
      <c r="T185" s="1" t="s">
        <v>118</v>
      </c>
      <c r="U185" s="1" t="s">
        <v>119</v>
      </c>
      <c r="V185" s="1" t="s">
        <v>134</v>
      </c>
      <c r="W185" s="1">
        <v>63.216667000000001</v>
      </c>
      <c r="X185" s="1">
        <v>18.966667000000001</v>
      </c>
      <c r="Y185" s="1" t="s">
        <v>121</v>
      </c>
      <c r="Z185" s="1" t="s">
        <v>49</v>
      </c>
      <c r="AA185" s="1" t="s">
        <v>50</v>
      </c>
      <c r="AB185" s="1" t="s">
        <v>66</v>
      </c>
      <c r="AC185" s="1" t="s">
        <v>124</v>
      </c>
      <c r="AD185" s="1" t="s">
        <v>125</v>
      </c>
      <c r="AE185" s="1" t="s">
        <v>125</v>
      </c>
      <c r="AF185" s="1" t="s">
        <v>60</v>
      </c>
      <c r="AG185" s="1" t="s">
        <v>61</v>
      </c>
      <c r="AH185" s="1" t="s">
        <v>123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AS185/AL185</f>
        <v>0.14999999999999997</v>
      </c>
      <c r="AO185" s="1" t="s">
        <v>49</v>
      </c>
      <c r="AP185" s="6">
        <v>0</v>
      </c>
      <c r="AQ185" s="6" t="s">
        <v>49</v>
      </c>
      <c r="AR185" s="6" t="s">
        <v>49</v>
      </c>
      <c r="AS185" s="1">
        <v>5.0999999999999997E-2</v>
      </c>
      <c r="AT185" s="4">
        <f>AS185/(AM185^2)*100</f>
        <v>0.49494861268815327</v>
      </c>
      <c r="AU185" s="5">
        <v>0</v>
      </c>
      <c r="AV185" s="4">
        <f>AT185*(1-AL185)/AL185</f>
        <v>0.9607826011005326</v>
      </c>
      <c r="AW185" s="29" t="s">
        <v>131</v>
      </c>
    </row>
    <row r="186" spans="1:49" ht="14.4" customHeight="1">
      <c r="A186" s="1">
        <v>70</v>
      </c>
      <c r="B186" s="1" t="s">
        <v>38</v>
      </c>
      <c r="C186" s="1" t="s">
        <v>38</v>
      </c>
      <c r="D186" s="1" t="s">
        <v>109</v>
      </c>
      <c r="E186" s="1" t="s">
        <v>40</v>
      </c>
      <c r="F186" s="1">
        <v>2016</v>
      </c>
      <c r="G186" s="1" t="s">
        <v>110</v>
      </c>
      <c r="H186" s="3" t="s">
        <v>111</v>
      </c>
      <c r="I186" s="3" t="s">
        <v>112</v>
      </c>
      <c r="J186" s="1" t="s">
        <v>113</v>
      </c>
      <c r="K186" s="1" t="s">
        <v>114</v>
      </c>
      <c r="L186" s="1" t="s">
        <v>46</v>
      </c>
      <c r="M186" s="1" t="s">
        <v>115</v>
      </c>
      <c r="N186" s="1" t="s">
        <v>116</v>
      </c>
      <c r="O186" s="1">
        <v>0.65</v>
      </c>
      <c r="P186" s="1">
        <v>1</v>
      </c>
      <c r="Q186" s="1">
        <v>1</v>
      </c>
      <c r="R186" s="1">
        <v>1</v>
      </c>
      <c r="S186" s="1" t="s">
        <v>117</v>
      </c>
      <c r="T186" s="1" t="s">
        <v>118</v>
      </c>
      <c r="U186" s="1" t="s">
        <v>119</v>
      </c>
      <c r="V186" s="1" t="s">
        <v>134</v>
      </c>
      <c r="W186" s="1">
        <v>63.216667000000001</v>
      </c>
      <c r="X186" s="1">
        <v>18.966667000000001</v>
      </c>
      <c r="Y186" s="1" t="s">
        <v>121</v>
      </c>
      <c r="Z186" s="1" t="s">
        <v>49</v>
      </c>
      <c r="AA186" s="1" t="s">
        <v>50</v>
      </c>
      <c r="AB186" s="1" t="s">
        <v>66</v>
      </c>
      <c r="AC186" s="1" t="s">
        <v>124</v>
      </c>
      <c r="AD186" s="1" t="s">
        <v>126</v>
      </c>
      <c r="AE186" s="1" t="s">
        <v>126</v>
      </c>
      <c r="AF186" s="1" t="s">
        <v>60</v>
      </c>
      <c r="AG186" s="1" t="s">
        <v>61</v>
      </c>
      <c r="AH186" s="1" t="s">
        <v>123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AS186/AL186</f>
        <v>0.39999999999999997</v>
      </c>
      <c r="AO186" s="1" t="s">
        <v>49</v>
      </c>
      <c r="AP186" s="6">
        <v>0</v>
      </c>
      <c r="AQ186" s="6" t="s">
        <v>49</v>
      </c>
      <c r="AR186" s="6" t="s">
        <v>49</v>
      </c>
      <c r="AS186" s="1">
        <v>3.5999999999999997E-2</v>
      </c>
      <c r="AT186" s="4">
        <f>AS186/(AM186^2)*100</f>
        <v>0.35824816646598134</v>
      </c>
      <c r="AU186" s="5">
        <v>0</v>
      </c>
      <c r="AV186" s="4">
        <f>AT186*(1-AL186)/AL186</f>
        <v>3.6222870164893672</v>
      </c>
      <c r="AW186" s="29" t="s">
        <v>131</v>
      </c>
    </row>
    <row r="187" spans="1:49" ht="14.4" customHeight="1">
      <c r="A187" s="1">
        <v>70</v>
      </c>
      <c r="B187" s="1" t="s">
        <v>38</v>
      </c>
      <c r="C187" s="1" t="s">
        <v>38</v>
      </c>
      <c r="D187" s="1" t="s">
        <v>109</v>
      </c>
      <c r="E187" s="1" t="s">
        <v>40</v>
      </c>
      <c r="F187" s="1">
        <v>2016</v>
      </c>
      <c r="G187" s="1" t="s">
        <v>110</v>
      </c>
      <c r="H187" s="3" t="s">
        <v>111</v>
      </c>
      <c r="I187" s="3" t="s">
        <v>112</v>
      </c>
      <c r="J187" s="1" t="s">
        <v>113</v>
      </c>
      <c r="K187" s="1" t="s">
        <v>114</v>
      </c>
      <c r="L187" s="1" t="s">
        <v>46</v>
      </c>
      <c r="M187" s="1" t="s">
        <v>115</v>
      </c>
      <c r="N187" s="1" t="s">
        <v>116</v>
      </c>
      <c r="O187" s="1">
        <v>0.65</v>
      </c>
      <c r="P187" s="1">
        <v>1</v>
      </c>
      <c r="Q187" s="1">
        <v>1</v>
      </c>
      <c r="R187" s="1">
        <v>1</v>
      </c>
      <c r="S187" s="1" t="s">
        <v>117</v>
      </c>
      <c r="T187" s="1" t="s">
        <v>118</v>
      </c>
      <c r="U187" s="1" t="s">
        <v>119</v>
      </c>
      <c r="V187" s="1" t="s">
        <v>134</v>
      </c>
      <c r="W187" s="1">
        <v>63.216667000000001</v>
      </c>
      <c r="X187" s="1">
        <v>18.966667000000001</v>
      </c>
      <c r="Y187" s="1" t="s">
        <v>121</v>
      </c>
      <c r="Z187" s="1" t="s">
        <v>49</v>
      </c>
      <c r="AA187" s="1" t="s">
        <v>127</v>
      </c>
      <c r="AB187" s="1" t="s">
        <v>128</v>
      </c>
      <c r="AC187" s="1" t="s">
        <v>128</v>
      </c>
      <c r="AD187" s="1" t="s">
        <v>128</v>
      </c>
      <c r="AE187" s="1" t="s">
        <v>128</v>
      </c>
      <c r="AF187" s="1" t="s">
        <v>60</v>
      </c>
      <c r="AG187" s="1" t="s">
        <v>129</v>
      </c>
      <c r="AH187" s="1" t="s">
        <v>123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AS187/AL187</f>
        <v>24.963636363636365</v>
      </c>
      <c r="AO187" s="1" t="s">
        <v>49</v>
      </c>
      <c r="AP187" s="6">
        <v>0</v>
      </c>
      <c r="AQ187" s="6" t="s">
        <v>49</v>
      </c>
      <c r="AR187" s="6" t="s">
        <v>49</v>
      </c>
      <c r="AS187" s="1">
        <v>2.746</v>
      </c>
      <c r="AT187" s="4">
        <f>AS187/(AM187^2)*100</f>
        <v>11.918402777777779</v>
      </c>
      <c r="AU187" s="5">
        <v>0</v>
      </c>
      <c r="AV187" s="4">
        <f>AT187*(1-AL187)/AL187</f>
        <v>96.430713383838395</v>
      </c>
      <c r="AW187" s="29" t="s">
        <v>131</v>
      </c>
    </row>
    <row r="188" spans="1:49" ht="14.4" customHeight="1">
      <c r="A188" s="1">
        <v>70</v>
      </c>
      <c r="B188" s="1" t="s">
        <v>38</v>
      </c>
      <c r="C188" s="1" t="s">
        <v>38</v>
      </c>
      <c r="D188" s="1" t="s">
        <v>109</v>
      </c>
      <c r="E188" s="1" t="s">
        <v>40</v>
      </c>
      <c r="F188" s="1">
        <v>2016</v>
      </c>
      <c r="G188" s="1" t="s">
        <v>110</v>
      </c>
      <c r="H188" s="3" t="s">
        <v>111</v>
      </c>
      <c r="I188" s="3" t="s">
        <v>112</v>
      </c>
      <c r="J188" s="1" t="s">
        <v>113</v>
      </c>
      <c r="K188" s="1" t="s">
        <v>114</v>
      </c>
      <c r="L188" s="1" t="s">
        <v>46</v>
      </c>
      <c r="M188" s="1" t="s">
        <v>115</v>
      </c>
      <c r="N188" s="1" t="s">
        <v>116</v>
      </c>
      <c r="O188" s="1">
        <v>0.65</v>
      </c>
      <c r="P188" s="1">
        <v>1</v>
      </c>
      <c r="Q188" s="1">
        <v>1</v>
      </c>
      <c r="R188" s="1">
        <v>1</v>
      </c>
      <c r="S188" s="1" t="s">
        <v>117</v>
      </c>
      <c r="T188" s="1" t="s">
        <v>118</v>
      </c>
      <c r="U188" s="1" t="s">
        <v>119</v>
      </c>
      <c r="V188" s="1" t="s">
        <v>134</v>
      </c>
      <c r="W188" s="1">
        <v>63.216667000000001</v>
      </c>
      <c r="X188" s="1">
        <v>18.966667000000001</v>
      </c>
      <c r="Y188" s="1" t="s">
        <v>121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122</v>
      </c>
      <c r="AE188" s="1" t="s">
        <v>125</v>
      </c>
      <c r="AF188" s="1" t="s">
        <v>49</v>
      </c>
      <c r="AG188" s="1" t="s">
        <v>49</v>
      </c>
      <c r="AH188" s="1" t="s">
        <v>123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 t="s">
        <v>49</v>
      </c>
      <c r="AS188" s="6">
        <v>0.60499999999999998</v>
      </c>
      <c r="AT188" s="6" t="s">
        <v>49</v>
      </c>
      <c r="AU188" s="6" t="s">
        <v>49</v>
      </c>
      <c r="AV188" s="6" t="s">
        <v>49</v>
      </c>
      <c r="AW188" s="30" t="s">
        <v>49</v>
      </c>
    </row>
    <row r="189" spans="1:49" ht="14.4" customHeight="1">
      <c r="A189" s="1">
        <v>70</v>
      </c>
      <c r="B189" s="1" t="s">
        <v>38</v>
      </c>
      <c r="C189" s="1" t="s">
        <v>38</v>
      </c>
      <c r="D189" s="1" t="s">
        <v>109</v>
      </c>
      <c r="E189" s="1" t="s">
        <v>40</v>
      </c>
      <c r="F189" s="1">
        <v>2016</v>
      </c>
      <c r="G189" s="1" t="s">
        <v>110</v>
      </c>
      <c r="H189" s="3" t="s">
        <v>111</v>
      </c>
      <c r="I189" s="3" t="s">
        <v>112</v>
      </c>
      <c r="J189" s="1" t="s">
        <v>113</v>
      </c>
      <c r="K189" s="1" t="s">
        <v>114</v>
      </c>
      <c r="L189" s="1" t="s">
        <v>46</v>
      </c>
      <c r="M189" s="1" t="s">
        <v>115</v>
      </c>
      <c r="N189" s="1" t="s">
        <v>116</v>
      </c>
      <c r="O189" s="1">
        <v>0.65</v>
      </c>
      <c r="P189" s="1">
        <v>1</v>
      </c>
      <c r="Q189" s="1">
        <v>1</v>
      </c>
      <c r="R189" s="1">
        <v>1</v>
      </c>
      <c r="S189" s="1" t="s">
        <v>117</v>
      </c>
      <c r="T189" s="1" t="s">
        <v>118</v>
      </c>
      <c r="U189" s="1" t="s">
        <v>119</v>
      </c>
      <c r="V189" s="1" t="s">
        <v>134</v>
      </c>
      <c r="W189" s="1">
        <v>63.216667000000001</v>
      </c>
      <c r="X189" s="1">
        <v>18.966667000000001</v>
      </c>
      <c r="Y189" s="1" t="s">
        <v>121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122</v>
      </c>
      <c r="AE189" s="1" t="s">
        <v>126</v>
      </c>
      <c r="AF189" s="1" t="s">
        <v>49</v>
      </c>
      <c r="AG189" s="1" t="s">
        <v>49</v>
      </c>
      <c r="AH189" s="1" t="s">
        <v>123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 t="s">
        <v>49</v>
      </c>
      <c r="AS189" s="6">
        <v>-1.6E-2</v>
      </c>
      <c r="AT189" s="6" t="s">
        <v>49</v>
      </c>
      <c r="AU189" s="6" t="s">
        <v>49</v>
      </c>
      <c r="AV189" s="6" t="s">
        <v>49</v>
      </c>
      <c r="AW189" s="30" t="s">
        <v>49</v>
      </c>
    </row>
    <row r="190" spans="1:49" ht="14.4" customHeight="1">
      <c r="A190" s="1">
        <v>70</v>
      </c>
      <c r="B190" s="1" t="s">
        <v>38</v>
      </c>
      <c r="C190" s="1" t="s">
        <v>38</v>
      </c>
      <c r="D190" s="1" t="s">
        <v>109</v>
      </c>
      <c r="E190" s="1" t="s">
        <v>40</v>
      </c>
      <c r="F190" s="1">
        <v>2016</v>
      </c>
      <c r="G190" s="1" t="s">
        <v>110</v>
      </c>
      <c r="H190" s="3" t="s">
        <v>111</v>
      </c>
      <c r="I190" s="3" t="s">
        <v>112</v>
      </c>
      <c r="J190" s="1" t="s">
        <v>113</v>
      </c>
      <c r="K190" s="1" t="s">
        <v>114</v>
      </c>
      <c r="L190" s="1" t="s">
        <v>46</v>
      </c>
      <c r="M190" s="1" t="s">
        <v>115</v>
      </c>
      <c r="N190" s="1" t="s">
        <v>116</v>
      </c>
      <c r="O190" s="1">
        <v>0.65</v>
      </c>
      <c r="P190" s="1">
        <v>1</v>
      </c>
      <c r="Q190" s="1">
        <v>1</v>
      </c>
      <c r="R190" s="1">
        <v>1</v>
      </c>
      <c r="S190" s="1" t="s">
        <v>117</v>
      </c>
      <c r="T190" s="1" t="s">
        <v>118</v>
      </c>
      <c r="U190" s="1" t="s">
        <v>119</v>
      </c>
      <c r="V190" s="1" t="s">
        <v>134</v>
      </c>
      <c r="W190" s="1">
        <v>63.216667000000001</v>
      </c>
      <c r="X190" s="1">
        <v>18.966667000000001</v>
      </c>
      <c r="Y190" s="1" t="s">
        <v>121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122</v>
      </c>
      <c r="AE190" s="1" t="s">
        <v>128</v>
      </c>
      <c r="AF190" s="1" t="s">
        <v>49</v>
      </c>
      <c r="AG190" s="1" t="s">
        <v>49</v>
      </c>
      <c r="AH190" s="1" t="s">
        <v>123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 t="s">
        <v>49</v>
      </c>
      <c r="AS190" s="6">
        <v>2.7589999999999999</v>
      </c>
      <c r="AT190" s="6" t="s">
        <v>49</v>
      </c>
      <c r="AU190" s="6" t="s">
        <v>49</v>
      </c>
      <c r="AV190" s="6" t="s">
        <v>49</v>
      </c>
      <c r="AW190" s="30" t="s">
        <v>49</v>
      </c>
    </row>
    <row r="191" spans="1:49" ht="14.4" customHeight="1">
      <c r="A191" s="1">
        <v>70</v>
      </c>
      <c r="B191" s="1" t="s">
        <v>38</v>
      </c>
      <c r="C191" s="1" t="s">
        <v>38</v>
      </c>
      <c r="D191" s="1" t="s">
        <v>109</v>
      </c>
      <c r="E191" s="1" t="s">
        <v>40</v>
      </c>
      <c r="F191" s="1">
        <v>2016</v>
      </c>
      <c r="G191" s="1" t="s">
        <v>110</v>
      </c>
      <c r="H191" s="3" t="s">
        <v>111</v>
      </c>
      <c r="I191" s="3" t="s">
        <v>112</v>
      </c>
      <c r="J191" s="1" t="s">
        <v>113</v>
      </c>
      <c r="K191" s="1" t="s">
        <v>114</v>
      </c>
      <c r="L191" s="1" t="s">
        <v>46</v>
      </c>
      <c r="M191" s="1" t="s">
        <v>115</v>
      </c>
      <c r="N191" s="1" t="s">
        <v>116</v>
      </c>
      <c r="O191" s="1">
        <v>0.65</v>
      </c>
      <c r="P191" s="1">
        <v>1</v>
      </c>
      <c r="Q191" s="1">
        <v>1</v>
      </c>
      <c r="R191" s="1">
        <v>1</v>
      </c>
      <c r="S191" s="1" t="s">
        <v>117</v>
      </c>
      <c r="T191" s="1" t="s">
        <v>118</v>
      </c>
      <c r="U191" s="1" t="s">
        <v>119</v>
      </c>
      <c r="V191" s="1" t="s">
        <v>134</v>
      </c>
      <c r="W191" s="1">
        <v>63.216667000000001</v>
      </c>
      <c r="X191" s="1">
        <v>18.966667000000001</v>
      </c>
      <c r="Y191" s="1" t="s">
        <v>121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125</v>
      </c>
      <c r="AE191" s="1" t="s">
        <v>126</v>
      </c>
      <c r="AF191" s="1" t="s">
        <v>49</v>
      </c>
      <c r="AG191" s="1" t="s">
        <v>49</v>
      </c>
      <c r="AH191" s="1" t="s">
        <v>123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 t="s">
        <v>49</v>
      </c>
      <c r="AS191" s="6">
        <v>8.9999999999999993E-3</v>
      </c>
      <c r="AT191" s="6" t="s">
        <v>49</v>
      </c>
      <c r="AU191" s="6" t="s">
        <v>49</v>
      </c>
      <c r="AV191" s="6" t="s">
        <v>49</v>
      </c>
      <c r="AW191" s="30" t="s">
        <v>49</v>
      </c>
    </row>
    <row r="192" spans="1:49" ht="14.4" customHeight="1">
      <c r="A192" s="1">
        <v>70</v>
      </c>
      <c r="B192" s="1" t="s">
        <v>38</v>
      </c>
      <c r="C192" s="1" t="s">
        <v>38</v>
      </c>
      <c r="D192" s="1" t="s">
        <v>109</v>
      </c>
      <c r="E192" s="1" t="s">
        <v>40</v>
      </c>
      <c r="F192" s="1">
        <v>2016</v>
      </c>
      <c r="G192" s="1" t="s">
        <v>110</v>
      </c>
      <c r="H192" s="3" t="s">
        <v>111</v>
      </c>
      <c r="I192" s="3" t="s">
        <v>112</v>
      </c>
      <c r="J192" s="1" t="s">
        <v>113</v>
      </c>
      <c r="K192" s="1" t="s">
        <v>114</v>
      </c>
      <c r="L192" s="1" t="s">
        <v>46</v>
      </c>
      <c r="M192" s="1" t="s">
        <v>115</v>
      </c>
      <c r="N192" s="1" t="s">
        <v>116</v>
      </c>
      <c r="O192" s="1">
        <v>0.65</v>
      </c>
      <c r="P192" s="1">
        <v>1</v>
      </c>
      <c r="Q192" s="1">
        <v>1</v>
      </c>
      <c r="R192" s="1">
        <v>1</v>
      </c>
      <c r="S192" s="1" t="s">
        <v>117</v>
      </c>
      <c r="T192" s="1" t="s">
        <v>118</v>
      </c>
      <c r="U192" s="1" t="s">
        <v>119</v>
      </c>
      <c r="V192" s="1" t="s">
        <v>134</v>
      </c>
      <c r="W192" s="1">
        <v>63.216667000000001</v>
      </c>
      <c r="X192" s="1">
        <v>18.966667000000001</v>
      </c>
      <c r="Y192" s="1" t="s">
        <v>121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125</v>
      </c>
      <c r="AE192" s="1" t="s">
        <v>128</v>
      </c>
      <c r="AF192" s="1" t="s">
        <v>49</v>
      </c>
      <c r="AG192" s="1" t="s">
        <v>49</v>
      </c>
      <c r="AH192" s="1" t="s">
        <v>123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 t="s">
        <v>49</v>
      </c>
      <c r="AS192" s="6">
        <v>-7.5999999999999998E-2</v>
      </c>
      <c r="AT192" s="6" t="s">
        <v>49</v>
      </c>
      <c r="AU192" s="6" t="s">
        <v>49</v>
      </c>
      <c r="AV192" s="6" t="s">
        <v>49</v>
      </c>
      <c r="AW192" s="30" t="s">
        <v>49</v>
      </c>
    </row>
    <row r="193" spans="1:49" ht="14.4" customHeight="1">
      <c r="A193" s="1">
        <v>70</v>
      </c>
      <c r="B193" s="1" t="s">
        <v>38</v>
      </c>
      <c r="C193" s="1" t="s">
        <v>38</v>
      </c>
      <c r="D193" s="1" t="s">
        <v>109</v>
      </c>
      <c r="E193" s="1" t="s">
        <v>40</v>
      </c>
      <c r="F193" s="1">
        <v>2016</v>
      </c>
      <c r="G193" s="1" t="s">
        <v>110</v>
      </c>
      <c r="H193" s="3" t="s">
        <v>111</v>
      </c>
      <c r="I193" s="3" t="s">
        <v>112</v>
      </c>
      <c r="J193" s="1" t="s">
        <v>113</v>
      </c>
      <c r="K193" s="1" t="s">
        <v>114</v>
      </c>
      <c r="L193" s="1" t="s">
        <v>46</v>
      </c>
      <c r="M193" s="1" t="s">
        <v>115</v>
      </c>
      <c r="N193" s="1" t="s">
        <v>116</v>
      </c>
      <c r="O193" s="1">
        <v>0.65</v>
      </c>
      <c r="P193" s="1">
        <v>1</v>
      </c>
      <c r="Q193" s="1">
        <v>1</v>
      </c>
      <c r="R193" s="1">
        <v>1</v>
      </c>
      <c r="S193" s="1" t="s">
        <v>117</v>
      </c>
      <c r="T193" s="1" t="s">
        <v>118</v>
      </c>
      <c r="U193" s="1" t="s">
        <v>119</v>
      </c>
      <c r="V193" s="1" t="s">
        <v>134</v>
      </c>
      <c r="W193" s="1">
        <v>63.216667000000001</v>
      </c>
      <c r="X193" s="1">
        <v>18.966667000000001</v>
      </c>
      <c r="Y193" s="1" t="s">
        <v>121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126</v>
      </c>
      <c r="AE193" s="1" t="s">
        <v>128</v>
      </c>
      <c r="AF193" s="1" t="s">
        <v>49</v>
      </c>
      <c r="AG193" s="1" t="s">
        <v>49</v>
      </c>
      <c r="AH193" s="1" t="s">
        <v>123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 t="s">
        <v>49</v>
      </c>
      <c r="AS193" s="6">
        <v>-4.1000000000000002E-2</v>
      </c>
      <c r="AT193" s="6" t="s">
        <v>49</v>
      </c>
      <c r="AU193" s="6" t="s">
        <v>49</v>
      </c>
      <c r="AV193" s="6" t="s">
        <v>49</v>
      </c>
      <c r="AW193" s="30" t="s">
        <v>49</v>
      </c>
    </row>
    <row r="194" spans="1:49" ht="14.4" customHeight="1">
      <c r="A194" s="1">
        <v>70</v>
      </c>
      <c r="B194" s="1" t="s">
        <v>38</v>
      </c>
      <c r="C194" s="1" t="s">
        <v>38</v>
      </c>
      <c r="D194" s="1" t="s">
        <v>109</v>
      </c>
      <c r="E194" s="1" t="s">
        <v>40</v>
      </c>
      <c r="F194" s="1">
        <v>2016</v>
      </c>
      <c r="G194" s="1" t="s">
        <v>110</v>
      </c>
      <c r="H194" s="3" t="s">
        <v>111</v>
      </c>
      <c r="I194" s="3" t="s">
        <v>112</v>
      </c>
      <c r="J194" s="1" t="s">
        <v>113</v>
      </c>
      <c r="K194" s="1" t="s">
        <v>114</v>
      </c>
      <c r="L194" s="1" t="s">
        <v>46</v>
      </c>
      <c r="M194" s="1" t="s">
        <v>115</v>
      </c>
      <c r="N194" s="1" t="s">
        <v>116</v>
      </c>
      <c r="O194" s="1">
        <v>0.65</v>
      </c>
      <c r="P194" s="1">
        <v>1</v>
      </c>
      <c r="Q194" s="1">
        <v>1</v>
      </c>
      <c r="R194" s="1">
        <v>1</v>
      </c>
      <c r="S194" s="1" t="s">
        <v>117</v>
      </c>
      <c r="T194" s="1" t="s">
        <v>118</v>
      </c>
      <c r="U194" s="1" t="s">
        <v>119</v>
      </c>
      <c r="V194" s="1" t="s">
        <v>135</v>
      </c>
      <c r="W194" s="1">
        <v>61.7</v>
      </c>
      <c r="X194" s="1">
        <v>8.3833330000000004</v>
      </c>
      <c r="Y194" s="1" t="s">
        <v>121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122</v>
      </c>
      <c r="AE194" s="1" t="s">
        <v>122</v>
      </c>
      <c r="AF194" s="1" t="s">
        <v>53</v>
      </c>
      <c r="AG194" s="1" t="s">
        <v>53</v>
      </c>
      <c r="AH194" s="1" t="s">
        <v>123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AS194/AL194</f>
        <v>510.33928571428572</v>
      </c>
      <c r="AO194" s="1" t="s">
        <v>49</v>
      </c>
      <c r="AP194" s="6">
        <v>0</v>
      </c>
      <c r="AQ194" s="6" t="s">
        <v>49</v>
      </c>
      <c r="AR194" s="6" t="s">
        <v>49</v>
      </c>
      <c r="AS194" s="1">
        <v>142.89500000000001</v>
      </c>
      <c r="AT194" s="4">
        <f>AS194/(AM194^2)*100</f>
        <v>15.26069033277799</v>
      </c>
      <c r="AU194" s="5">
        <v>0</v>
      </c>
      <c r="AV194" s="4">
        <f>AT194*(1-AL194)/AL194</f>
        <v>39.241775141429116</v>
      </c>
      <c r="AW194" s="29" t="s">
        <v>131</v>
      </c>
    </row>
    <row r="195" spans="1:49" ht="14.4" customHeight="1">
      <c r="A195" s="1">
        <v>70</v>
      </c>
      <c r="B195" s="1" t="s">
        <v>38</v>
      </c>
      <c r="C195" s="1" t="s">
        <v>38</v>
      </c>
      <c r="D195" s="1" t="s">
        <v>109</v>
      </c>
      <c r="E195" s="1" t="s">
        <v>40</v>
      </c>
      <c r="F195" s="1">
        <v>2016</v>
      </c>
      <c r="G195" s="1" t="s">
        <v>110</v>
      </c>
      <c r="H195" s="3" t="s">
        <v>111</v>
      </c>
      <c r="I195" s="3" t="s">
        <v>112</v>
      </c>
      <c r="J195" s="1" t="s">
        <v>113</v>
      </c>
      <c r="K195" s="1" t="s">
        <v>114</v>
      </c>
      <c r="L195" s="1" t="s">
        <v>46</v>
      </c>
      <c r="M195" s="1" t="s">
        <v>115</v>
      </c>
      <c r="N195" s="1" t="s">
        <v>116</v>
      </c>
      <c r="O195" s="1">
        <v>0.65</v>
      </c>
      <c r="P195" s="1">
        <v>1</v>
      </c>
      <c r="Q195" s="1">
        <v>1</v>
      </c>
      <c r="R195" s="1">
        <v>1</v>
      </c>
      <c r="S195" s="1" t="s">
        <v>117</v>
      </c>
      <c r="T195" s="1" t="s">
        <v>118</v>
      </c>
      <c r="U195" s="1" t="s">
        <v>119</v>
      </c>
      <c r="V195" s="1" t="s">
        <v>135</v>
      </c>
      <c r="W195" s="1">
        <v>61.7</v>
      </c>
      <c r="X195" s="1">
        <v>8.3833330000000004</v>
      </c>
      <c r="Y195" s="1" t="s">
        <v>121</v>
      </c>
      <c r="Z195" s="1" t="s">
        <v>49</v>
      </c>
      <c r="AA195" s="1" t="s">
        <v>50</v>
      </c>
      <c r="AB195" s="1" t="s">
        <v>66</v>
      </c>
      <c r="AC195" s="1" t="s">
        <v>124</v>
      </c>
      <c r="AD195" s="1" t="s">
        <v>125</v>
      </c>
      <c r="AE195" s="1" t="s">
        <v>125</v>
      </c>
      <c r="AF195" s="1" t="s">
        <v>60</v>
      </c>
      <c r="AG195" s="1" t="s">
        <v>61</v>
      </c>
      <c r="AH195" s="1" t="s">
        <v>123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AS195/AL195</f>
        <v>0.16818181818181818</v>
      </c>
      <c r="AO195" s="1" t="s">
        <v>49</v>
      </c>
      <c r="AP195" s="6">
        <v>0</v>
      </c>
      <c r="AQ195" s="6" t="s">
        <v>49</v>
      </c>
      <c r="AR195" s="6" t="s">
        <v>49</v>
      </c>
      <c r="AS195" s="1">
        <v>0.111</v>
      </c>
      <c r="AT195" s="4">
        <f>AS195/(AM195^2)*100</f>
        <v>1.0573845450388659</v>
      </c>
      <c r="AU195" s="5">
        <v>0</v>
      </c>
      <c r="AV195" s="4">
        <f>AT195*(1-AL195)/AL195</f>
        <v>0.5447132504745672</v>
      </c>
      <c r="AW195" s="29" t="s">
        <v>131</v>
      </c>
    </row>
    <row r="196" spans="1:49" ht="14.4" customHeight="1">
      <c r="A196" s="1">
        <v>70</v>
      </c>
      <c r="B196" s="1" t="s">
        <v>38</v>
      </c>
      <c r="C196" s="1" t="s">
        <v>38</v>
      </c>
      <c r="D196" s="1" t="s">
        <v>109</v>
      </c>
      <c r="E196" s="1" t="s">
        <v>40</v>
      </c>
      <c r="F196" s="1">
        <v>2016</v>
      </c>
      <c r="G196" s="1" t="s">
        <v>110</v>
      </c>
      <c r="H196" s="3" t="s">
        <v>111</v>
      </c>
      <c r="I196" s="3" t="s">
        <v>112</v>
      </c>
      <c r="J196" s="1" t="s">
        <v>113</v>
      </c>
      <c r="K196" s="1" t="s">
        <v>114</v>
      </c>
      <c r="L196" s="1" t="s">
        <v>46</v>
      </c>
      <c r="M196" s="1" t="s">
        <v>115</v>
      </c>
      <c r="N196" s="1" t="s">
        <v>116</v>
      </c>
      <c r="O196" s="1">
        <v>0.65</v>
      </c>
      <c r="P196" s="1">
        <v>1</v>
      </c>
      <c r="Q196" s="1">
        <v>1</v>
      </c>
      <c r="R196" s="1">
        <v>1</v>
      </c>
      <c r="S196" s="1" t="s">
        <v>117</v>
      </c>
      <c r="T196" s="1" t="s">
        <v>118</v>
      </c>
      <c r="U196" s="1" t="s">
        <v>119</v>
      </c>
      <c r="V196" s="1" t="s">
        <v>135</v>
      </c>
      <c r="W196" s="1">
        <v>61.7</v>
      </c>
      <c r="X196" s="1">
        <v>8.3833330000000004</v>
      </c>
      <c r="Y196" s="1" t="s">
        <v>121</v>
      </c>
      <c r="Z196" s="1" t="s">
        <v>49</v>
      </c>
      <c r="AA196" s="1" t="s">
        <v>50</v>
      </c>
      <c r="AB196" s="1" t="s">
        <v>66</v>
      </c>
      <c r="AC196" s="1" t="s">
        <v>124</v>
      </c>
      <c r="AD196" s="1" t="s">
        <v>126</v>
      </c>
      <c r="AE196" s="1" t="s">
        <v>126</v>
      </c>
      <c r="AF196" s="1" t="s">
        <v>60</v>
      </c>
      <c r="AG196" s="1" t="s">
        <v>61</v>
      </c>
      <c r="AH196" s="1" t="s">
        <v>123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AS196/AL196</f>
        <v>0.37407407407407406</v>
      </c>
      <c r="AO196" s="1" t="s">
        <v>49</v>
      </c>
      <c r="AP196" s="6">
        <v>0</v>
      </c>
      <c r="AQ196" s="6" t="s">
        <v>49</v>
      </c>
      <c r="AR196" s="6" t="s">
        <v>49</v>
      </c>
      <c r="AS196" s="1">
        <v>0.10100000000000001</v>
      </c>
      <c r="AT196" s="4">
        <f>AS196/(AM196^2)*100</f>
        <v>0.98632812499999978</v>
      </c>
      <c r="AU196" s="5">
        <v>0</v>
      </c>
      <c r="AV196" s="4">
        <f>AT196*(1-AL196)/AL196</f>
        <v>2.6667390046296289</v>
      </c>
      <c r="AW196" s="29" t="s">
        <v>131</v>
      </c>
    </row>
    <row r="197" spans="1:49" ht="14.4" customHeight="1">
      <c r="A197" s="1">
        <v>70</v>
      </c>
      <c r="B197" s="1" t="s">
        <v>38</v>
      </c>
      <c r="C197" s="1" t="s">
        <v>38</v>
      </c>
      <c r="D197" s="1" t="s">
        <v>109</v>
      </c>
      <c r="E197" s="1" t="s">
        <v>40</v>
      </c>
      <c r="F197" s="1">
        <v>2016</v>
      </c>
      <c r="G197" s="1" t="s">
        <v>110</v>
      </c>
      <c r="H197" s="3" t="s">
        <v>111</v>
      </c>
      <c r="I197" s="3" t="s">
        <v>112</v>
      </c>
      <c r="J197" s="1" t="s">
        <v>113</v>
      </c>
      <c r="K197" s="1" t="s">
        <v>114</v>
      </c>
      <c r="L197" s="1" t="s">
        <v>46</v>
      </c>
      <c r="M197" s="1" t="s">
        <v>115</v>
      </c>
      <c r="N197" s="1" t="s">
        <v>116</v>
      </c>
      <c r="O197" s="1">
        <v>0.65</v>
      </c>
      <c r="P197" s="1">
        <v>1</v>
      </c>
      <c r="Q197" s="1">
        <v>1</v>
      </c>
      <c r="R197" s="1">
        <v>1</v>
      </c>
      <c r="S197" s="1" t="s">
        <v>117</v>
      </c>
      <c r="T197" s="1" t="s">
        <v>118</v>
      </c>
      <c r="U197" s="1" t="s">
        <v>119</v>
      </c>
      <c r="V197" s="1" t="s">
        <v>135</v>
      </c>
      <c r="W197" s="1">
        <v>61.7</v>
      </c>
      <c r="X197" s="1">
        <v>8.3833330000000004</v>
      </c>
      <c r="Y197" s="1" t="s">
        <v>121</v>
      </c>
      <c r="Z197" s="1" t="s">
        <v>49</v>
      </c>
      <c r="AA197" s="1" t="s">
        <v>127</v>
      </c>
      <c r="AB197" s="1" t="s">
        <v>128</v>
      </c>
      <c r="AC197" s="1" t="s">
        <v>128</v>
      </c>
      <c r="AD197" s="1" t="s">
        <v>128</v>
      </c>
      <c r="AE197" s="1" t="s">
        <v>128</v>
      </c>
      <c r="AF197" s="1" t="s">
        <v>60</v>
      </c>
      <c r="AG197" s="1" t="s">
        <v>129</v>
      </c>
      <c r="AH197" s="1" t="s">
        <v>123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AS197/AL197</f>
        <v>64.904545454545456</v>
      </c>
      <c r="AO197" s="1" t="s">
        <v>49</v>
      </c>
      <c r="AP197" s="6">
        <v>0</v>
      </c>
      <c r="AQ197" s="6" t="s">
        <v>49</v>
      </c>
      <c r="AR197" s="6" t="s">
        <v>49</v>
      </c>
      <c r="AS197" s="1">
        <v>14.279</v>
      </c>
      <c r="AT197" s="4">
        <f>AS197/(AM197^2)*100</f>
        <v>15.821606648199445</v>
      </c>
      <c r="AU197" s="5">
        <v>0</v>
      </c>
      <c r="AV197" s="4">
        <f>AT197*(1-AL197)/AL197</f>
        <v>56.09478720725258</v>
      </c>
      <c r="AW197" s="29" t="s">
        <v>131</v>
      </c>
    </row>
    <row r="198" spans="1:49" ht="14.4" customHeight="1">
      <c r="A198" s="1">
        <v>70</v>
      </c>
      <c r="B198" s="1" t="s">
        <v>38</v>
      </c>
      <c r="C198" s="1" t="s">
        <v>38</v>
      </c>
      <c r="D198" s="1" t="s">
        <v>109</v>
      </c>
      <c r="E198" s="1" t="s">
        <v>40</v>
      </c>
      <c r="F198" s="1">
        <v>2016</v>
      </c>
      <c r="G198" s="1" t="s">
        <v>110</v>
      </c>
      <c r="H198" s="3" t="s">
        <v>111</v>
      </c>
      <c r="I198" s="3" t="s">
        <v>112</v>
      </c>
      <c r="J198" s="1" t="s">
        <v>113</v>
      </c>
      <c r="K198" s="1" t="s">
        <v>114</v>
      </c>
      <c r="L198" s="1" t="s">
        <v>46</v>
      </c>
      <c r="M198" s="1" t="s">
        <v>115</v>
      </c>
      <c r="N198" s="1" t="s">
        <v>116</v>
      </c>
      <c r="O198" s="1">
        <v>0.65</v>
      </c>
      <c r="P198" s="1">
        <v>1</v>
      </c>
      <c r="Q198" s="1">
        <v>1</v>
      </c>
      <c r="R198" s="1">
        <v>1</v>
      </c>
      <c r="S198" s="1" t="s">
        <v>117</v>
      </c>
      <c r="T198" s="1" t="s">
        <v>118</v>
      </c>
      <c r="U198" s="1" t="s">
        <v>119</v>
      </c>
      <c r="V198" s="1" t="s">
        <v>135</v>
      </c>
      <c r="W198" s="1">
        <v>61.7</v>
      </c>
      <c r="X198" s="1">
        <v>8.3833330000000004</v>
      </c>
      <c r="Y198" s="1" t="s">
        <v>121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122</v>
      </c>
      <c r="AE198" s="1" t="s">
        <v>125</v>
      </c>
      <c r="AF198" s="1" t="s">
        <v>49</v>
      </c>
      <c r="AG198" s="1" t="s">
        <v>49</v>
      </c>
      <c r="AH198" s="1" t="s">
        <v>123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 t="s">
        <v>49</v>
      </c>
      <c r="AS198" s="6">
        <v>0.19800000000000001</v>
      </c>
      <c r="AT198" s="6" t="s">
        <v>49</v>
      </c>
      <c r="AU198" s="6" t="s">
        <v>49</v>
      </c>
      <c r="AV198" s="6" t="s">
        <v>49</v>
      </c>
      <c r="AW198" s="30" t="s">
        <v>49</v>
      </c>
    </row>
    <row r="199" spans="1:49" ht="14.4" customHeight="1">
      <c r="A199" s="1">
        <v>70</v>
      </c>
      <c r="B199" s="1" t="s">
        <v>38</v>
      </c>
      <c r="C199" s="1" t="s">
        <v>38</v>
      </c>
      <c r="D199" s="1" t="s">
        <v>109</v>
      </c>
      <c r="E199" s="1" t="s">
        <v>40</v>
      </c>
      <c r="F199" s="1">
        <v>2016</v>
      </c>
      <c r="G199" s="1" t="s">
        <v>110</v>
      </c>
      <c r="H199" s="3" t="s">
        <v>111</v>
      </c>
      <c r="I199" s="3" t="s">
        <v>112</v>
      </c>
      <c r="J199" s="1" t="s">
        <v>113</v>
      </c>
      <c r="K199" s="1" t="s">
        <v>114</v>
      </c>
      <c r="L199" s="1" t="s">
        <v>46</v>
      </c>
      <c r="M199" s="1" t="s">
        <v>115</v>
      </c>
      <c r="N199" s="1" t="s">
        <v>116</v>
      </c>
      <c r="O199" s="1">
        <v>0.65</v>
      </c>
      <c r="P199" s="1">
        <v>1</v>
      </c>
      <c r="Q199" s="1">
        <v>1</v>
      </c>
      <c r="R199" s="1">
        <v>1</v>
      </c>
      <c r="S199" s="1" t="s">
        <v>117</v>
      </c>
      <c r="T199" s="1" t="s">
        <v>118</v>
      </c>
      <c r="U199" s="1" t="s">
        <v>119</v>
      </c>
      <c r="V199" s="1" t="s">
        <v>135</v>
      </c>
      <c r="W199" s="1">
        <v>61.7</v>
      </c>
      <c r="X199" s="1">
        <v>8.3833330000000004</v>
      </c>
      <c r="Y199" s="1" t="s">
        <v>121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122</v>
      </c>
      <c r="AE199" s="1" t="s">
        <v>126</v>
      </c>
      <c r="AF199" s="1" t="s">
        <v>49</v>
      </c>
      <c r="AG199" s="1" t="s">
        <v>49</v>
      </c>
      <c r="AH199" s="1" t="s">
        <v>123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 t="s">
        <v>49</v>
      </c>
      <c r="AS199" s="6">
        <v>1.5469999999999999</v>
      </c>
      <c r="AT199" s="6" t="s">
        <v>49</v>
      </c>
      <c r="AU199" s="6" t="s">
        <v>49</v>
      </c>
      <c r="AV199" s="6" t="s">
        <v>49</v>
      </c>
      <c r="AW199" s="30" t="s">
        <v>49</v>
      </c>
    </row>
    <row r="200" spans="1:49" ht="14.4" customHeight="1">
      <c r="A200" s="1">
        <v>70</v>
      </c>
      <c r="B200" s="1" t="s">
        <v>38</v>
      </c>
      <c r="C200" s="1" t="s">
        <v>38</v>
      </c>
      <c r="D200" s="1" t="s">
        <v>109</v>
      </c>
      <c r="E200" s="1" t="s">
        <v>40</v>
      </c>
      <c r="F200" s="1">
        <v>2016</v>
      </c>
      <c r="G200" s="1" t="s">
        <v>110</v>
      </c>
      <c r="H200" s="3" t="s">
        <v>111</v>
      </c>
      <c r="I200" s="3" t="s">
        <v>112</v>
      </c>
      <c r="J200" s="1" t="s">
        <v>113</v>
      </c>
      <c r="K200" s="1" t="s">
        <v>114</v>
      </c>
      <c r="L200" s="1" t="s">
        <v>46</v>
      </c>
      <c r="M200" s="1" t="s">
        <v>115</v>
      </c>
      <c r="N200" s="1" t="s">
        <v>116</v>
      </c>
      <c r="O200" s="1">
        <v>0.65</v>
      </c>
      <c r="P200" s="1">
        <v>1</v>
      </c>
      <c r="Q200" s="1">
        <v>1</v>
      </c>
      <c r="R200" s="1">
        <v>1</v>
      </c>
      <c r="S200" s="1" t="s">
        <v>117</v>
      </c>
      <c r="T200" s="1" t="s">
        <v>118</v>
      </c>
      <c r="U200" s="1" t="s">
        <v>119</v>
      </c>
      <c r="V200" s="1" t="s">
        <v>135</v>
      </c>
      <c r="W200" s="1">
        <v>61.7</v>
      </c>
      <c r="X200" s="1">
        <v>8.3833330000000004</v>
      </c>
      <c r="Y200" s="1" t="s">
        <v>121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122</v>
      </c>
      <c r="AE200" s="1" t="s">
        <v>128</v>
      </c>
      <c r="AF200" s="1" t="s">
        <v>49</v>
      </c>
      <c r="AG200" s="1" t="s">
        <v>49</v>
      </c>
      <c r="AH200" s="1" t="s">
        <v>123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 t="s">
        <v>49</v>
      </c>
      <c r="AS200" s="6">
        <v>10.446</v>
      </c>
      <c r="AT200" s="6" t="s">
        <v>49</v>
      </c>
      <c r="AU200" s="6" t="s">
        <v>49</v>
      </c>
      <c r="AV200" s="6" t="s">
        <v>49</v>
      </c>
      <c r="AW200" s="30" t="s">
        <v>49</v>
      </c>
    </row>
    <row r="201" spans="1:49" ht="14.4" customHeight="1">
      <c r="A201" s="1">
        <v>70</v>
      </c>
      <c r="B201" s="1" t="s">
        <v>38</v>
      </c>
      <c r="C201" s="1" t="s">
        <v>38</v>
      </c>
      <c r="D201" s="1" t="s">
        <v>109</v>
      </c>
      <c r="E201" s="1" t="s">
        <v>40</v>
      </c>
      <c r="F201" s="1">
        <v>2016</v>
      </c>
      <c r="G201" s="1" t="s">
        <v>110</v>
      </c>
      <c r="H201" s="3" t="s">
        <v>111</v>
      </c>
      <c r="I201" s="3" t="s">
        <v>112</v>
      </c>
      <c r="J201" s="1" t="s">
        <v>113</v>
      </c>
      <c r="K201" s="1" t="s">
        <v>114</v>
      </c>
      <c r="L201" s="1" t="s">
        <v>46</v>
      </c>
      <c r="M201" s="1" t="s">
        <v>115</v>
      </c>
      <c r="N201" s="1" t="s">
        <v>116</v>
      </c>
      <c r="O201" s="1">
        <v>0.65</v>
      </c>
      <c r="P201" s="1">
        <v>1</v>
      </c>
      <c r="Q201" s="1">
        <v>1</v>
      </c>
      <c r="R201" s="1">
        <v>1</v>
      </c>
      <c r="S201" s="1" t="s">
        <v>117</v>
      </c>
      <c r="T201" s="1" t="s">
        <v>118</v>
      </c>
      <c r="U201" s="1" t="s">
        <v>119</v>
      </c>
      <c r="V201" s="1" t="s">
        <v>135</v>
      </c>
      <c r="W201" s="1">
        <v>61.7</v>
      </c>
      <c r="X201" s="1">
        <v>8.3833330000000004</v>
      </c>
      <c r="Y201" s="1" t="s">
        <v>121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125</v>
      </c>
      <c r="AE201" s="1" t="s">
        <v>126</v>
      </c>
      <c r="AF201" s="1" t="s">
        <v>49</v>
      </c>
      <c r="AG201" s="1" t="s">
        <v>49</v>
      </c>
      <c r="AH201" s="1" t="s">
        <v>123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 t="s">
        <v>49</v>
      </c>
      <c r="AS201" s="6">
        <v>7.3999999999999996E-2</v>
      </c>
      <c r="AT201" s="6" t="s">
        <v>49</v>
      </c>
      <c r="AU201" s="6" t="s">
        <v>49</v>
      </c>
      <c r="AV201" s="6" t="s">
        <v>49</v>
      </c>
      <c r="AW201" s="30" t="s">
        <v>49</v>
      </c>
    </row>
    <row r="202" spans="1:49" ht="14.4" customHeight="1">
      <c r="A202" s="1">
        <v>70</v>
      </c>
      <c r="B202" s="1" t="s">
        <v>38</v>
      </c>
      <c r="C202" s="1" t="s">
        <v>38</v>
      </c>
      <c r="D202" s="1" t="s">
        <v>109</v>
      </c>
      <c r="E202" s="1" t="s">
        <v>40</v>
      </c>
      <c r="F202" s="1">
        <v>2016</v>
      </c>
      <c r="G202" s="1" t="s">
        <v>110</v>
      </c>
      <c r="H202" s="3" t="s">
        <v>111</v>
      </c>
      <c r="I202" s="3" t="s">
        <v>112</v>
      </c>
      <c r="J202" s="1" t="s">
        <v>113</v>
      </c>
      <c r="K202" s="1" t="s">
        <v>114</v>
      </c>
      <c r="L202" s="1" t="s">
        <v>46</v>
      </c>
      <c r="M202" s="1" t="s">
        <v>115</v>
      </c>
      <c r="N202" s="1" t="s">
        <v>116</v>
      </c>
      <c r="O202" s="1">
        <v>0.65</v>
      </c>
      <c r="P202" s="1">
        <v>1</v>
      </c>
      <c r="Q202" s="1">
        <v>1</v>
      </c>
      <c r="R202" s="1">
        <v>1</v>
      </c>
      <c r="S202" s="1" t="s">
        <v>117</v>
      </c>
      <c r="T202" s="1" t="s">
        <v>118</v>
      </c>
      <c r="U202" s="1" t="s">
        <v>119</v>
      </c>
      <c r="V202" s="1" t="s">
        <v>135</v>
      </c>
      <c r="W202" s="1">
        <v>61.7</v>
      </c>
      <c r="X202" s="1">
        <v>8.3833330000000004</v>
      </c>
      <c r="Y202" s="1" t="s">
        <v>121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125</v>
      </c>
      <c r="AE202" s="1" t="s">
        <v>128</v>
      </c>
      <c r="AF202" s="1" t="s">
        <v>49</v>
      </c>
      <c r="AG202" s="1" t="s">
        <v>49</v>
      </c>
      <c r="AH202" s="1" t="s">
        <v>123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 t="s">
        <v>49</v>
      </c>
      <c r="AS202" s="6">
        <v>0.56799999999999995</v>
      </c>
      <c r="AT202" s="6" t="s">
        <v>49</v>
      </c>
      <c r="AU202" s="6" t="s">
        <v>49</v>
      </c>
      <c r="AV202" s="6" t="s">
        <v>49</v>
      </c>
      <c r="AW202" s="30" t="s">
        <v>49</v>
      </c>
    </row>
    <row r="203" spans="1:49" ht="14.4" customHeight="1">
      <c r="A203" s="1">
        <v>70</v>
      </c>
      <c r="B203" s="1" t="s">
        <v>38</v>
      </c>
      <c r="C203" s="1" t="s">
        <v>38</v>
      </c>
      <c r="D203" s="1" t="s">
        <v>109</v>
      </c>
      <c r="E203" s="1" t="s">
        <v>40</v>
      </c>
      <c r="F203" s="1">
        <v>2016</v>
      </c>
      <c r="G203" s="1" t="s">
        <v>110</v>
      </c>
      <c r="H203" s="3" t="s">
        <v>111</v>
      </c>
      <c r="I203" s="3" t="s">
        <v>112</v>
      </c>
      <c r="J203" s="1" t="s">
        <v>113</v>
      </c>
      <c r="K203" s="1" t="s">
        <v>114</v>
      </c>
      <c r="L203" s="1" t="s">
        <v>46</v>
      </c>
      <c r="M203" s="1" t="s">
        <v>115</v>
      </c>
      <c r="N203" s="1" t="s">
        <v>116</v>
      </c>
      <c r="O203" s="1">
        <v>0.65</v>
      </c>
      <c r="P203" s="1">
        <v>1</v>
      </c>
      <c r="Q203" s="1">
        <v>1</v>
      </c>
      <c r="R203" s="1">
        <v>1</v>
      </c>
      <c r="S203" s="1" t="s">
        <v>117</v>
      </c>
      <c r="T203" s="1" t="s">
        <v>118</v>
      </c>
      <c r="U203" s="1" t="s">
        <v>119</v>
      </c>
      <c r="V203" s="1" t="s">
        <v>135</v>
      </c>
      <c r="W203" s="1">
        <v>61.7</v>
      </c>
      <c r="X203" s="1">
        <v>8.3833330000000004</v>
      </c>
      <c r="Y203" s="1" t="s">
        <v>121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126</v>
      </c>
      <c r="AE203" s="1" t="s">
        <v>128</v>
      </c>
      <c r="AF203" s="1" t="s">
        <v>49</v>
      </c>
      <c r="AG203" s="1" t="s">
        <v>49</v>
      </c>
      <c r="AH203" s="1" t="s">
        <v>123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 t="s">
        <v>49</v>
      </c>
      <c r="AS203" s="6">
        <v>0.56799999999999995</v>
      </c>
      <c r="AT203" s="6" t="s">
        <v>49</v>
      </c>
      <c r="AU203" s="6" t="s">
        <v>49</v>
      </c>
      <c r="AV203" s="6" t="s">
        <v>49</v>
      </c>
      <c r="AW203" s="30" t="s">
        <v>49</v>
      </c>
    </row>
    <row r="204" spans="1:49" ht="14.4" customHeight="1">
      <c r="A204" s="1">
        <v>5</v>
      </c>
      <c r="B204" s="1" t="s">
        <v>38</v>
      </c>
      <c r="C204" s="1" t="s">
        <v>38</v>
      </c>
      <c r="D204" s="3" t="s">
        <v>136</v>
      </c>
      <c r="E204" s="3" t="s">
        <v>40</v>
      </c>
      <c r="F204" s="3">
        <v>2003</v>
      </c>
      <c r="G204" s="3" t="s">
        <v>110</v>
      </c>
      <c r="H204" s="3" t="s">
        <v>137</v>
      </c>
      <c r="I204" s="3" t="s">
        <v>138</v>
      </c>
      <c r="J204" s="3" t="s">
        <v>139</v>
      </c>
      <c r="K204" s="3" t="s">
        <v>45</v>
      </c>
      <c r="L204" s="3" t="s">
        <v>46</v>
      </c>
      <c r="M204" s="1" t="s">
        <v>115</v>
      </c>
      <c r="N204" s="1" t="s">
        <v>116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119</v>
      </c>
      <c r="V204" s="1" t="s">
        <v>140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84</v>
      </c>
      <c r="AE204" s="1" t="s">
        <v>84</v>
      </c>
      <c r="AF204" s="1" t="s">
        <v>60</v>
      </c>
      <c r="AG204" s="1" t="s">
        <v>61</v>
      </c>
      <c r="AH204" s="1" t="s">
        <v>123</v>
      </c>
      <c r="AI204" s="1" t="s">
        <v>55</v>
      </c>
      <c r="AJ204" s="1">
        <v>350</v>
      </c>
      <c r="AK204" s="1">
        <v>1133</v>
      </c>
      <c r="AL204" s="2">
        <f t="shared" ref="AL204:AL209" si="16">AS204/AN204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6" t="s">
        <v>49</v>
      </c>
      <c r="AS204" s="1">
        <v>2.4169999999999998</v>
      </c>
      <c r="AT204" s="4">
        <f t="shared" ref="AT204:AT209" si="17">AS204/(AM204^2)*100</f>
        <v>1.1049440876348209</v>
      </c>
      <c r="AU204" s="5">
        <v>0</v>
      </c>
      <c r="AV204" s="4">
        <f t="shared" ref="AV204:AV209" si="18">AT204*(1-AL204)/AL204</f>
        <v>0.34423785601531659</v>
      </c>
      <c r="AW204" s="29" t="s">
        <v>144</v>
      </c>
    </row>
    <row r="205" spans="1:49" ht="14.4" customHeight="1">
      <c r="A205" s="1">
        <v>5</v>
      </c>
      <c r="B205" s="1" t="s">
        <v>38</v>
      </c>
      <c r="C205" s="1" t="s">
        <v>38</v>
      </c>
      <c r="D205" s="3" t="s">
        <v>136</v>
      </c>
      <c r="E205" s="3" t="s">
        <v>40</v>
      </c>
      <c r="F205" s="3">
        <v>2003</v>
      </c>
      <c r="G205" s="3" t="s">
        <v>110</v>
      </c>
      <c r="H205" s="3" t="s">
        <v>137</v>
      </c>
      <c r="I205" s="3" t="s">
        <v>138</v>
      </c>
      <c r="J205" s="3" t="s">
        <v>139</v>
      </c>
      <c r="K205" s="3" t="s">
        <v>45</v>
      </c>
      <c r="L205" s="3" t="s">
        <v>46</v>
      </c>
      <c r="M205" s="1" t="s">
        <v>115</v>
      </c>
      <c r="N205" s="1" t="s">
        <v>116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119</v>
      </c>
      <c r="V205" s="1" t="s">
        <v>140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86</v>
      </c>
      <c r="AD205" s="1" t="s">
        <v>142</v>
      </c>
      <c r="AE205" s="1" t="s">
        <v>142</v>
      </c>
      <c r="AF205" s="1" t="s">
        <v>60</v>
      </c>
      <c r="AG205" s="1" t="s">
        <v>61</v>
      </c>
      <c r="AH205" s="1" t="s">
        <v>123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6" t="s">
        <v>49</v>
      </c>
      <c r="AS205" s="1">
        <v>0.65900000000000003</v>
      </c>
      <c r="AT205" s="4">
        <f t="shared" si="17"/>
        <v>0.48058656355811991</v>
      </c>
      <c r="AU205" s="5">
        <v>0</v>
      </c>
      <c r="AV205" s="4">
        <f t="shared" si="18"/>
        <v>0.16846054048850639</v>
      </c>
      <c r="AW205" s="29" t="s">
        <v>144</v>
      </c>
    </row>
    <row r="206" spans="1:49" ht="14.4" customHeight="1">
      <c r="A206" s="1">
        <v>5</v>
      </c>
      <c r="B206" s="1" t="s">
        <v>38</v>
      </c>
      <c r="C206" s="1" t="s">
        <v>38</v>
      </c>
      <c r="D206" s="3" t="s">
        <v>136</v>
      </c>
      <c r="E206" s="3" t="s">
        <v>40</v>
      </c>
      <c r="F206" s="3">
        <v>2003</v>
      </c>
      <c r="G206" s="3" t="s">
        <v>110</v>
      </c>
      <c r="H206" s="3" t="s">
        <v>137</v>
      </c>
      <c r="I206" s="3" t="s">
        <v>138</v>
      </c>
      <c r="J206" s="3" t="s">
        <v>139</v>
      </c>
      <c r="K206" s="3" t="s">
        <v>45</v>
      </c>
      <c r="L206" s="3" t="s">
        <v>46</v>
      </c>
      <c r="M206" s="1" t="s">
        <v>115</v>
      </c>
      <c r="N206" s="1" t="s">
        <v>116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119</v>
      </c>
      <c r="V206" s="1" t="s">
        <v>140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86</v>
      </c>
      <c r="AD206" s="1" t="s">
        <v>143</v>
      </c>
      <c r="AE206" s="1" t="s">
        <v>143</v>
      </c>
      <c r="AF206" s="1" t="s">
        <v>60</v>
      </c>
      <c r="AG206" s="1" t="s">
        <v>61</v>
      </c>
      <c r="AH206" s="1" t="s">
        <v>123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6" t="s">
        <v>49</v>
      </c>
      <c r="AS206" s="1">
        <v>0.44500000000000001</v>
      </c>
      <c r="AT206" s="4">
        <f t="shared" si="17"/>
        <v>0.4848741070689197</v>
      </c>
      <c r="AU206" s="5">
        <v>0</v>
      </c>
      <c r="AV206" s="4">
        <f t="shared" si="18"/>
        <v>0.28874525477137908</v>
      </c>
      <c r="AW206" s="29" t="s">
        <v>144</v>
      </c>
    </row>
    <row r="207" spans="1:49" ht="14.4" customHeight="1">
      <c r="A207" s="1">
        <v>5</v>
      </c>
      <c r="B207" s="1" t="s">
        <v>38</v>
      </c>
      <c r="C207" s="1" t="s">
        <v>38</v>
      </c>
      <c r="D207" s="3" t="s">
        <v>136</v>
      </c>
      <c r="E207" s="3" t="s">
        <v>40</v>
      </c>
      <c r="F207" s="3">
        <v>2003</v>
      </c>
      <c r="G207" s="3" t="s">
        <v>110</v>
      </c>
      <c r="H207" s="3" t="s">
        <v>137</v>
      </c>
      <c r="I207" s="3" t="s">
        <v>138</v>
      </c>
      <c r="J207" s="3" t="s">
        <v>139</v>
      </c>
      <c r="K207" s="3" t="s">
        <v>45</v>
      </c>
      <c r="L207" s="3" t="s">
        <v>46</v>
      </c>
      <c r="M207" s="1" t="s">
        <v>115</v>
      </c>
      <c r="N207" s="1" t="s">
        <v>116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119</v>
      </c>
      <c r="V207" s="1" t="s">
        <v>140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123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6" t="s">
        <v>49</v>
      </c>
      <c r="AS207" s="1">
        <v>0.52</v>
      </c>
      <c r="AT207" s="4">
        <f t="shared" si="17"/>
        <v>0.38778073087718989</v>
      </c>
      <c r="AU207" s="5">
        <v>0</v>
      </c>
      <c r="AV207" s="4">
        <f t="shared" si="18"/>
        <v>0.24609161767206278</v>
      </c>
      <c r="AW207" s="29" t="s">
        <v>144</v>
      </c>
    </row>
    <row r="208" spans="1:49" ht="14.4" customHeight="1">
      <c r="A208" s="1">
        <v>5</v>
      </c>
      <c r="B208" s="1" t="s">
        <v>38</v>
      </c>
      <c r="C208" s="1" t="s">
        <v>38</v>
      </c>
      <c r="D208" s="3" t="s">
        <v>136</v>
      </c>
      <c r="E208" s="3" t="s">
        <v>40</v>
      </c>
      <c r="F208" s="3">
        <v>2003</v>
      </c>
      <c r="G208" s="3" t="s">
        <v>110</v>
      </c>
      <c r="H208" s="3" t="s">
        <v>137</v>
      </c>
      <c r="I208" s="3" t="s">
        <v>138</v>
      </c>
      <c r="J208" s="3" t="s">
        <v>139</v>
      </c>
      <c r="K208" s="3" t="s">
        <v>45</v>
      </c>
      <c r="L208" s="3" t="s">
        <v>46</v>
      </c>
      <c r="M208" s="1" t="s">
        <v>115</v>
      </c>
      <c r="N208" s="1" t="s">
        <v>116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119</v>
      </c>
      <c r="V208" s="1" t="s">
        <v>140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124</v>
      </c>
      <c r="AD208" s="1" t="s">
        <v>126</v>
      </c>
      <c r="AE208" s="1" t="s">
        <v>126</v>
      </c>
      <c r="AF208" s="1" t="s">
        <v>60</v>
      </c>
      <c r="AG208" s="1" t="s">
        <v>61</v>
      </c>
      <c r="AH208" s="1" t="s">
        <v>123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6" t="s">
        <v>49</v>
      </c>
      <c r="AS208" s="1">
        <v>0.91900000000000004</v>
      </c>
      <c r="AT208" s="4">
        <f t="shared" si="17"/>
        <v>0.80419265270690909</v>
      </c>
      <c r="AU208" s="5">
        <v>0</v>
      </c>
      <c r="AV208" s="4">
        <f t="shared" si="18"/>
        <v>0.38590746446544832</v>
      </c>
      <c r="AW208" s="29" t="s">
        <v>144</v>
      </c>
    </row>
    <row r="209" spans="1:49" ht="14.4" customHeight="1">
      <c r="A209" s="1">
        <v>5</v>
      </c>
      <c r="B209" s="1" t="s">
        <v>38</v>
      </c>
      <c r="C209" s="1" t="s">
        <v>38</v>
      </c>
      <c r="D209" s="3" t="s">
        <v>136</v>
      </c>
      <c r="E209" s="3" t="s">
        <v>40</v>
      </c>
      <c r="F209" s="3">
        <v>2003</v>
      </c>
      <c r="G209" s="3" t="s">
        <v>110</v>
      </c>
      <c r="H209" s="3" t="s">
        <v>137</v>
      </c>
      <c r="I209" s="3" t="s">
        <v>138</v>
      </c>
      <c r="J209" s="3" t="s">
        <v>139</v>
      </c>
      <c r="K209" s="3" t="s">
        <v>45</v>
      </c>
      <c r="L209" s="3" t="s">
        <v>46</v>
      </c>
      <c r="M209" s="1" t="s">
        <v>115</v>
      </c>
      <c r="N209" s="1" t="s">
        <v>116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119</v>
      </c>
      <c r="V209" s="1" t="s">
        <v>140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124</v>
      </c>
      <c r="AD209" s="1" t="s">
        <v>125</v>
      </c>
      <c r="AE209" s="1" t="s">
        <v>125</v>
      </c>
      <c r="AF209" s="1" t="s">
        <v>60</v>
      </c>
      <c r="AG209" s="1" t="s">
        <v>61</v>
      </c>
      <c r="AH209" s="1" t="s">
        <v>123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6" t="s">
        <v>49</v>
      </c>
      <c r="AS209" s="1">
        <v>0.79200000000000004</v>
      </c>
      <c r="AT209" s="4">
        <f t="shared" si="17"/>
        <v>1.0273919292656224</v>
      </c>
      <c r="AU209" s="5">
        <v>0</v>
      </c>
      <c r="AV209" s="4">
        <f t="shared" si="18"/>
        <v>0.81464915603385191</v>
      </c>
      <c r="AW209" s="29" t="s">
        <v>144</v>
      </c>
    </row>
    <row r="210" spans="1:49" ht="14.4" customHeight="1">
      <c r="A210" s="1">
        <v>5</v>
      </c>
      <c r="B210" s="1" t="s">
        <v>38</v>
      </c>
      <c r="C210" s="1" t="s">
        <v>38</v>
      </c>
      <c r="D210" s="3" t="s">
        <v>136</v>
      </c>
      <c r="E210" s="3" t="s">
        <v>40</v>
      </c>
      <c r="F210" s="3">
        <v>2003</v>
      </c>
      <c r="G210" s="3" t="s">
        <v>110</v>
      </c>
      <c r="H210" s="3" t="s">
        <v>137</v>
      </c>
      <c r="I210" s="3" t="s">
        <v>138</v>
      </c>
      <c r="J210" s="3" t="s">
        <v>139</v>
      </c>
      <c r="K210" s="3" t="s">
        <v>45</v>
      </c>
      <c r="L210" s="3" t="s">
        <v>46</v>
      </c>
      <c r="M210" s="1" t="s">
        <v>115</v>
      </c>
      <c r="N210" s="1" t="s">
        <v>116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119</v>
      </c>
      <c r="V210" s="1" t="s">
        <v>140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126</v>
      </c>
      <c r="AE210" s="1" t="s">
        <v>125</v>
      </c>
      <c r="AF210" s="6" t="s">
        <v>49</v>
      </c>
      <c r="AG210" s="6" t="s">
        <v>49</v>
      </c>
      <c r="AH210" s="1" t="s">
        <v>123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 t="s">
        <v>49</v>
      </c>
      <c r="AS210" s="6">
        <v>0.40500000000000003</v>
      </c>
      <c r="AT210" s="6" t="s">
        <v>49</v>
      </c>
      <c r="AU210" s="6" t="s">
        <v>49</v>
      </c>
      <c r="AV210" s="6" t="s">
        <v>49</v>
      </c>
      <c r="AW210" s="30" t="s">
        <v>49</v>
      </c>
    </row>
    <row r="211" spans="1:49" ht="14.4" customHeight="1">
      <c r="A211" s="1">
        <v>5</v>
      </c>
      <c r="B211" s="1" t="s">
        <v>38</v>
      </c>
      <c r="C211" s="1" t="s">
        <v>38</v>
      </c>
      <c r="D211" s="3" t="s">
        <v>136</v>
      </c>
      <c r="E211" s="3" t="s">
        <v>40</v>
      </c>
      <c r="F211" s="3">
        <v>2003</v>
      </c>
      <c r="G211" s="3" t="s">
        <v>110</v>
      </c>
      <c r="H211" s="3" t="s">
        <v>137</v>
      </c>
      <c r="I211" s="3" t="s">
        <v>138</v>
      </c>
      <c r="J211" s="3" t="s">
        <v>139</v>
      </c>
      <c r="K211" s="3" t="s">
        <v>45</v>
      </c>
      <c r="L211" s="3" t="s">
        <v>46</v>
      </c>
      <c r="M211" s="1" t="s">
        <v>115</v>
      </c>
      <c r="N211" s="1" t="s">
        <v>116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119</v>
      </c>
      <c r="V211" s="1" t="s">
        <v>140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126</v>
      </c>
      <c r="AE211" s="1" t="s">
        <v>62</v>
      </c>
      <c r="AF211" s="6" t="s">
        <v>49</v>
      </c>
      <c r="AG211" s="6" t="s">
        <v>49</v>
      </c>
      <c r="AH211" s="1" t="s">
        <v>123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 t="s">
        <v>49</v>
      </c>
      <c r="AS211" s="6">
        <v>0.28399999999999997</v>
      </c>
      <c r="AT211" s="6" t="s">
        <v>49</v>
      </c>
      <c r="AU211" s="6" t="s">
        <v>49</v>
      </c>
      <c r="AV211" s="6" t="s">
        <v>49</v>
      </c>
      <c r="AW211" s="30" t="s">
        <v>49</v>
      </c>
    </row>
    <row r="212" spans="1:49" ht="14.4" customHeight="1">
      <c r="A212" s="1">
        <v>5</v>
      </c>
      <c r="B212" s="1" t="s">
        <v>38</v>
      </c>
      <c r="C212" s="1" t="s">
        <v>38</v>
      </c>
      <c r="D212" s="3" t="s">
        <v>136</v>
      </c>
      <c r="E212" s="3" t="s">
        <v>40</v>
      </c>
      <c r="F212" s="3">
        <v>2003</v>
      </c>
      <c r="G212" s="3" t="s">
        <v>110</v>
      </c>
      <c r="H212" s="3" t="s">
        <v>137</v>
      </c>
      <c r="I212" s="3" t="s">
        <v>138</v>
      </c>
      <c r="J212" s="3" t="s">
        <v>139</v>
      </c>
      <c r="K212" s="3" t="s">
        <v>45</v>
      </c>
      <c r="L212" s="3" t="s">
        <v>46</v>
      </c>
      <c r="M212" s="1" t="s">
        <v>115</v>
      </c>
      <c r="N212" s="1" t="s">
        <v>116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119</v>
      </c>
      <c r="V212" s="1" t="s">
        <v>140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126</v>
      </c>
      <c r="AE212" s="1" t="s">
        <v>143</v>
      </c>
      <c r="AF212" s="6" t="s">
        <v>49</v>
      </c>
      <c r="AG212" s="6" t="s">
        <v>49</v>
      </c>
      <c r="AH212" s="1" t="s">
        <v>123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 t="s">
        <v>49</v>
      </c>
      <c r="AS212" s="6">
        <v>0.27500000000000002</v>
      </c>
      <c r="AT212" s="6" t="s">
        <v>49</v>
      </c>
      <c r="AU212" s="6" t="s">
        <v>49</v>
      </c>
      <c r="AV212" s="6" t="s">
        <v>49</v>
      </c>
      <c r="AW212" s="30" t="s">
        <v>49</v>
      </c>
    </row>
    <row r="213" spans="1:49" ht="14.4" customHeight="1">
      <c r="A213" s="1">
        <v>5</v>
      </c>
      <c r="B213" s="1" t="s">
        <v>38</v>
      </c>
      <c r="C213" s="1" t="s">
        <v>38</v>
      </c>
      <c r="D213" s="3" t="s">
        <v>136</v>
      </c>
      <c r="E213" s="3" t="s">
        <v>40</v>
      </c>
      <c r="F213" s="3">
        <v>2003</v>
      </c>
      <c r="G213" s="3" t="s">
        <v>110</v>
      </c>
      <c r="H213" s="3" t="s">
        <v>137</v>
      </c>
      <c r="I213" s="3" t="s">
        <v>138</v>
      </c>
      <c r="J213" s="3" t="s">
        <v>139</v>
      </c>
      <c r="K213" s="3" t="s">
        <v>45</v>
      </c>
      <c r="L213" s="3" t="s">
        <v>46</v>
      </c>
      <c r="M213" s="1" t="s">
        <v>115</v>
      </c>
      <c r="N213" s="1" t="s">
        <v>116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119</v>
      </c>
      <c r="V213" s="1" t="s">
        <v>140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126</v>
      </c>
      <c r="AE213" s="1" t="s">
        <v>142</v>
      </c>
      <c r="AF213" s="6" t="s">
        <v>49</v>
      </c>
      <c r="AG213" s="6" t="s">
        <v>49</v>
      </c>
      <c r="AH213" s="1" t="s">
        <v>123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 t="s">
        <v>49</v>
      </c>
      <c r="AS213" s="6">
        <v>0.30599999999999999</v>
      </c>
      <c r="AT213" s="6" t="s">
        <v>49</v>
      </c>
      <c r="AU213" s="6" t="s">
        <v>49</v>
      </c>
      <c r="AV213" s="6" t="s">
        <v>49</v>
      </c>
      <c r="AW213" s="30" t="s">
        <v>49</v>
      </c>
    </row>
    <row r="214" spans="1:49" ht="14.4" customHeight="1">
      <c r="A214" s="1">
        <v>5</v>
      </c>
      <c r="B214" s="1" t="s">
        <v>38</v>
      </c>
      <c r="C214" s="1" t="s">
        <v>38</v>
      </c>
      <c r="D214" s="3" t="s">
        <v>136</v>
      </c>
      <c r="E214" s="3" t="s">
        <v>40</v>
      </c>
      <c r="F214" s="3">
        <v>2003</v>
      </c>
      <c r="G214" s="3" t="s">
        <v>110</v>
      </c>
      <c r="H214" s="3" t="s">
        <v>137</v>
      </c>
      <c r="I214" s="3" t="s">
        <v>138</v>
      </c>
      <c r="J214" s="3" t="s">
        <v>139</v>
      </c>
      <c r="K214" s="3" t="s">
        <v>45</v>
      </c>
      <c r="L214" s="3" t="s">
        <v>46</v>
      </c>
      <c r="M214" s="1" t="s">
        <v>115</v>
      </c>
      <c r="N214" s="1" t="s">
        <v>116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119</v>
      </c>
      <c r="V214" s="1" t="s">
        <v>140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126</v>
      </c>
      <c r="AE214" s="1" t="s">
        <v>84</v>
      </c>
      <c r="AF214" s="6" t="s">
        <v>49</v>
      </c>
      <c r="AG214" s="6" t="s">
        <v>49</v>
      </c>
      <c r="AH214" s="1" t="s">
        <v>123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 t="s">
        <v>49</v>
      </c>
      <c r="AS214" s="6">
        <v>0.51700000000000002</v>
      </c>
      <c r="AT214" s="6" t="s">
        <v>49</v>
      </c>
      <c r="AU214" s="6" t="s">
        <v>49</v>
      </c>
      <c r="AV214" s="6" t="s">
        <v>49</v>
      </c>
      <c r="AW214" s="30" t="s">
        <v>49</v>
      </c>
    </row>
    <row r="215" spans="1:49" ht="14.4" customHeight="1">
      <c r="A215" s="1">
        <v>5</v>
      </c>
      <c r="B215" s="1" t="s">
        <v>38</v>
      </c>
      <c r="C215" s="1" t="s">
        <v>38</v>
      </c>
      <c r="D215" s="3" t="s">
        <v>136</v>
      </c>
      <c r="E215" s="3" t="s">
        <v>40</v>
      </c>
      <c r="F215" s="3">
        <v>2003</v>
      </c>
      <c r="G215" s="3" t="s">
        <v>110</v>
      </c>
      <c r="H215" s="3" t="s">
        <v>137</v>
      </c>
      <c r="I215" s="3" t="s">
        <v>138</v>
      </c>
      <c r="J215" s="3" t="s">
        <v>139</v>
      </c>
      <c r="K215" s="3" t="s">
        <v>45</v>
      </c>
      <c r="L215" s="3" t="s">
        <v>46</v>
      </c>
      <c r="M215" s="1" t="s">
        <v>115</v>
      </c>
      <c r="N215" s="1" t="s">
        <v>116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119</v>
      </c>
      <c r="V215" s="1" t="s">
        <v>140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125</v>
      </c>
      <c r="AE215" s="1" t="s">
        <v>62</v>
      </c>
      <c r="AF215" s="6" t="s">
        <v>49</v>
      </c>
      <c r="AG215" s="6" t="s">
        <v>49</v>
      </c>
      <c r="AH215" s="1" t="s">
        <v>123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 t="s">
        <v>49</v>
      </c>
      <c r="AS215" s="6">
        <v>0.193</v>
      </c>
      <c r="AT215" s="6" t="s">
        <v>49</v>
      </c>
      <c r="AU215" s="6" t="s">
        <v>49</v>
      </c>
      <c r="AV215" s="6" t="s">
        <v>49</v>
      </c>
      <c r="AW215" s="30" t="s">
        <v>49</v>
      </c>
    </row>
    <row r="216" spans="1:49" ht="14.4" customHeight="1">
      <c r="A216" s="1">
        <v>5</v>
      </c>
      <c r="B216" s="1" t="s">
        <v>38</v>
      </c>
      <c r="C216" s="1" t="s">
        <v>38</v>
      </c>
      <c r="D216" s="3" t="s">
        <v>136</v>
      </c>
      <c r="E216" s="3" t="s">
        <v>40</v>
      </c>
      <c r="F216" s="3">
        <v>2003</v>
      </c>
      <c r="G216" s="3" t="s">
        <v>110</v>
      </c>
      <c r="H216" s="3" t="s">
        <v>137</v>
      </c>
      <c r="I216" s="3" t="s">
        <v>138</v>
      </c>
      <c r="J216" s="3" t="s">
        <v>139</v>
      </c>
      <c r="K216" s="3" t="s">
        <v>45</v>
      </c>
      <c r="L216" s="3" t="s">
        <v>46</v>
      </c>
      <c r="M216" s="1" t="s">
        <v>115</v>
      </c>
      <c r="N216" s="1" t="s">
        <v>116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119</v>
      </c>
      <c r="V216" s="1" t="s">
        <v>140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125</v>
      </c>
      <c r="AE216" s="1" t="s">
        <v>143</v>
      </c>
      <c r="AF216" s="6" t="s">
        <v>49</v>
      </c>
      <c r="AG216" s="6" t="s">
        <v>49</v>
      </c>
      <c r="AH216" s="1" t="s">
        <v>123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 t="s">
        <v>49</v>
      </c>
      <c r="AS216" s="6">
        <v>0.158</v>
      </c>
      <c r="AT216" s="6" t="s">
        <v>49</v>
      </c>
      <c r="AU216" s="6" t="s">
        <v>49</v>
      </c>
      <c r="AV216" s="6" t="s">
        <v>49</v>
      </c>
      <c r="AW216" s="30" t="s">
        <v>49</v>
      </c>
    </row>
    <row r="217" spans="1:49" ht="14.4" customHeight="1">
      <c r="A217" s="1">
        <v>5</v>
      </c>
      <c r="B217" s="1" t="s">
        <v>38</v>
      </c>
      <c r="C217" s="1" t="s">
        <v>38</v>
      </c>
      <c r="D217" s="3" t="s">
        <v>136</v>
      </c>
      <c r="E217" s="3" t="s">
        <v>40</v>
      </c>
      <c r="F217" s="3">
        <v>2003</v>
      </c>
      <c r="G217" s="3" t="s">
        <v>110</v>
      </c>
      <c r="H217" s="3" t="s">
        <v>137</v>
      </c>
      <c r="I217" s="3" t="s">
        <v>138</v>
      </c>
      <c r="J217" s="3" t="s">
        <v>139</v>
      </c>
      <c r="K217" s="3" t="s">
        <v>45</v>
      </c>
      <c r="L217" s="3" t="s">
        <v>46</v>
      </c>
      <c r="M217" s="1" t="s">
        <v>115</v>
      </c>
      <c r="N217" s="1" t="s">
        <v>116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119</v>
      </c>
      <c r="V217" s="1" t="s">
        <v>140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125</v>
      </c>
      <c r="AE217" s="1" t="s">
        <v>142</v>
      </c>
      <c r="AF217" s="6" t="s">
        <v>49</v>
      </c>
      <c r="AG217" s="6" t="s">
        <v>49</v>
      </c>
      <c r="AH217" s="1" t="s">
        <v>123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 t="s">
        <v>49</v>
      </c>
      <c r="AS217" s="6">
        <v>0.14699999999999999</v>
      </c>
      <c r="AT217" s="6" t="s">
        <v>49</v>
      </c>
      <c r="AU217" s="6" t="s">
        <v>49</v>
      </c>
      <c r="AV217" s="6" t="s">
        <v>49</v>
      </c>
      <c r="AW217" s="30" t="s">
        <v>49</v>
      </c>
    </row>
    <row r="218" spans="1:49" ht="14.4" customHeight="1">
      <c r="A218" s="1">
        <v>5</v>
      </c>
      <c r="B218" s="1" t="s">
        <v>38</v>
      </c>
      <c r="C218" s="1" t="s">
        <v>38</v>
      </c>
      <c r="D218" s="3" t="s">
        <v>136</v>
      </c>
      <c r="E218" s="3" t="s">
        <v>40</v>
      </c>
      <c r="F218" s="3">
        <v>2003</v>
      </c>
      <c r="G218" s="3" t="s">
        <v>110</v>
      </c>
      <c r="H218" s="3" t="s">
        <v>137</v>
      </c>
      <c r="I218" s="3" t="s">
        <v>138</v>
      </c>
      <c r="J218" s="3" t="s">
        <v>139</v>
      </c>
      <c r="K218" s="3" t="s">
        <v>45</v>
      </c>
      <c r="L218" s="3" t="s">
        <v>46</v>
      </c>
      <c r="M218" s="1" t="s">
        <v>115</v>
      </c>
      <c r="N218" s="1" t="s">
        <v>116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119</v>
      </c>
      <c r="V218" s="1" t="s">
        <v>140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125</v>
      </c>
      <c r="AE218" s="1" t="s">
        <v>84</v>
      </c>
      <c r="AF218" s="6" t="s">
        <v>49</v>
      </c>
      <c r="AG218" s="6" t="s">
        <v>49</v>
      </c>
      <c r="AH218" s="1" t="s">
        <v>123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 t="s">
        <v>49</v>
      </c>
      <c r="AS218" s="6">
        <v>0.29099999999999998</v>
      </c>
      <c r="AT218" s="6" t="s">
        <v>49</v>
      </c>
      <c r="AU218" s="6" t="s">
        <v>49</v>
      </c>
      <c r="AV218" s="6" t="s">
        <v>49</v>
      </c>
      <c r="AW218" s="30" t="s">
        <v>49</v>
      </c>
    </row>
    <row r="219" spans="1:49" ht="14.4" customHeight="1">
      <c r="A219" s="1">
        <v>5</v>
      </c>
      <c r="B219" s="1" t="s">
        <v>38</v>
      </c>
      <c r="C219" s="1" t="s">
        <v>38</v>
      </c>
      <c r="D219" s="3" t="s">
        <v>136</v>
      </c>
      <c r="E219" s="3" t="s">
        <v>40</v>
      </c>
      <c r="F219" s="3">
        <v>2003</v>
      </c>
      <c r="G219" s="3" t="s">
        <v>110</v>
      </c>
      <c r="H219" s="3" t="s">
        <v>137</v>
      </c>
      <c r="I219" s="3" t="s">
        <v>138</v>
      </c>
      <c r="J219" s="3" t="s">
        <v>139</v>
      </c>
      <c r="K219" s="3" t="s">
        <v>45</v>
      </c>
      <c r="L219" s="3" t="s">
        <v>46</v>
      </c>
      <c r="M219" s="1" t="s">
        <v>115</v>
      </c>
      <c r="N219" s="1" t="s">
        <v>116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119</v>
      </c>
      <c r="V219" s="1" t="s">
        <v>140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143</v>
      </c>
      <c r="AF219" s="6" t="s">
        <v>49</v>
      </c>
      <c r="AG219" s="6" t="s">
        <v>49</v>
      </c>
      <c r="AH219" s="1" t="s">
        <v>123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 t="s">
        <v>49</v>
      </c>
      <c r="AS219" s="6">
        <v>0.36499999999999999</v>
      </c>
      <c r="AT219" s="6" t="s">
        <v>49</v>
      </c>
      <c r="AU219" s="6" t="s">
        <v>49</v>
      </c>
      <c r="AV219" s="6" t="s">
        <v>49</v>
      </c>
      <c r="AW219" s="30" t="s">
        <v>49</v>
      </c>
    </row>
    <row r="220" spans="1:49" ht="14.4" customHeight="1">
      <c r="A220" s="1">
        <v>5</v>
      </c>
      <c r="B220" s="1" t="s">
        <v>38</v>
      </c>
      <c r="C220" s="1" t="s">
        <v>38</v>
      </c>
      <c r="D220" s="3" t="s">
        <v>136</v>
      </c>
      <c r="E220" s="3" t="s">
        <v>40</v>
      </c>
      <c r="F220" s="3">
        <v>2003</v>
      </c>
      <c r="G220" s="3" t="s">
        <v>110</v>
      </c>
      <c r="H220" s="3" t="s">
        <v>137</v>
      </c>
      <c r="I220" s="3" t="s">
        <v>138</v>
      </c>
      <c r="J220" s="3" t="s">
        <v>139</v>
      </c>
      <c r="K220" s="3" t="s">
        <v>45</v>
      </c>
      <c r="L220" s="3" t="s">
        <v>46</v>
      </c>
      <c r="M220" s="1" t="s">
        <v>115</v>
      </c>
      <c r="N220" s="1" t="s">
        <v>116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119</v>
      </c>
      <c r="V220" s="1" t="s">
        <v>140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142</v>
      </c>
      <c r="AF220" s="6" t="s">
        <v>49</v>
      </c>
      <c r="AG220" s="6" t="s">
        <v>49</v>
      </c>
      <c r="AH220" s="1" t="s">
        <v>123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 t="s">
        <v>49</v>
      </c>
      <c r="AS220" s="6">
        <v>0.48</v>
      </c>
      <c r="AT220" s="6" t="s">
        <v>49</v>
      </c>
      <c r="AU220" s="6" t="s">
        <v>49</v>
      </c>
      <c r="AV220" s="6" t="s">
        <v>49</v>
      </c>
      <c r="AW220" s="30" t="s">
        <v>49</v>
      </c>
    </row>
    <row r="221" spans="1:49" ht="14.4" customHeight="1">
      <c r="A221" s="1">
        <v>5</v>
      </c>
      <c r="B221" s="1" t="s">
        <v>38</v>
      </c>
      <c r="C221" s="1" t="s">
        <v>38</v>
      </c>
      <c r="D221" s="3" t="s">
        <v>136</v>
      </c>
      <c r="E221" s="3" t="s">
        <v>40</v>
      </c>
      <c r="F221" s="3">
        <v>2003</v>
      </c>
      <c r="G221" s="3" t="s">
        <v>110</v>
      </c>
      <c r="H221" s="3" t="s">
        <v>137</v>
      </c>
      <c r="I221" s="3" t="s">
        <v>138</v>
      </c>
      <c r="J221" s="3" t="s">
        <v>139</v>
      </c>
      <c r="K221" s="3" t="s">
        <v>45</v>
      </c>
      <c r="L221" s="3" t="s">
        <v>46</v>
      </c>
      <c r="M221" s="1" t="s">
        <v>115</v>
      </c>
      <c r="N221" s="1" t="s">
        <v>116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119</v>
      </c>
      <c r="V221" s="1" t="s">
        <v>140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84</v>
      </c>
      <c r="AF221" s="6" t="s">
        <v>49</v>
      </c>
      <c r="AG221" s="6" t="s">
        <v>49</v>
      </c>
      <c r="AH221" s="1" t="s">
        <v>123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 t="s">
        <v>49</v>
      </c>
      <c r="AS221" s="6">
        <v>0.42599999999999999</v>
      </c>
      <c r="AT221" s="6" t="s">
        <v>49</v>
      </c>
      <c r="AU221" s="6" t="s">
        <v>49</v>
      </c>
      <c r="AV221" s="6" t="s">
        <v>49</v>
      </c>
      <c r="AW221" s="30" t="s">
        <v>49</v>
      </c>
    </row>
    <row r="222" spans="1:49" ht="14.4" customHeight="1">
      <c r="A222" s="1">
        <v>5</v>
      </c>
      <c r="B222" s="1" t="s">
        <v>38</v>
      </c>
      <c r="C222" s="1" t="s">
        <v>38</v>
      </c>
      <c r="D222" s="3" t="s">
        <v>136</v>
      </c>
      <c r="E222" s="3" t="s">
        <v>40</v>
      </c>
      <c r="F222" s="3">
        <v>2003</v>
      </c>
      <c r="G222" s="3" t="s">
        <v>110</v>
      </c>
      <c r="H222" s="3" t="s">
        <v>137</v>
      </c>
      <c r="I222" s="3" t="s">
        <v>138</v>
      </c>
      <c r="J222" s="3" t="s">
        <v>139</v>
      </c>
      <c r="K222" s="3" t="s">
        <v>45</v>
      </c>
      <c r="L222" s="3" t="s">
        <v>46</v>
      </c>
      <c r="M222" s="1" t="s">
        <v>115</v>
      </c>
      <c r="N222" s="1" t="s">
        <v>116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119</v>
      </c>
      <c r="V222" s="1" t="s">
        <v>140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143</v>
      </c>
      <c r="AE222" s="1" t="s">
        <v>142</v>
      </c>
      <c r="AF222" s="6" t="s">
        <v>49</v>
      </c>
      <c r="AG222" s="6" t="s">
        <v>49</v>
      </c>
      <c r="AH222" s="1" t="s">
        <v>123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 t="s">
        <v>49</v>
      </c>
      <c r="AS222" s="6">
        <v>0.49</v>
      </c>
      <c r="AT222" s="6" t="s">
        <v>49</v>
      </c>
      <c r="AU222" s="6" t="s">
        <v>49</v>
      </c>
      <c r="AV222" s="6" t="s">
        <v>49</v>
      </c>
      <c r="AW222" s="30" t="s">
        <v>49</v>
      </c>
    </row>
    <row r="223" spans="1:49" ht="14.4" customHeight="1">
      <c r="A223" s="1">
        <v>5</v>
      </c>
      <c r="B223" s="1" t="s">
        <v>38</v>
      </c>
      <c r="C223" s="1" t="s">
        <v>38</v>
      </c>
      <c r="D223" s="3" t="s">
        <v>136</v>
      </c>
      <c r="E223" s="3" t="s">
        <v>40</v>
      </c>
      <c r="F223" s="3">
        <v>2003</v>
      </c>
      <c r="G223" s="3" t="s">
        <v>110</v>
      </c>
      <c r="H223" s="3" t="s">
        <v>137</v>
      </c>
      <c r="I223" s="3" t="s">
        <v>138</v>
      </c>
      <c r="J223" s="3" t="s">
        <v>139</v>
      </c>
      <c r="K223" s="3" t="s">
        <v>45</v>
      </c>
      <c r="L223" s="3" t="s">
        <v>46</v>
      </c>
      <c r="M223" s="1" t="s">
        <v>115</v>
      </c>
      <c r="N223" s="1" t="s">
        <v>116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119</v>
      </c>
      <c r="V223" s="1" t="s">
        <v>140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143</v>
      </c>
      <c r="AE223" s="1" t="s">
        <v>84</v>
      </c>
      <c r="AF223" s="6" t="s">
        <v>49</v>
      </c>
      <c r="AG223" s="6" t="s">
        <v>49</v>
      </c>
      <c r="AH223" s="1" t="s">
        <v>123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 t="s">
        <v>49</v>
      </c>
      <c r="AS223" s="6">
        <v>0.33900000000000002</v>
      </c>
      <c r="AT223" s="6" t="s">
        <v>49</v>
      </c>
      <c r="AU223" s="6" t="s">
        <v>49</v>
      </c>
      <c r="AV223" s="6" t="s">
        <v>49</v>
      </c>
      <c r="AW223" s="30" t="s">
        <v>49</v>
      </c>
    </row>
    <row r="224" spans="1:49" ht="14.4" customHeight="1">
      <c r="A224" s="1">
        <v>5</v>
      </c>
      <c r="B224" s="1" t="s">
        <v>38</v>
      </c>
      <c r="C224" s="1" t="s">
        <v>38</v>
      </c>
      <c r="D224" s="3" t="s">
        <v>136</v>
      </c>
      <c r="E224" s="3" t="s">
        <v>40</v>
      </c>
      <c r="F224" s="3">
        <v>2003</v>
      </c>
      <c r="G224" s="3" t="s">
        <v>110</v>
      </c>
      <c r="H224" s="3" t="s">
        <v>137</v>
      </c>
      <c r="I224" s="3" t="s">
        <v>138</v>
      </c>
      <c r="J224" s="3" t="s">
        <v>139</v>
      </c>
      <c r="K224" s="3" t="s">
        <v>45</v>
      </c>
      <c r="L224" s="3" t="s">
        <v>46</v>
      </c>
      <c r="M224" s="1" t="s">
        <v>115</v>
      </c>
      <c r="N224" s="1" t="s">
        <v>116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119</v>
      </c>
      <c r="V224" s="1" t="s">
        <v>140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142</v>
      </c>
      <c r="AE224" s="1" t="s">
        <v>84</v>
      </c>
      <c r="AF224" s="6" t="s">
        <v>49</v>
      </c>
      <c r="AG224" s="6" t="s">
        <v>49</v>
      </c>
      <c r="AH224" s="1" t="s">
        <v>123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 t="s">
        <v>49</v>
      </c>
      <c r="AS224" s="6">
        <v>0.46100000000000002</v>
      </c>
      <c r="AT224" s="6" t="s">
        <v>49</v>
      </c>
      <c r="AU224" s="6" t="s">
        <v>49</v>
      </c>
      <c r="AV224" s="6" t="s">
        <v>49</v>
      </c>
      <c r="AW224" s="30" t="s">
        <v>49</v>
      </c>
    </row>
    <row r="225" spans="1:49" ht="14.4" customHeight="1">
      <c r="A225" s="1">
        <v>5</v>
      </c>
      <c r="B225" s="1" t="s">
        <v>38</v>
      </c>
      <c r="C225" s="1" t="s">
        <v>38</v>
      </c>
      <c r="D225" s="3" t="s">
        <v>136</v>
      </c>
      <c r="E225" s="3" t="s">
        <v>40</v>
      </c>
      <c r="F225" s="3">
        <v>2003</v>
      </c>
      <c r="G225" s="3" t="s">
        <v>110</v>
      </c>
      <c r="H225" s="3" t="s">
        <v>137</v>
      </c>
      <c r="I225" s="3" t="s">
        <v>138</v>
      </c>
      <c r="J225" s="3" t="s">
        <v>139</v>
      </c>
      <c r="K225" s="3" t="s">
        <v>45</v>
      </c>
      <c r="L225" s="3" t="s">
        <v>46</v>
      </c>
      <c r="M225" s="1" t="s">
        <v>115</v>
      </c>
      <c r="N225" s="1" t="s">
        <v>116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119</v>
      </c>
      <c r="V225" s="1" t="s">
        <v>140</v>
      </c>
      <c r="W225" s="1">
        <v>42.11</v>
      </c>
      <c r="X225" s="1">
        <v>-75.91</v>
      </c>
      <c r="Y225" s="3" t="s">
        <v>141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84</v>
      </c>
      <c r="AE225" s="1" t="s">
        <v>84</v>
      </c>
      <c r="AF225" s="1" t="s">
        <v>60</v>
      </c>
      <c r="AG225" s="1" t="s">
        <v>61</v>
      </c>
      <c r="AH225" s="1" t="s">
        <v>123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6" t="s">
        <v>49</v>
      </c>
      <c r="AS225" s="1">
        <v>1.0820000000000001</v>
      </c>
      <c r="AT225" s="4">
        <v>0.8488664651458725</v>
      </c>
      <c r="AU225" s="5">
        <v>0</v>
      </c>
      <c r="AV225" s="4">
        <v>1.5204281048546218</v>
      </c>
      <c r="AW225" s="29" t="s">
        <v>144</v>
      </c>
    </row>
    <row r="226" spans="1:49" ht="14.4" customHeight="1">
      <c r="A226" s="1">
        <v>5</v>
      </c>
      <c r="B226" s="1" t="s">
        <v>38</v>
      </c>
      <c r="C226" s="1" t="s">
        <v>38</v>
      </c>
      <c r="D226" s="3" t="s">
        <v>136</v>
      </c>
      <c r="E226" s="3" t="s">
        <v>40</v>
      </c>
      <c r="F226" s="3">
        <v>2003</v>
      </c>
      <c r="G226" s="3" t="s">
        <v>110</v>
      </c>
      <c r="H226" s="3" t="s">
        <v>137</v>
      </c>
      <c r="I226" s="3" t="s">
        <v>138</v>
      </c>
      <c r="J226" s="3" t="s">
        <v>139</v>
      </c>
      <c r="K226" s="3" t="s">
        <v>45</v>
      </c>
      <c r="L226" s="3" t="s">
        <v>46</v>
      </c>
      <c r="M226" s="1" t="s">
        <v>115</v>
      </c>
      <c r="N226" s="1" t="s">
        <v>116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119</v>
      </c>
      <c r="V226" s="1" t="s">
        <v>140</v>
      </c>
      <c r="W226" s="1">
        <v>42.11</v>
      </c>
      <c r="X226" s="1">
        <v>-75.91</v>
      </c>
      <c r="Y226" s="3" t="s">
        <v>141</v>
      </c>
      <c r="Z226" s="1" t="s">
        <v>49</v>
      </c>
      <c r="AA226" s="1" t="s">
        <v>50</v>
      </c>
      <c r="AB226" s="1" t="s">
        <v>57</v>
      </c>
      <c r="AC226" s="1" t="s">
        <v>86</v>
      </c>
      <c r="AD226" s="1" t="s">
        <v>142</v>
      </c>
      <c r="AE226" s="1" t="s">
        <v>142</v>
      </c>
      <c r="AF226" s="1" t="s">
        <v>60</v>
      </c>
      <c r="AG226" s="1" t="s">
        <v>61</v>
      </c>
      <c r="AH226" s="1" t="s">
        <v>123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6" t="s">
        <v>49</v>
      </c>
      <c r="AS226" s="1">
        <v>0.151</v>
      </c>
      <c r="AT226" s="4">
        <v>0.19235766806455068</v>
      </c>
      <c r="AU226" s="5">
        <v>0</v>
      </c>
      <c r="AV226" s="4">
        <v>3.04332760931266</v>
      </c>
      <c r="AW226" s="29" t="s">
        <v>144</v>
      </c>
    </row>
    <row r="227" spans="1:49" ht="14.4" customHeight="1">
      <c r="A227" s="1">
        <v>5</v>
      </c>
      <c r="B227" s="1" t="s">
        <v>38</v>
      </c>
      <c r="C227" s="1" t="s">
        <v>38</v>
      </c>
      <c r="D227" s="3" t="s">
        <v>136</v>
      </c>
      <c r="E227" s="3" t="s">
        <v>40</v>
      </c>
      <c r="F227" s="3">
        <v>2003</v>
      </c>
      <c r="G227" s="3" t="s">
        <v>110</v>
      </c>
      <c r="H227" s="3" t="s">
        <v>137</v>
      </c>
      <c r="I227" s="3" t="s">
        <v>138</v>
      </c>
      <c r="J227" s="3" t="s">
        <v>139</v>
      </c>
      <c r="K227" s="3" t="s">
        <v>45</v>
      </c>
      <c r="L227" s="3" t="s">
        <v>46</v>
      </c>
      <c r="M227" s="1" t="s">
        <v>115</v>
      </c>
      <c r="N227" s="1" t="s">
        <v>116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119</v>
      </c>
      <c r="V227" s="1" t="s">
        <v>140</v>
      </c>
      <c r="W227" s="1">
        <v>42.11</v>
      </c>
      <c r="X227" s="1">
        <v>-75.91</v>
      </c>
      <c r="Y227" s="3" t="s">
        <v>141</v>
      </c>
      <c r="Z227" s="1" t="s">
        <v>49</v>
      </c>
      <c r="AA227" s="1" t="s">
        <v>50</v>
      </c>
      <c r="AB227" s="1" t="s">
        <v>57</v>
      </c>
      <c r="AC227" s="1" t="s">
        <v>86</v>
      </c>
      <c r="AD227" s="1" t="s">
        <v>143</v>
      </c>
      <c r="AE227" s="1" t="s">
        <v>143</v>
      </c>
      <c r="AF227" s="1" t="s">
        <v>60</v>
      </c>
      <c r="AG227" s="1" t="s">
        <v>61</v>
      </c>
      <c r="AH227" s="1" t="s">
        <v>123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6" t="s">
        <v>49</v>
      </c>
      <c r="AS227" s="1">
        <v>9.0999999999999998E-2</v>
      </c>
      <c r="AT227" s="4">
        <v>0.20332423960085885</v>
      </c>
      <c r="AU227" s="5">
        <v>0</v>
      </c>
      <c r="AV227" s="4">
        <v>5.31547654956531</v>
      </c>
      <c r="AW227" s="29" t="s">
        <v>144</v>
      </c>
    </row>
    <row r="228" spans="1:49" ht="14.4" customHeight="1">
      <c r="A228" s="1">
        <v>5</v>
      </c>
      <c r="B228" s="1" t="s">
        <v>38</v>
      </c>
      <c r="C228" s="1" t="s">
        <v>38</v>
      </c>
      <c r="D228" s="3" t="s">
        <v>136</v>
      </c>
      <c r="E228" s="3" t="s">
        <v>40</v>
      </c>
      <c r="F228" s="3">
        <v>2003</v>
      </c>
      <c r="G228" s="3" t="s">
        <v>110</v>
      </c>
      <c r="H228" s="3" t="s">
        <v>137</v>
      </c>
      <c r="I228" s="3" t="s">
        <v>138</v>
      </c>
      <c r="J228" s="3" t="s">
        <v>139</v>
      </c>
      <c r="K228" s="3" t="s">
        <v>45</v>
      </c>
      <c r="L228" s="3" t="s">
        <v>46</v>
      </c>
      <c r="M228" s="1" t="s">
        <v>115</v>
      </c>
      <c r="N228" s="1" t="s">
        <v>116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119</v>
      </c>
      <c r="V228" s="1" t="s">
        <v>140</v>
      </c>
      <c r="W228" s="1">
        <v>42.11</v>
      </c>
      <c r="X228" s="1">
        <v>-75.91</v>
      </c>
      <c r="Y228" s="3" t="s">
        <v>141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123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6" t="s">
        <v>49</v>
      </c>
      <c r="AS228" s="1">
        <v>0.13200000000000001</v>
      </c>
      <c r="AT228" s="4">
        <v>0.15595463137996224</v>
      </c>
      <c r="AU228" s="5">
        <v>0</v>
      </c>
      <c r="AV228" s="4">
        <v>1.7816635160680536</v>
      </c>
      <c r="AW228" s="29" t="s">
        <v>144</v>
      </c>
    </row>
    <row r="229" spans="1:49" ht="14.4" customHeight="1">
      <c r="A229" s="1">
        <v>5</v>
      </c>
      <c r="B229" s="1" t="s">
        <v>38</v>
      </c>
      <c r="C229" s="1" t="s">
        <v>38</v>
      </c>
      <c r="D229" s="3" t="s">
        <v>136</v>
      </c>
      <c r="E229" s="3" t="s">
        <v>40</v>
      </c>
      <c r="F229" s="3">
        <v>2003</v>
      </c>
      <c r="G229" s="3" t="s">
        <v>110</v>
      </c>
      <c r="H229" s="3" t="s">
        <v>137</v>
      </c>
      <c r="I229" s="3" t="s">
        <v>138</v>
      </c>
      <c r="J229" s="3" t="s">
        <v>139</v>
      </c>
      <c r="K229" s="3" t="s">
        <v>45</v>
      </c>
      <c r="L229" s="3" t="s">
        <v>46</v>
      </c>
      <c r="M229" s="1" t="s">
        <v>115</v>
      </c>
      <c r="N229" s="1" t="s">
        <v>116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119</v>
      </c>
      <c r="V229" s="1" t="s">
        <v>140</v>
      </c>
      <c r="W229" s="1">
        <v>42.11</v>
      </c>
      <c r="X229" s="1">
        <v>-75.91</v>
      </c>
      <c r="Y229" s="3" t="s">
        <v>141</v>
      </c>
      <c r="Z229" s="1" t="s">
        <v>49</v>
      </c>
      <c r="AA229" s="1" t="s">
        <v>50</v>
      </c>
      <c r="AB229" s="1" t="s">
        <v>66</v>
      </c>
      <c r="AC229" s="1" t="s">
        <v>124</v>
      </c>
      <c r="AD229" s="1" t="s">
        <v>126</v>
      </c>
      <c r="AE229" s="1" t="s">
        <v>126</v>
      </c>
      <c r="AF229" s="1" t="s">
        <v>60</v>
      </c>
      <c r="AG229" s="1" t="s">
        <v>61</v>
      </c>
      <c r="AH229" s="1" t="s">
        <v>123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6" t="s">
        <v>49</v>
      </c>
      <c r="AS229" s="1">
        <v>0.19800000000000001</v>
      </c>
      <c r="AT229" s="4">
        <v>0.33308604218080518</v>
      </c>
      <c r="AU229" s="5">
        <v>0</v>
      </c>
      <c r="AV229" s="4">
        <v>2.2575831747810127</v>
      </c>
      <c r="AW229" s="29" t="s">
        <v>144</v>
      </c>
    </row>
    <row r="230" spans="1:49" ht="14.4" customHeight="1">
      <c r="A230" s="1">
        <v>5</v>
      </c>
      <c r="B230" s="1" t="s">
        <v>38</v>
      </c>
      <c r="C230" s="1" t="s">
        <v>38</v>
      </c>
      <c r="D230" s="3" t="s">
        <v>136</v>
      </c>
      <c r="E230" s="3" t="s">
        <v>40</v>
      </c>
      <c r="F230" s="3">
        <v>2003</v>
      </c>
      <c r="G230" s="3" t="s">
        <v>110</v>
      </c>
      <c r="H230" s="3" t="s">
        <v>137</v>
      </c>
      <c r="I230" s="3" t="s">
        <v>138</v>
      </c>
      <c r="J230" s="3" t="s">
        <v>139</v>
      </c>
      <c r="K230" s="3" t="s">
        <v>45</v>
      </c>
      <c r="L230" s="3" t="s">
        <v>46</v>
      </c>
      <c r="M230" s="1" t="s">
        <v>115</v>
      </c>
      <c r="N230" s="1" t="s">
        <v>116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119</v>
      </c>
      <c r="V230" s="1" t="s">
        <v>140</v>
      </c>
      <c r="W230" s="1">
        <v>42.11</v>
      </c>
      <c r="X230" s="1">
        <v>-75.91</v>
      </c>
      <c r="Y230" s="3" t="s">
        <v>141</v>
      </c>
      <c r="Z230" s="1" t="s">
        <v>49</v>
      </c>
      <c r="AA230" s="1" t="s">
        <v>50</v>
      </c>
      <c r="AB230" s="1" t="s">
        <v>66</v>
      </c>
      <c r="AC230" s="1" t="s">
        <v>124</v>
      </c>
      <c r="AD230" s="1" t="s">
        <v>125</v>
      </c>
      <c r="AE230" s="1" t="s">
        <v>125</v>
      </c>
      <c r="AF230" s="1" t="s">
        <v>60</v>
      </c>
      <c r="AG230" s="1" t="s">
        <v>61</v>
      </c>
      <c r="AH230" s="1" t="s">
        <v>123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6" t="s">
        <v>49</v>
      </c>
      <c r="AS230" s="1">
        <v>0.47499999999999998</v>
      </c>
      <c r="AT230" s="4">
        <v>1.000587713625477</v>
      </c>
      <c r="AU230" s="5">
        <v>0</v>
      </c>
      <c r="AV230" s="4">
        <v>1.6957328620389662</v>
      </c>
      <c r="AW230" s="29" t="s">
        <v>144</v>
      </c>
    </row>
    <row r="231" spans="1:49" ht="14.4" customHeight="1">
      <c r="A231" s="1">
        <v>5</v>
      </c>
      <c r="B231" s="1" t="s">
        <v>38</v>
      </c>
      <c r="C231" s="1" t="s">
        <v>38</v>
      </c>
      <c r="D231" s="3" t="s">
        <v>136</v>
      </c>
      <c r="E231" s="3" t="s">
        <v>40</v>
      </c>
      <c r="F231" s="3">
        <v>2003</v>
      </c>
      <c r="G231" s="3" t="s">
        <v>110</v>
      </c>
      <c r="H231" s="3" t="s">
        <v>137</v>
      </c>
      <c r="I231" s="3" t="s">
        <v>138</v>
      </c>
      <c r="J231" s="3" t="s">
        <v>139</v>
      </c>
      <c r="K231" s="3" t="s">
        <v>45</v>
      </c>
      <c r="L231" s="3" t="s">
        <v>46</v>
      </c>
      <c r="M231" s="1" t="s">
        <v>115</v>
      </c>
      <c r="N231" s="1" t="s">
        <v>116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119</v>
      </c>
      <c r="V231" s="1" t="s">
        <v>140</v>
      </c>
      <c r="W231" s="1">
        <v>42.11</v>
      </c>
      <c r="X231" s="1">
        <v>-75.91</v>
      </c>
      <c r="Y231" s="3" t="s">
        <v>141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126</v>
      </c>
      <c r="AE231" s="1" t="s">
        <v>125</v>
      </c>
      <c r="AF231" s="6" t="s">
        <v>49</v>
      </c>
      <c r="AG231" s="6" t="s">
        <v>49</v>
      </c>
      <c r="AH231" s="1" t="s">
        <v>123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6" t="s">
        <v>49</v>
      </c>
      <c r="AS231" s="1">
        <v>0.16500000000000001</v>
      </c>
      <c r="AT231" s="6" t="s">
        <v>49</v>
      </c>
      <c r="AU231" s="6" t="s">
        <v>49</v>
      </c>
      <c r="AV231" s="6" t="s">
        <v>49</v>
      </c>
      <c r="AW231" s="30" t="s">
        <v>49</v>
      </c>
    </row>
    <row r="232" spans="1:49" ht="14.4" customHeight="1">
      <c r="A232" s="1">
        <v>5</v>
      </c>
      <c r="B232" s="1" t="s">
        <v>38</v>
      </c>
      <c r="C232" s="1" t="s">
        <v>38</v>
      </c>
      <c r="D232" s="3" t="s">
        <v>136</v>
      </c>
      <c r="E232" s="3" t="s">
        <v>40</v>
      </c>
      <c r="F232" s="3">
        <v>2003</v>
      </c>
      <c r="G232" s="3" t="s">
        <v>110</v>
      </c>
      <c r="H232" s="3" t="s">
        <v>137</v>
      </c>
      <c r="I232" s="3" t="s">
        <v>138</v>
      </c>
      <c r="J232" s="3" t="s">
        <v>139</v>
      </c>
      <c r="K232" s="3" t="s">
        <v>45</v>
      </c>
      <c r="L232" s="3" t="s">
        <v>46</v>
      </c>
      <c r="M232" s="1" t="s">
        <v>115</v>
      </c>
      <c r="N232" s="1" t="s">
        <v>116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119</v>
      </c>
      <c r="V232" s="1" t="s">
        <v>140</v>
      </c>
      <c r="W232" s="1">
        <v>42.11</v>
      </c>
      <c r="X232" s="1">
        <v>-75.91</v>
      </c>
      <c r="Y232" s="3" t="s">
        <v>141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126</v>
      </c>
      <c r="AE232" s="1" t="s">
        <v>62</v>
      </c>
      <c r="AF232" s="6" t="s">
        <v>49</v>
      </c>
      <c r="AG232" s="6" t="s">
        <v>49</v>
      </c>
      <c r="AH232" s="1" t="s">
        <v>123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6" t="s">
        <v>49</v>
      </c>
      <c r="AS232" s="1">
        <v>0.03</v>
      </c>
      <c r="AT232" s="6" t="s">
        <v>49</v>
      </c>
      <c r="AU232" s="6" t="s">
        <v>49</v>
      </c>
      <c r="AV232" s="6" t="s">
        <v>49</v>
      </c>
      <c r="AW232" s="30" t="s">
        <v>49</v>
      </c>
    </row>
    <row r="233" spans="1:49" ht="14.4" customHeight="1">
      <c r="A233" s="1">
        <v>5</v>
      </c>
      <c r="B233" s="1" t="s">
        <v>38</v>
      </c>
      <c r="C233" s="1" t="s">
        <v>38</v>
      </c>
      <c r="D233" s="3" t="s">
        <v>136</v>
      </c>
      <c r="E233" s="3" t="s">
        <v>40</v>
      </c>
      <c r="F233" s="3">
        <v>2003</v>
      </c>
      <c r="G233" s="3" t="s">
        <v>110</v>
      </c>
      <c r="H233" s="3" t="s">
        <v>137</v>
      </c>
      <c r="I233" s="3" t="s">
        <v>138</v>
      </c>
      <c r="J233" s="3" t="s">
        <v>139</v>
      </c>
      <c r="K233" s="3" t="s">
        <v>45</v>
      </c>
      <c r="L233" s="3" t="s">
        <v>46</v>
      </c>
      <c r="M233" s="1" t="s">
        <v>115</v>
      </c>
      <c r="N233" s="1" t="s">
        <v>116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119</v>
      </c>
      <c r="V233" s="1" t="s">
        <v>140</v>
      </c>
      <c r="W233" s="1">
        <v>42.11</v>
      </c>
      <c r="X233" s="1">
        <v>-75.91</v>
      </c>
      <c r="Y233" s="3" t="s">
        <v>141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126</v>
      </c>
      <c r="AE233" s="1" t="s">
        <v>143</v>
      </c>
      <c r="AF233" s="6" t="s">
        <v>49</v>
      </c>
      <c r="AG233" s="6" t="s">
        <v>49</v>
      </c>
      <c r="AH233" s="1" t="s">
        <v>123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6" t="s">
        <v>49</v>
      </c>
      <c r="AS233" s="1">
        <v>-3.7999999999999999E-2</v>
      </c>
      <c r="AT233" s="6" t="s">
        <v>49</v>
      </c>
      <c r="AU233" s="6" t="s">
        <v>49</v>
      </c>
      <c r="AV233" s="6" t="s">
        <v>49</v>
      </c>
      <c r="AW233" s="30" t="s">
        <v>49</v>
      </c>
    </row>
    <row r="234" spans="1:49" ht="14.4" customHeight="1">
      <c r="A234" s="1">
        <v>5</v>
      </c>
      <c r="B234" s="1" t="s">
        <v>38</v>
      </c>
      <c r="C234" s="1" t="s">
        <v>38</v>
      </c>
      <c r="D234" s="3" t="s">
        <v>136</v>
      </c>
      <c r="E234" s="3" t="s">
        <v>40</v>
      </c>
      <c r="F234" s="3">
        <v>2003</v>
      </c>
      <c r="G234" s="3" t="s">
        <v>110</v>
      </c>
      <c r="H234" s="3" t="s">
        <v>137</v>
      </c>
      <c r="I234" s="3" t="s">
        <v>138</v>
      </c>
      <c r="J234" s="3" t="s">
        <v>139</v>
      </c>
      <c r="K234" s="3" t="s">
        <v>45</v>
      </c>
      <c r="L234" s="3" t="s">
        <v>46</v>
      </c>
      <c r="M234" s="1" t="s">
        <v>115</v>
      </c>
      <c r="N234" s="1" t="s">
        <v>116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119</v>
      </c>
      <c r="V234" s="1" t="s">
        <v>140</v>
      </c>
      <c r="W234" s="1">
        <v>42.11</v>
      </c>
      <c r="X234" s="1">
        <v>-75.91</v>
      </c>
      <c r="Y234" s="3" t="s">
        <v>141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126</v>
      </c>
      <c r="AE234" s="1" t="s">
        <v>142</v>
      </c>
      <c r="AF234" s="6" t="s">
        <v>49</v>
      </c>
      <c r="AG234" s="6" t="s">
        <v>49</v>
      </c>
      <c r="AH234" s="1" t="s">
        <v>123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6" t="s">
        <v>49</v>
      </c>
      <c r="AS234" s="1">
        <v>-5.6000000000000001E-2</v>
      </c>
      <c r="AT234" s="6" t="s">
        <v>49</v>
      </c>
      <c r="AU234" s="6" t="s">
        <v>49</v>
      </c>
      <c r="AV234" s="6" t="s">
        <v>49</v>
      </c>
      <c r="AW234" s="30" t="s">
        <v>49</v>
      </c>
    </row>
    <row r="235" spans="1:49" ht="14.4" customHeight="1">
      <c r="A235" s="1">
        <v>5</v>
      </c>
      <c r="B235" s="1" t="s">
        <v>38</v>
      </c>
      <c r="C235" s="1" t="s">
        <v>38</v>
      </c>
      <c r="D235" s="3" t="s">
        <v>136</v>
      </c>
      <c r="E235" s="3" t="s">
        <v>40</v>
      </c>
      <c r="F235" s="3">
        <v>2003</v>
      </c>
      <c r="G235" s="3" t="s">
        <v>110</v>
      </c>
      <c r="H235" s="3" t="s">
        <v>137</v>
      </c>
      <c r="I235" s="3" t="s">
        <v>138</v>
      </c>
      <c r="J235" s="3" t="s">
        <v>139</v>
      </c>
      <c r="K235" s="3" t="s">
        <v>45</v>
      </c>
      <c r="L235" s="3" t="s">
        <v>46</v>
      </c>
      <c r="M235" s="1" t="s">
        <v>115</v>
      </c>
      <c r="N235" s="1" t="s">
        <v>116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119</v>
      </c>
      <c r="V235" s="1" t="s">
        <v>140</v>
      </c>
      <c r="W235" s="1">
        <v>42.11</v>
      </c>
      <c r="X235" s="1">
        <v>-75.91</v>
      </c>
      <c r="Y235" s="3" t="s">
        <v>141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126</v>
      </c>
      <c r="AE235" s="1" t="s">
        <v>84</v>
      </c>
      <c r="AF235" s="6" t="s">
        <v>49</v>
      </c>
      <c r="AG235" s="6" t="s">
        <v>49</v>
      </c>
      <c r="AH235" s="1" t="s">
        <v>123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6" t="s">
        <v>49</v>
      </c>
      <c r="AS235" s="1">
        <v>0.251</v>
      </c>
      <c r="AT235" s="6" t="s">
        <v>49</v>
      </c>
      <c r="AU235" s="6" t="s">
        <v>49</v>
      </c>
      <c r="AV235" s="6" t="s">
        <v>49</v>
      </c>
      <c r="AW235" s="30" t="s">
        <v>49</v>
      </c>
    </row>
    <row r="236" spans="1:49" ht="14.4" customHeight="1">
      <c r="A236" s="1">
        <v>5</v>
      </c>
      <c r="B236" s="1" t="s">
        <v>38</v>
      </c>
      <c r="C236" s="1" t="s">
        <v>38</v>
      </c>
      <c r="D236" s="3" t="s">
        <v>136</v>
      </c>
      <c r="E236" s="3" t="s">
        <v>40</v>
      </c>
      <c r="F236" s="3">
        <v>2003</v>
      </c>
      <c r="G236" s="3" t="s">
        <v>110</v>
      </c>
      <c r="H236" s="3" t="s">
        <v>137</v>
      </c>
      <c r="I236" s="3" t="s">
        <v>138</v>
      </c>
      <c r="J236" s="3" t="s">
        <v>139</v>
      </c>
      <c r="K236" s="3" t="s">
        <v>45</v>
      </c>
      <c r="L236" s="3" t="s">
        <v>46</v>
      </c>
      <c r="M236" s="1" t="s">
        <v>115</v>
      </c>
      <c r="N236" s="1" t="s">
        <v>116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119</v>
      </c>
      <c r="V236" s="1" t="s">
        <v>140</v>
      </c>
      <c r="W236" s="1">
        <v>42.11</v>
      </c>
      <c r="X236" s="1">
        <v>-75.91</v>
      </c>
      <c r="Y236" s="3" t="s">
        <v>141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125</v>
      </c>
      <c r="AE236" s="1" t="s">
        <v>62</v>
      </c>
      <c r="AF236" s="6" t="s">
        <v>49</v>
      </c>
      <c r="AG236" s="6" t="s">
        <v>49</v>
      </c>
      <c r="AH236" s="1" t="s">
        <v>123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6" t="s">
        <v>49</v>
      </c>
      <c r="AS236" s="1">
        <v>8.2000000000000003E-2</v>
      </c>
      <c r="AT236" s="6" t="s">
        <v>49</v>
      </c>
      <c r="AU236" s="6" t="s">
        <v>49</v>
      </c>
      <c r="AV236" s="6" t="s">
        <v>49</v>
      </c>
      <c r="AW236" s="30" t="s">
        <v>49</v>
      </c>
    </row>
    <row r="237" spans="1:49" ht="14.4" customHeight="1">
      <c r="A237" s="1">
        <v>5</v>
      </c>
      <c r="B237" s="1" t="s">
        <v>38</v>
      </c>
      <c r="C237" s="1" t="s">
        <v>38</v>
      </c>
      <c r="D237" s="3" t="s">
        <v>136</v>
      </c>
      <c r="E237" s="3" t="s">
        <v>40</v>
      </c>
      <c r="F237" s="3">
        <v>2003</v>
      </c>
      <c r="G237" s="3" t="s">
        <v>110</v>
      </c>
      <c r="H237" s="3" t="s">
        <v>137</v>
      </c>
      <c r="I237" s="3" t="s">
        <v>138</v>
      </c>
      <c r="J237" s="3" t="s">
        <v>139</v>
      </c>
      <c r="K237" s="3" t="s">
        <v>45</v>
      </c>
      <c r="L237" s="3" t="s">
        <v>46</v>
      </c>
      <c r="M237" s="1" t="s">
        <v>115</v>
      </c>
      <c r="N237" s="1" t="s">
        <v>116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119</v>
      </c>
      <c r="V237" s="1" t="s">
        <v>140</v>
      </c>
      <c r="W237" s="1">
        <v>42.11</v>
      </c>
      <c r="X237" s="1">
        <v>-75.91</v>
      </c>
      <c r="Y237" s="3" t="s">
        <v>141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125</v>
      </c>
      <c r="AE237" s="1" t="s">
        <v>143</v>
      </c>
      <c r="AF237" s="6" t="s">
        <v>49</v>
      </c>
      <c r="AG237" s="6" t="s">
        <v>49</v>
      </c>
      <c r="AH237" s="1" t="s">
        <v>123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6" t="s">
        <v>49</v>
      </c>
      <c r="AS237" s="1">
        <v>5.3999999999999999E-2</v>
      </c>
      <c r="AT237" s="6" t="s">
        <v>49</v>
      </c>
      <c r="AU237" s="6" t="s">
        <v>49</v>
      </c>
      <c r="AV237" s="6" t="s">
        <v>49</v>
      </c>
      <c r="AW237" s="30" t="s">
        <v>49</v>
      </c>
    </row>
    <row r="238" spans="1:49" ht="14.4" customHeight="1">
      <c r="A238" s="1">
        <v>5</v>
      </c>
      <c r="B238" s="1" t="s">
        <v>38</v>
      </c>
      <c r="C238" s="1" t="s">
        <v>38</v>
      </c>
      <c r="D238" s="3" t="s">
        <v>136</v>
      </c>
      <c r="E238" s="3" t="s">
        <v>40</v>
      </c>
      <c r="F238" s="3">
        <v>2003</v>
      </c>
      <c r="G238" s="3" t="s">
        <v>110</v>
      </c>
      <c r="H238" s="3" t="s">
        <v>137</v>
      </c>
      <c r="I238" s="3" t="s">
        <v>138</v>
      </c>
      <c r="J238" s="3" t="s">
        <v>139</v>
      </c>
      <c r="K238" s="3" t="s">
        <v>45</v>
      </c>
      <c r="L238" s="3" t="s">
        <v>46</v>
      </c>
      <c r="M238" s="1" t="s">
        <v>115</v>
      </c>
      <c r="N238" s="1" t="s">
        <v>116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119</v>
      </c>
      <c r="V238" s="1" t="s">
        <v>140</v>
      </c>
      <c r="W238" s="1">
        <v>42.11</v>
      </c>
      <c r="X238" s="1">
        <v>-75.91</v>
      </c>
      <c r="Y238" s="3" t="s">
        <v>141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125</v>
      </c>
      <c r="AE238" s="1" t="s">
        <v>142</v>
      </c>
      <c r="AF238" s="6" t="s">
        <v>49</v>
      </c>
      <c r="AG238" s="6" t="s">
        <v>49</v>
      </c>
      <c r="AH238" s="1" t="s">
        <v>123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6" t="s">
        <v>49</v>
      </c>
      <c r="AS238" s="1">
        <v>-1E-3</v>
      </c>
      <c r="AT238" s="6" t="s">
        <v>49</v>
      </c>
      <c r="AU238" s="6" t="s">
        <v>49</v>
      </c>
      <c r="AV238" s="6" t="s">
        <v>49</v>
      </c>
      <c r="AW238" s="30" t="s">
        <v>49</v>
      </c>
    </row>
    <row r="239" spans="1:49" ht="14.4" customHeight="1">
      <c r="A239" s="1">
        <v>5</v>
      </c>
      <c r="B239" s="1" t="s">
        <v>38</v>
      </c>
      <c r="C239" s="1" t="s">
        <v>38</v>
      </c>
      <c r="D239" s="3" t="s">
        <v>136</v>
      </c>
      <c r="E239" s="3" t="s">
        <v>40</v>
      </c>
      <c r="F239" s="3">
        <v>2003</v>
      </c>
      <c r="G239" s="3" t="s">
        <v>110</v>
      </c>
      <c r="H239" s="3" t="s">
        <v>137</v>
      </c>
      <c r="I239" s="3" t="s">
        <v>138</v>
      </c>
      <c r="J239" s="3" t="s">
        <v>139</v>
      </c>
      <c r="K239" s="3" t="s">
        <v>45</v>
      </c>
      <c r="L239" s="3" t="s">
        <v>46</v>
      </c>
      <c r="M239" s="1" t="s">
        <v>115</v>
      </c>
      <c r="N239" s="1" t="s">
        <v>116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119</v>
      </c>
      <c r="V239" s="1" t="s">
        <v>140</v>
      </c>
      <c r="W239" s="1">
        <v>42.11</v>
      </c>
      <c r="X239" s="1">
        <v>-75.91</v>
      </c>
      <c r="Y239" s="3" t="s">
        <v>141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125</v>
      </c>
      <c r="AE239" s="1" t="s">
        <v>84</v>
      </c>
      <c r="AF239" s="6" t="s">
        <v>49</v>
      </c>
      <c r="AG239" s="6" t="s">
        <v>49</v>
      </c>
      <c r="AH239" s="1" t="s">
        <v>123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6" t="s">
        <v>49</v>
      </c>
      <c r="AS239" s="1">
        <v>0.27</v>
      </c>
      <c r="AT239" s="6" t="s">
        <v>49</v>
      </c>
      <c r="AU239" s="6" t="s">
        <v>49</v>
      </c>
      <c r="AV239" s="6" t="s">
        <v>49</v>
      </c>
      <c r="AW239" s="30" t="s">
        <v>49</v>
      </c>
    </row>
    <row r="240" spans="1:49" ht="14.4" customHeight="1">
      <c r="A240" s="1">
        <v>5</v>
      </c>
      <c r="B240" s="1" t="s">
        <v>38</v>
      </c>
      <c r="C240" s="1" t="s">
        <v>38</v>
      </c>
      <c r="D240" s="3" t="s">
        <v>136</v>
      </c>
      <c r="E240" s="3" t="s">
        <v>40</v>
      </c>
      <c r="F240" s="3">
        <v>2003</v>
      </c>
      <c r="G240" s="3" t="s">
        <v>110</v>
      </c>
      <c r="H240" s="3" t="s">
        <v>137</v>
      </c>
      <c r="I240" s="3" t="s">
        <v>138</v>
      </c>
      <c r="J240" s="3" t="s">
        <v>139</v>
      </c>
      <c r="K240" s="3" t="s">
        <v>45</v>
      </c>
      <c r="L240" s="3" t="s">
        <v>46</v>
      </c>
      <c r="M240" s="1" t="s">
        <v>115</v>
      </c>
      <c r="N240" s="1" t="s">
        <v>116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119</v>
      </c>
      <c r="V240" s="1" t="s">
        <v>140</v>
      </c>
      <c r="W240" s="1">
        <v>42.11</v>
      </c>
      <c r="X240" s="1">
        <v>-75.91</v>
      </c>
      <c r="Y240" s="3" t="s">
        <v>141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143</v>
      </c>
      <c r="AF240" s="6" t="s">
        <v>49</v>
      </c>
      <c r="AG240" s="6" t="s">
        <v>49</v>
      </c>
      <c r="AH240" s="1" t="s">
        <v>123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6" t="s">
        <v>49</v>
      </c>
      <c r="AS240" s="1">
        <v>8.8999999999999996E-2</v>
      </c>
      <c r="AT240" s="6" t="s">
        <v>49</v>
      </c>
      <c r="AU240" s="6" t="s">
        <v>49</v>
      </c>
      <c r="AV240" s="6" t="s">
        <v>49</v>
      </c>
      <c r="AW240" s="30" t="s">
        <v>49</v>
      </c>
    </row>
    <row r="241" spans="1:49" ht="14.4" customHeight="1">
      <c r="A241" s="1">
        <v>5</v>
      </c>
      <c r="B241" s="1" t="s">
        <v>38</v>
      </c>
      <c r="C241" s="1" t="s">
        <v>38</v>
      </c>
      <c r="D241" s="3" t="s">
        <v>136</v>
      </c>
      <c r="E241" s="3" t="s">
        <v>40</v>
      </c>
      <c r="F241" s="3">
        <v>2003</v>
      </c>
      <c r="G241" s="3" t="s">
        <v>110</v>
      </c>
      <c r="H241" s="3" t="s">
        <v>137</v>
      </c>
      <c r="I241" s="3" t="s">
        <v>138</v>
      </c>
      <c r="J241" s="3" t="s">
        <v>139</v>
      </c>
      <c r="K241" s="3" t="s">
        <v>45</v>
      </c>
      <c r="L241" s="3" t="s">
        <v>46</v>
      </c>
      <c r="M241" s="1" t="s">
        <v>115</v>
      </c>
      <c r="N241" s="1" t="s">
        <v>116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119</v>
      </c>
      <c r="V241" s="1" t="s">
        <v>140</v>
      </c>
      <c r="W241" s="1">
        <v>42.11</v>
      </c>
      <c r="X241" s="1">
        <v>-75.91</v>
      </c>
      <c r="Y241" s="3" t="s">
        <v>141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142</v>
      </c>
      <c r="AF241" s="6" t="s">
        <v>49</v>
      </c>
      <c r="AG241" s="6" t="s">
        <v>49</v>
      </c>
      <c r="AH241" s="1" t="s">
        <v>123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6" t="s">
        <v>49</v>
      </c>
      <c r="AS241" s="1">
        <v>8.5000000000000006E-2</v>
      </c>
      <c r="AT241" s="6" t="s">
        <v>49</v>
      </c>
      <c r="AU241" s="6" t="s">
        <v>49</v>
      </c>
      <c r="AV241" s="6" t="s">
        <v>49</v>
      </c>
      <c r="AW241" s="30" t="s">
        <v>49</v>
      </c>
    </row>
    <row r="242" spans="1:49" ht="14.4" customHeight="1">
      <c r="A242" s="1">
        <v>5</v>
      </c>
      <c r="B242" s="1" t="s">
        <v>38</v>
      </c>
      <c r="C242" s="1" t="s">
        <v>38</v>
      </c>
      <c r="D242" s="3" t="s">
        <v>136</v>
      </c>
      <c r="E242" s="3" t="s">
        <v>40</v>
      </c>
      <c r="F242" s="3">
        <v>2003</v>
      </c>
      <c r="G242" s="3" t="s">
        <v>110</v>
      </c>
      <c r="H242" s="3" t="s">
        <v>137</v>
      </c>
      <c r="I242" s="3" t="s">
        <v>138</v>
      </c>
      <c r="J242" s="3" t="s">
        <v>139</v>
      </c>
      <c r="K242" s="3" t="s">
        <v>45</v>
      </c>
      <c r="L242" s="3" t="s">
        <v>46</v>
      </c>
      <c r="M242" s="1" t="s">
        <v>115</v>
      </c>
      <c r="N242" s="1" t="s">
        <v>116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119</v>
      </c>
      <c r="V242" s="1" t="s">
        <v>140</v>
      </c>
      <c r="W242" s="1">
        <v>42.11</v>
      </c>
      <c r="X242" s="1">
        <v>-75.91</v>
      </c>
      <c r="Y242" s="3" t="s">
        <v>141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84</v>
      </c>
      <c r="AF242" s="6" t="s">
        <v>49</v>
      </c>
      <c r="AG242" s="6" t="s">
        <v>49</v>
      </c>
      <c r="AH242" s="1" t="s">
        <v>123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6" t="s">
        <v>49</v>
      </c>
      <c r="AS242" s="1">
        <v>0.27400000000000002</v>
      </c>
      <c r="AT242" s="6" t="s">
        <v>49</v>
      </c>
      <c r="AU242" s="6" t="s">
        <v>49</v>
      </c>
      <c r="AV242" s="6" t="s">
        <v>49</v>
      </c>
      <c r="AW242" s="30" t="s">
        <v>49</v>
      </c>
    </row>
    <row r="243" spans="1:49" ht="14.4" customHeight="1">
      <c r="A243" s="1">
        <v>5</v>
      </c>
      <c r="B243" s="1" t="s">
        <v>38</v>
      </c>
      <c r="C243" s="1" t="s">
        <v>38</v>
      </c>
      <c r="D243" s="3" t="s">
        <v>136</v>
      </c>
      <c r="E243" s="3" t="s">
        <v>40</v>
      </c>
      <c r="F243" s="3">
        <v>2003</v>
      </c>
      <c r="G243" s="3" t="s">
        <v>110</v>
      </c>
      <c r="H243" s="3" t="s">
        <v>137</v>
      </c>
      <c r="I243" s="3" t="s">
        <v>138</v>
      </c>
      <c r="J243" s="3" t="s">
        <v>139</v>
      </c>
      <c r="K243" s="3" t="s">
        <v>45</v>
      </c>
      <c r="L243" s="3" t="s">
        <v>46</v>
      </c>
      <c r="M243" s="1" t="s">
        <v>115</v>
      </c>
      <c r="N243" s="1" t="s">
        <v>116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119</v>
      </c>
      <c r="V243" s="1" t="s">
        <v>140</v>
      </c>
      <c r="W243" s="1">
        <v>42.11</v>
      </c>
      <c r="X243" s="1">
        <v>-75.91</v>
      </c>
      <c r="Y243" s="3" t="s">
        <v>141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143</v>
      </c>
      <c r="AE243" s="1" t="s">
        <v>142</v>
      </c>
      <c r="AF243" s="6" t="s">
        <v>49</v>
      </c>
      <c r="AG243" s="6" t="s">
        <v>49</v>
      </c>
      <c r="AH243" s="1" t="s">
        <v>123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6" t="s">
        <v>49</v>
      </c>
      <c r="AS243" s="1">
        <v>0.10299999999999999</v>
      </c>
      <c r="AT243" s="6" t="s">
        <v>49</v>
      </c>
      <c r="AU243" s="6" t="s">
        <v>49</v>
      </c>
      <c r="AV243" s="6" t="s">
        <v>49</v>
      </c>
      <c r="AW243" s="30" t="s">
        <v>49</v>
      </c>
    </row>
    <row r="244" spans="1:49" ht="14.4" customHeight="1">
      <c r="A244" s="1">
        <v>5</v>
      </c>
      <c r="B244" s="1" t="s">
        <v>38</v>
      </c>
      <c r="C244" s="1" t="s">
        <v>38</v>
      </c>
      <c r="D244" s="3" t="s">
        <v>136</v>
      </c>
      <c r="E244" s="3" t="s">
        <v>40</v>
      </c>
      <c r="F244" s="3">
        <v>2003</v>
      </c>
      <c r="G244" s="3" t="s">
        <v>110</v>
      </c>
      <c r="H244" s="3" t="s">
        <v>137</v>
      </c>
      <c r="I244" s="3" t="s">
        <v>138</v>
      </c>
      <c r="J244" s="3" t="s">
        <v>139</v>
      </c>
      <c r="K244" s="3" t="s">
        <v>45</v>
      </c>
      <c r="L244" s="3" t="s">
        <v>46</v>
      </c>
      <c r="M244" s="1" t="s">
        <v>115</v>
      </c>
      <c r="N244" s="1" t="s">
        <v>116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119</v>
      </c>
      <c r="V244" s="1" t="s">
        <v>140</v>
      </c>
      <c r="W244" s="1">
        <v>42.11</v>
      </c>
      <c r="X244" s="1">
        <v>-75.91</v>
      </c>
      <c r="Y244" s="3" t="s">
        <v>141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143</v>
      </c>
      <c r="AE244" s="1" t="s">
        <v>84</v>
      </c>
      <c r="AF244" s="6" t="s">
        <v>49</v>
      </c>
      <c r="AG244" s="6" t="s">
        <v>49</v>
      </c>
      <c r="AH244" s="1" t="s">
        <v>123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6" t="s">
        <v>49</v>
      </c>
      <c r="AS244" s="1">
        <v>0.17100000000000001</v>
      </c>
      <c r="AT244" s="6" t="s">
        <v>49</v>
      </c>
      <c r="AU244" s="6" t="s">
        <v>49</v>
      </c>
      <c r="AV244" s="6" t="s">
        <v>49</v>
      </c>
      <c r="AW244" s="30" t="s">
        <v>49</v>
      </c>
    </row>
    <row r="245" spans="1:49" ht="14.4" customHeight="1">
      <c r="A245" s="1">
        <v>5</v>
      </c>
      <c r="B245" s="1" t="s">
        <v>38</v>
      </c>
      <c r="C245" s="1" t="s">
        <v>38</v>
      </c>
      <c r="D245" s="3" t="s">
        <v>136</v>
      </c>
      <c r="E245" s="3" t="s">
        <v>40</v>
      </c>
      <c r="F245" s="3">
        <v>2003</v>
      </c>
      <c r="G245" s="3" t="s">
        <v>110</v>
      </c>
      <c r="H245" s="3" t="s">
        <v>137</v>
      </c>
      <c r="I245" s="3" t="s">
        <v>138</v>
      </c>
      <c r="J245" s="3" t="s">
        <v>139</v>
      </c>
      <c r="K245" s="3" t="s">
        <v>45</v>
      </c>
      <c r="L245" s="3" t="s">
        <v>46</v>
      </c>
      <c r="M245" s="1" t="s">
        <v>115</v>
      </c>
      <c r="N245" s="1" t="s">
        <v>116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119</v>
      </c>
      <c r="V245" s="1" t="s">
        <v>140</v>
      </c>
      <c r="W245" s="1">
        <v>42.11</v>
      </c>
      <c r="X245" s="1">
        <v>-75.91</v>
      </c>
      <c r="Y245" s="3" t="s">
        <v>141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142</v>
      </c>
      <c r="AE245" s="1" t="s">
        <v>84</v>
      </c>
      <c r="AF245" s="6" t="s">
        <v>49</v>
      </c>
      <c r="AG245" s="6" t="s">
        <v>49</v>
      </c>
      <c r="AH245" s="1" t="s">
        <v>123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6" t="s">
        <v>49</v>
      </c>
      <c r="AS245" s="1">
        <v>0.248</v>
      </c>
      <c r="AT245" s="6" t="s">
        <v>49</v>
      </c>
      <c r="AU245" s="6" t="s">
        <v>49</v>
      </c>
      <c r="AV245" s="6" t="s">
        <v>49</v>
      </c>
      <c r="AW245" s="30" t="s">
        <v>49</v>
      </c>
    </row>
    <row r="246" spans="1:49" ht="14.4" customHeight="1">
      <c r="A246" s="1">
        <v>8</v>
      </c>
      <c r="B246" s="1" t="s">
        <v>38</v>
      </c>
      <c r="C246" s="1" t="s">
        <v>38</v>
      </c>
      <c r="D246" s="3" t="s">
        <v>145</v>
      </c>
      <c r="E246" s="3" t="s">
        <v>71</v>
      </c>
      <c r="F246" s="3">
        <v>1998</v>
      </c>
      <c r="G246" s="3" t="s">
        <v>146</v>
      </c>
      <c r="H246" s="3" t="s">
        <v>147</v>
      </c>
      <c r="I246" s="3" t="s">
        <v>148</v>
      </c>
      <c r="J246" s="3" t="s">
        <v>149</v>
      </c>
      <c r="K246" s="3" t="s">
        <v>45</v>
      </c>
      <c r="L246" s="3" t="s">
        <v>46</v>
      </c>
      <c r="M246" s="1" t="s">
        <v>115</v>
      </c>
      <c r="N246" s="1" t="s">
        <v>116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119</v>
      </c>
      <c r="V246" s="3" t="s">
        <v>150</v>
      </c>
      <c r="W246" s="3">
        <v>40.57</v>
      </c>
      <c r="X246" s="3">
        <v>-74.150000000000006</v>
      </c>
      <c r="Y246" s="3" t="s">
        <v>48</v>
      </c>
      <c r="Z246" s="3" t="s">
        <v>151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152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6" t="s">
        <v>49</v>
      </c>
      <c r="AS246" s="1">
        <f>AL246*AN246</f>
        <v>39.016291000000002</v>
      </c>
      <c r="AT246" s="4">
        <f>AS246/(AM246^2)*100</f>
        <v>3.0105162808641976</v>
      </c>
      <c r="AU246" s="5">
        <v>0</v>
      </c>
      <c r="AV246" s="4">
        <f>AT246*(1-AL246)/AL246</f>
        <v>12.834306250000001</v>
      </c>
      <c r="AW246" s="29" t="s">
        <v>156</v>
      </c>
    </row>
    <row r="247" spans="1:49" ht="14.4" customHeight="1">
      <c r="A247" s="1">
        <v>8</v>
      </c>
      <c r="B247" s="1" t="s">
        <v>38</v>
      </c>
      <c r="C247" s="1" t="s">
        <v>38</v>
      </c>
      <c r="D247" s="3" t="s">
        <v>145</v>
      </c>
      <c r="E247" s="3" t="s">
        <v>71</v>
      </c>
      <c r="F247" s="3">
        <v>1998</v>
      </c>
      <c r="G247" s="3" t="s">
        <v>146</v>
      </c>
      <c r="H247" s="3" t="s">
        <v>147</v>
      </c>
      <c r="I247" s="3" t="s">
        <v>148</v>
      </c>
      <c r="J247" s="3" t="s">
        <v>149</v>
      </c>
      <c r="K247" s="3" t="s">
        <v>45</v>
      </c>
      <c r="L247" s="3" t="s">
        <v>46</v>
      </c>
      <c r="M247" s="1" t="s">
        <v>115</v>
      </c>
      <c r="N247" s="1" t="s">
        <v>116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119</v>
      </c>
      <c r="V247" s="3" t="s">
        <v>150</v>
      </c>
      <c r="W247" s="3">
        <v>40.57</v>
      </c>
      <c r="X247" s="3">
        <v>-74.150000000000006</v>
      </c>
      <c r="Y247" s="3" t="s">
        <v>48</v>
      </c>
      <c r="Z247" s="3" t="s">
        <v>151</v>
      </c>
      <c r="AA247" s="1" t="s">
        <v>50</v>
      </c>
      <c r="AB247" s="1" t="s">
        <v>57</v>
      </c>
      <c r="AC247" s="1" t="s">
        <v>58</v>
      </c>
      <c r="AD247" s="1" t="s">
        <v>84</v>
      </c>
      <c r="AE247" s="1" t="s">
        <v>84</v>
      </c>
      <c r="AF247" s="1" t="s">
        <v>60</v>
      </c>
      <c r="AG247" s="1" t="s">
        <v>61</v>
      </c>
      <c r="AH247" s="1" t="s">
        <v>152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6" t="s">
        <v>49</v>
      </c>
      <c r="AS247" s="1">
        <f>AL247*AN247</f>
        <v>0.65054699999999999</v>
      </c>
      <c r="AT247" s="4">
        <f>AS247/(AM247^2)*100</f>
        <v>0.51584492942434901</v>
      </c>
      <c r="AU247" s="5">
        <v>0</v>
      </c>
      <c r="AV247" s="4">
        <f>AT247*(1-AL247)/AL247</f>
        <v>0.68379444132995115</v>
      </c>
      <c r="AW247" s="29" t="s">
        <v>156</v>
      </c>
    </row>
    <row r="248" spans="1:49" ht="14.4" customHeight="1">
      <c r="A248" s="1">
        <v>8</v>
      </c>
      <c r="B248" s="1" t="s">
        <v>38</v>
      </c>
      <c r="C248" s="1" t="s">
        <v>38</v>
      </c>
      <c r="D248" s="3" t="s">
        <v>145</v>
      </c>
      <c r="E248" s="3" t="s">
        <v>71</v>
      </c>
      <c r="F248" s="3">
        <v>1998</v>
      </c>
      <c r="G248" s="3" t="s">
        <v>146</v>
      </c>
      <c r="H248" s="3" t="s">
        <v>147</v>
      </c>
      <c r="I248" s="3" t="s">
        <v>148</v>
      </c>
      <c r="J248" s="3" t="s">
        <v>149</v>
      </c>
      <c r="K248" s="3" t="s">
        <v>45</v>
      </c>
      <c r="L248" s="3" t="s">
        <v>46</v>
      </c>
      <c r="M248" s="1" t="s">
        <v>115</v>
      </c>
      <c r="N248" s="1" t="s">
        <v>116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119</v>
      </c>
      <c r="V248" s="3" t="s">
        <v>150</v>
      </c>
      <c r="W248" s="3">
        <v>40.57</v>
      </c>
      <c r="X248" s="3">
        <v>-74.150000000000006</v>
      </c>
      <c r="Y248" s="3" t="s">
        <v>48</v>
      </c>
      <c r="Z248" s="3" t="s">
        <v>151</v>
      </c>
      <c r="AA248" s="1" t="s">
        <v>50</v>
      </c>
      <c r="AB248" s="1" t="s">
        <v>57</v>
      </c>
      <c r="AC248" s="1" t="s">
        <v>86</v>
      </c>
      <c r="AD248" s="1" t="s">
        <v>153</v>
      </c>
      <c r="AE248" s="1" t="s">
        <v>153</v>
      </c>
      <c r="AF248" s="1" t="s">
        <v>60</v>
      </c>
      <c r="AG248" s="1" t="s">
        <v>61</v>
      </c>
      <c r="AH248" s="1" t="s">
        <v>152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6" t="s">
        <v>49</v>
      </c>
      <c r="AS248" s="1">
        <f>AL248*AN248</f>
        <v>0.13122</v>
      </c>
      <c r="AT248" s="4">
        <f>AS248/(AM248^2)*100</f>
        <v>0.23452915439389171</v>
      </c>
      <c r="AU248" s="5">
        <v>0</v>
      </c>
      <c r="AV248" s="4">
        <f>AT248*(1-AL248)/AL248</f>
        <v>0.286646744259201</v>
      </c>
      <c r="AW248" s="29" t="s">
        <v>156</v>
      </c>
    </row>
    <row r="249" spans="1:49" ht="14.4" customHeight="1">
      <c r="A249" s="1">
        <v>8</v>
      </c>
      <c r="B249" s="1" t="s">
        <v>38</v>
      </c>
      <c r="C249" s="1" t="s">
        <v>38</v>
      </c>
      <c r="D249" s="3" t="s">
        <v>145</v>
      </c>
      <c r="E249" s="3" t="s">
        <v>71</v>
      </c>
      <c r="F249" s="3">
        <v>1998</v>
      </c>
      <c r="G249" s="3" t="s">
        <v>146</v>
      </c>
      <c r="H249" s="3" t="s">
        <v>147</v>
      </c>
      <c r="I249" s="3" t="s">
        <v>148</v>
      </c>
      <c r="J249" s="3" t="s">
        <v>149</v>
      </c>
      <c r="K249" s="3" t="s">
        <v>45</v>
      </c>
      <c r="L249" s="3" t="s">
        <v>46</v>
      </c>
      <c r="M249" s="1" t="s">
        <v>115</v>
      </c>
      <c r="N249" s="1" t="s">
        <v>116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119</v>
      </c>
      <c r="V249" s="3" t="s">
        <v>150</v>
      </c>
      <c r="W249" s="3">
        <v>40.57</v>
      </c>
      <c r="X249" s="3">
        <v>-74.150000000000006</v>
      </c>
      <c r="Y249" s="3" t="s">
        <v>48</v>
      </c>
      <c r="Z249" s="3" t="s">
        <v>151</v>
      </c>
      <c r="AA249" s="1" t="s">
        <v>50</v>
      </c>
      <c r="AB249" s="1" t="s">
        <v>66</v>
      </c>
      <c r="AC249" s="1" t="s">
        <v>67</v>
      </c>
      <c r="AD249" s="1" t="s">
        <v>89</v>
      </c>
      <c r="AE249" s="1" t="s">
        <v>89</v>
      </c>
      <c r="AF249" s="1" t="s">
        <v>60</v>
      </c>
      <c r="AG249" s="1" t="s">
        <v>61</v>
      </c>
      <c r="AH249" s="1" t="s">
        <v>152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6" t="s">
        <v>49</v>
      </c>
      <c r="AS249" s="1">
        <f>AL249*AN249</f>
        <v>3.1981319999999998</v>
      </c>
      <c r="AT249" s="4">
        <f>AS249/(AM249^2)*100</f>
        <v>0.36650120168010603</v>
      </c>
      <c r="AU249" s="5">
        <v>0</v>
      </c>
      <c r="AV249" s="4">
        <f>AT249*(1-AL249)/AL249</f>
        <v>0.62404258664450485</v>
      </c>
      <c r="AW249" s="29" t="s">
        <v>156</v>
      </c>
    </row>
    <row r="250" spans="1:49" ht="14.4" customHeight="1">
      <c r="A250" s="1">
        <v>8</v>
      </c>
      <c r="B250" s="1" t="s">
        <v>38</v>
      </c>
      <c r="C250" s="1" t="s">
        <v>38</v>
      </c>
      <c r="D250" s="3" t="s">
        <v>145</v>
      </c>
      <c r="E250" s="3" t="s">
        <v>71</v>
      </c>
      <c r="F250" s="3">
        <v>1998</v>
      </c>
      <c r="G250" s="3" t="s">
        <v>146</v>
      </c>
      <c r="H250" s="3" t="s">
        <v>147</v>
      </c>
      <c r="I250" s="3" t="s">
        <v>148</v>
      </c>
      <c r="J250" s="3" t="s">
        <v>149</v>
      </c>
      <c r="K250" s="3" t="s">
        <v>45</v>
      </c>
      <c r="L250" s="3" t="s">
        <v>46</v>
      </c>
      <c r="M250" s="1" t="s">
        <v>115</v>
      </c>
      <c r="N250" s="1" t="s">
        <v>116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119</v>
      </c>
      <c r="V250" s="3" t="s">
        <v>150</v>
      </c>
      <c r="W250" s="3">
        <v>40.57</v>
      </c>
      <c r="X250" s="3">
        <v>-74.150000000000006</v>
      </c>
      <c r="Y250" s="3" t="s">
        <v>48</v>
      </c>
      <c r="Z250" s="3" t="s">
        <v>151</v>
      </c>
      <c r="AA250" s="1" t="s">
        <v>50</v>
      </c>
      <c r="AB250" s="1" t="s">
        <v>86</v>
      </c>
      <c r="AC250" s="1" t="s">
        <v>154</v>
      </c>
      <c r="AD250" s="1" t="s">
        <v>155</v>
      </c>
      <c r="AE250" s="1" t="s">
        <v>155</v>
      </c>
      <c r="AF250" s="1" t="s">
        <v>60</v>
      </c>
      <c r="AG250" s="1" t="s">
        <v>61</v>
      </c>
      <c r="AH250" s="1" t="s">
        <v>152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6" t="s">
        <v>49</v>
      </c>
      <c r="AS250" s="1">
        <f>AL250*AN250</f>
        <v>0.21516799999999997</v>
      </c>
      <c r="AT250" s="4">
        <f>AS250/(AM250^2)*100</f>
        <v>4.326811317339982</v>
      </c>
      <c r="AU250" s="5">
        <v>0</v>
      </c>
      <c r="AV250" s="4">
        <f>AT250*(1-AL250)/AL250</f>
        <v>9.1944740493474608</v>
      </c>
      <c r="AW250" s="29" t="s">
        <v>156</v>
      </c>
    </row>
    <row r="251" spans="1:49" ht="14.4" customHeight="1">
      <c r="A251" s="1">
        <v>8</v>
      </c>
      <c r="B251" s="1" t="s">
        <v>38</v>
      </c>
      <c r="C251" s="1" t="s">
        <v>38</v>
      </c>
      <c r="D251" s="3" t="s">
        <v>145</v>
      </c>
      <c r="E251" s="3" t="s">
        <v>71</v>
      </c>
      <c r="F251" s="3">
        <v>1998</v>
      </c>
      <c r="G251" s="3" t="s">
        <v>146</v>
      </c>
      <c r="H251" s="3" t="s">
        <v>147</v>
      </c>
      <c r="I251" s="3" t="s">
        <v>148</v>
      </c>
      <c r="J251" s="3" t="s">
        <v>149</v>
      </c>
      <c r="K251" s="3" t="s">
        <v>45</v>
      </c>
      <c r="L251" s="3" t="s">
        <v>46</v>
      </c>
      <c r="M251" s="1" t="s">
        <v>115</v>
      </c>
      <c r="N251" s="1" t="s">
        <v>116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119</v>
      </c>
      <c r="V251" s="3" t="s">
        <v>150</v>
      </c>
      <c r="W251" s="3">
        <v>40.57</v>
      </c>
      <c r="X251" s="3">
        <v>-74.150000000000006</v>
      </c>
      <c r="Y251" s="3" t="s">
        <v>48</v>
      </c>
      <c r="Z251" s="3" t="s">
        <v>151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89</v>
      </c>
      <c r="AF251" s="1" t="s">
        <v>49</v>
      </c>
      <c r="AG251" s="1" t="s">
        <v>49</v>
      </c>
      <c r="AH251" s="1" t="s">
        <v>152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6" t="s">
        <v>49</v>
      </c>
      <c r="AW251" s="29" t="s">
        <v>49</v>
      </c>
    </row>
    <row r="252" spans="1:49" ht="14.4" customHeight="1">
      <c r="A252" s="1">
        <v>8</v>
      </c>
      <c r="B252" s="1" t="s">
        <v>38</v>
      </c>
      <c r="C252" s="1" t="s">
        <v>38</v>
      </c>
      <c r="D252" s="3" t="s">
        <v>145</v>
      </c>
      <c r="E252" s="3" t="s">
        <v>71</v>
      </c>
      <c r="F252" s="3">
        <v>1998</v>
      </c>
      <c r="G252" s="3" t="s">
        <v>146</v>
      </c>
      <c r="H252" s="3" t="s">
        <v>147</v>
      </c>
      <c r="I252" s="3" t="s">
        <v>148</v>
      </c>
      <c r="J252" s="3" t="s">
        <v>149</v>
      </c>
      <c r="K252" s="3" t="s">
        <v>45</v>
      </c>
      <c r="L252" s="3" t="s">
        <v>46</v>
      </c>
      <c r="M252" s="1" t="s">
        <v>115</v>
      </c>
      <c r="N252" s="1" t="s">
        <v>116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119</v>
      </c>
      <c r="V252" s="3" t="s">
        <v>150</v>
      </c>
      <c r="W252" s="3">
        <v>40.57</v>
      </c>
      <c r="X252" s="3">
        <v>-74.150000000000006</v>
      </c>
      <c r="Y252" s="3" t="s">
        <v>48</v>
      </c>
      <c r="Z252" s="3" t="s">
        <v>151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84</v>
      </c>
      <c r="AF252" s="1" t="s">
        <v>49</v>
      </c>
      <c r="AG252" s="1" t="s">
        <v>49</v>
      </c>
      <c r="AH252" s="1" t="s">
        <v>152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6" t="s">
        <v>49</v>
      </c>
      <c r="AW252" s="29" t="s">
        <v>49</v>
      </c>
    </row>
    <row r="253" spans="1:49" ht="14.4" customHeight="1">
      <c r="A253" s="1">
        <v>8</v>
      </c>
      <c r="B253" s="1" t="s">
        <v>38</v>
      </c>
      <c r="C253" s="1" t="s">
        <v>38</v>
      </c>
      <c r="D253" s="3" t="s">
        <v>145</v>
      </c>
      <c r="E253" s="3" t="s">
        <v>71</v>
      </c>
      <c r="F253" s="3">
        <v>1998</v>
      </c>
      <c r="G253" s="3" t="s">
        <v>146</v>
      </c>
      <c r="H253" s="3" t="s">
        <v>147</v>
      </c>
      <c r="I253" s="3" t="s">
        <v>148</v>
      </c>
      <c r="J253" s="3" t="s">
        <v>149</v>
      </c>
      <c r="K253" s="3" t="s">
        <v>45</v>
      </c>
      <c r="L253" s="3" t="s">
        <v>46</v>
      </c>
      <c r="M253" s="1" t="s">
        <v>115</v>
      </c>
      <c r="N253" s="1" t="s">
        <v>116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119</v>
      </c>
      <c r="V253" s="3" t="s">
        <v>150</v>
      </c>
      <c r="W253" s="3">
        <v>40.57</v>
      </c>
      <c r="X253" s="3">
        <v>-74.150000000000006</v>
      </c>
      <c r="Y253" s="3" t="s">
        <v>48</v>
      </c>
      <c r="Z253" s="3" t="s">
        <v>151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153</v>
      </c>
      <c r="AF253" s="1" t="s">
        <v>49</v>
      </c>
      <c r="AG253" s="1" t="s">
        <v>49</v>
      </c>
      <c r="AH253" s="1" t="s">
        <v>152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6" t="s">
        <v>49</v>
      </c>
      <c r="AW253" s="29" t="s">
        <v>49</v>
      </c>
    </row>
    <row r="254" spans="1:49" ht="14.4" customHeight="1">
      <c r="A254" s="1">
        <v>8</v>
      </c>
      <c r="B254" s="1" t="s">
        <v>38</v>
      </c>
      <c r="C254" s="1" t="s">
        <v>38</v>
      </c>
      <c r="D254" s="3" t="s">
        <v>145</v>
      </c>
      <c r="E254" s="3" t="s">
        <v>71</v>
      </c>
      <c r="F254" s="3">
        <v>1998</v>
      </c>
      <c r="G254" s="3" t="s">
        <v>146</v>
      </c>
      <c r="H254" s="3" t="s">
        <v>147</v>
      </c>
      <c r="I254" s="3" t="s">
        <v>148</v>
      </c>
      <c r="J254" s="3" t="s">
        <v>149</v>
      </c>
      <c r="K254" s="3" t="s">
        <v>45</v>
      </c>
      <c r="L254" s="3" t="s">
        <v>46</v>
      </c>
      <c r="M254" s="1" t="s">
        <v>115</v>
      </c>
      <c r="N254" s="1" t="s">
        <v>116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119</v>
      </c>
      <c r="V254" s="3" t="s">
        <v>150</v>
      </c>
      <c r="W254" s="3">
        <v>40.57</v>
      </c>
      <c r="X254" s="3">
        <v>-74.150000000000006</v>
      </c>
      <c r="Y254" s="3" t="s">
        <v>48</v>
      </c>
      <c r="Z254" s="3" t="s">
        <v>151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155</v>
      </c>
      <c r="AF254" s="1" t="s">
        <v>49</v>
      </c>
      <c r="AG254" s="1" t="s">
        <v>49</v>
      </c>
      <c r="AH254" s="1" t="s">
        <v>152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6" t="s">
        <v>49</v>
      </c>
      <c r="AW254" s="29" t="s">
        <v>49</v>
      </c>
    </row>
    <row r="255" spans="1:49" ht="14.4" customHeight="1">
      <c r="A255" s="1">
        <v>8</v>
      </c>
      <c r="B255" s="1" t="s">
        <v>38</v>
      </c>
      <c r="C255" s="1" t="s">
        <v>38</v>
      </c>
      <c r="D255" s="3" t="s">
        <v>145</v>
      </c>
      <c r="E255" s="3" t="s">
        <v>71</v>
      </c>
      <c r="F255" s="3">
        <v>1998</v>
      </c>
      <c r="G255" s="3" t="s">
        <v>146</v>
      </c>
      <c r="H255" s="3" t="s">
        <v>147</v>
      </c>
      <c r="I255" s="3" t="s">
        <v>148</v>
      </c>
      <c r="J255" s="3" t="s">
        <v>149</v>
      </c>
      <c r="K255" s="3" t="s">
        <v>45</v>
      </c>
      <c r="L255" s="3" t="s">
        <v>46</v>
      </c>
      <c r="M255" s="1" t="s">
        <v>115</v>
      </c>
      <c r="N255" s="1" t="s">
        <v>116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119</v>
      </c>
      <c r="V255" s="3" t="s">
        <v>150</v>
      </c>
      <c r="W255" s="3">
        <v>40.57</v>
      </c>
      <c r="X255" s="3">
        <v>-74.150000000000006</v>
      </c>
      <c r="Y255" s="3" t="s">
        <v>48</v>
      </c>
      <c r="Z255" s="3" t="s">
        <v>151</v>
      </c>
      <c r="AA255" s="6" t="s">
        <v>49</v>
      </c>
      <c r="AB255" s="6" t="s">
        <v>49</v>
      </c>
      <c r="AC255" s="6" t="s">
        <v>49</v>
      </c>
      <c r="AD255" s="1" t="s">
        <v>89</v>
      </c>
      <c r="AE255" s="1" t="s">
        <v>84</v>
      </c>
      <c r="AF255" s="1" t="s">
        <v>49</v>
      </c>
      <c r="AG255" s="1" t="s">
        <v>49</v>
      </c>
      <c r="AH255" s="1" t="s">
        <v>152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6" t="s">
        <v>49</v>
      </c>
      <c r="AW255" s="29" t="s">
        <v>49</v>
      </c>
    </row>
    <row r="256" spans="1:49" ht="14.4" customHeight="1">
      <c r="A256" s="1">
        <v>8</v>
      </c>
      <c r="B256" s="1" t="s">
        <v>38</v>
      </c>
      <c r="C256" s="1" t="s">
        <v>38</v>
      </c>
      <c r="D256" s="3" t="s">
        <v>145</v>
      </c>
      <c r="E256" s="3" t="s">
        <v>71</v>
      </c>
      <c r="F256" s="3">
        <v>1998</v>
      </c>
      <c r="G256" s="3" t="s">
        <v>146</v>
      </c>
      <c r="H256" s="3" t="s">
        <v>147</v>
      </c>
      <c r="I256" s="3" t="s">
        <v>148</v>
      </c>
      <c r="J256" s="3" t="s">
        <v>149</v>
      </c>
      <c r="K256" s="3" t="s">
        <v>45</v>
      </c>
      <c r="L256" s="3" t="s">
        <v>46</v>
      </c>
      <c r="M256" s="1" t="s">
        <v>115</v>
      </c>
      <c r="N256" s="1" t="s">
        <v>116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119</v>
      </c>
      <c r="V256" s="3" t="s">
        <v>150</v>
      </c>
      <c r="W256" s="3">
        <v>40.57</v>
      </c>
      <c r="X256" s="3">
        <v>-74.150000000000006</v>
      </c>
      <c r="Y256" s="3" t="s">
        <v>48</v>
      </c>
      <c r="Z256" s="3" t="s">
        <v>151</v>
      </c>
      <c r="AA256" s="6" t="s">
        <v>49</v>
      </c>
      <c r="AB256" s="6" t="s">
        <v>49</v>
      </c>
      <c r="AC256" s="6" t="s">
        <v>49</v>
      </c>
      <c r="AD256" s="1" t="s">
        <v>89</v>
      </c>
      <c r="AE256" s="1" t="s">
        <v>153</v>
      </c>
      <c r="AF256" s="1" t="s">
        <v>49</v>
      </c>
      <c r="AG256" s="1" t="s">
        <v>49</v>
      </c>
      <c r="AH256" s="1" t="s">
        <v>152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6" t="s">
        <v>49</v>
      </c>
      <c r="AW256" s="29" t="s">
        <v>49</v>
      </c>
    </row>
    <row r="257" spans="1:49" ht="14.4" customHeight="1">
      <c r="A257" s="1">
        <v>8</v>
      </c>
      <c r="B257" s="1" t="s">
        <v>38</v>
      </c>
      <c r="C257" s="1" t="s">
        <v>38</v>
      </c>
      <c r="D257" s="3" t="s">
        <v>145</v>
      </c>
      <c r="E257" s="3" t="s">
        <v>71</v>
      </c>
      <c r="F257" s="3">
        <v>1998</v>
      </c>
      <c r="G257" s="3" t="s">
        <v>146</v>
      </c>
      <c r="H257" s="3" t="s">
        <v>147</v>
      </c>
      <c r="I257" s="3" t="s">
        <v>148</v>
      </c>
      <c r="J257" s="3" t="s">
        <v>149</v>
      </c>
      <c r="K257" s="3" t="s">
        <v>45</v>
      </c>
      <c r="L257" s="3" t="s">
        <v>46</v>
      </c>
      <c r="M257" s="1" t="s">
        <v>115</v>
      </c>
      <c r="N257" s="1" t="s">
        <v>116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119</v>
      </c>
      <c r="V257" s="3" t="s">
        <v>150</v>
      </c>
      <c r="W257" s="3">
        <v>40.57</v>
      </c>
      <c r="X257" s="3">
        <v>-74.150000000000006</v>
      </c>
      <c r="Y257" s="3" t="s">
        <v>48</v>
      </c>
      <c r="Z257" s="3" t="s">
        <v>151</v>
      </c>
      <c r="AA257" s="6" t="s">
        <v>49</v>
      </c>
      <c r="AB257" s="6" t="s">
        <v>49</v>
      </c>
      <c r="AC257" s="6" t="s">
        <v>49</v>
      </c>
      <c r="AD257" s="1" t="s">
        <v>89</v>
      </c>
      <c r="AE257" s="1" t="s">
        <v>155</v>
      </c>
      <c r="AF257" s="1" t="s">
        <v>49</v>
      </c>
      <c r="AG257" s="1" t="s">
        <v>49</v>
      </c>
      <c r="AH257" s="1" t="s">
        <v>152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6" t="s">
        <v>49</v>
      </c>
      <c r="AW257" s="29" t="s">
        <v>49</v>
      </c>
    </row>
    <row r="258" spans="1:49" ht="14.4" customHeight="1">
      <c r="A258" s="1">
        <v>8</v>
      </c>
      <c r="B258" s="1" t="s">
        <v>38</v>
      </c>
      <c r="C258" s="1" t="s">
        <v>38</v>
      </c>
      <c r="D258" s="3" t="s">
        <v>145</v>
      </c>
      <c r="E258" s="3" t="s">
        <v>71</v>
      </c>
      <c r="F258" s="3">
        <v>1998</v>
      </c>
      <c r="G258" s="3" t="s">
        <v>146</v>
      </c>
      <c r="H258" s="3" t="s">
        <v>147</v>
      </c>
      <c r="I258" s="3" t="s">
        <v>148</v>
      </c>
      <c r="J258" s="3" t="s">
        <v>149</v>
      </c>
      <c r="K258" s="3" t="s">
        <v>45</v>
      </c>
      <c r="L258" s="3" t="s">
        <v>46</v>
      </c>
      <c r="M258" s="1" t="s">
        <v>115</v>
      </c>
      <c r="N258" s="1" t="s">
        <v>116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119</v>
      </c>
      <c r="V258" s="3" t="s">
        <v>150</v>
      </c>
      <c r="W258" s="3">
        <v>40.57</v>
      </c>
      <c r="X258" s="3">
        <v>-74.150000000000006</v>
      </c>
      <c r="Y258" s="3" t="s">
        <v>48</v>
      </c>
      <c r="Z258" s="3" t="s">
        <v>151</v>
      </c>
      <c r="AA258" s="6" t="s">
        <v>49</v>
      </c>
      <c r="AB258" s="6" t="s">
        <v>49</v>
      </c>
      <c r="AC258" s="6" t="s">
        <v>49</v>
      </c>
      <c r="AD258" s="1" t="s">
        <v>84</v>
      </c>
      <c r="AE258" s="1" t="s">
        <v>153</v>
      </c>
      <c r="AF258" s="1" t="s">
        <v>49</v>
      </c>
      <c r="AG258" s="1" t="s">
        <v>49</v>
      </c>
      <c r="AH258" s="1" t="s">
        <v>152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6" t="s">
        <v>49</v>
      </c>
      <c r="AW258" s="29" t="s">
        <v>49</v>
      </c>
    </row>
    <row r="259" spans="1:49" ht="14.4" customHeight="1">
      <c r="A259" s="1">
        <v>8</v>
      </c>
      <c r="B259" s="1" t="s">
        <v>38</v>
      </c>
      <c r="C259" s="1" t="s">
        <v>38</v>
      </c>
      <c r="D259" s="3" t="s">
        <v>145</v>
      </c>
      <c r="E259" s="3" t="s">
        <v>71</v>
      </c>
      <c r="F259" s="3">
        <v>1998</v>
      </c>
      <c r="G259" s="3" t="s">
        <v>146</v>
      </c>
      <c r="H259" s="3" t="s">
        <v>147</v>
      </c>
      <c r="I259" s="3" t="s">
        <v>148</v>
      </c>
      <c r="J259" s="3" t="s">
        <v>149</v>
      </c>
      <c r="K259" s="3" t="s">
        <v>45</v>
      </c>
      <c r="L259" s="3" t="s">
        <v>46</v>
      </c>
      <c r="M259" s="1" t="s">
        <v>115</v>
      </c>
      <c r="N259" s="1" t="s">
        <v>116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119</v>
      </c>
      <c r="V259" s="3" t="s">
        <v>150</v>
      </c>
      <c r="W259" s="3">
        <v>40.57</v>
      </c>
      <c r="X259" s="3">
        <v>-74.150000000000006</v>
      </c>
      <c r="Y259" s="3" t="s">
        <v>48</v>
      </c>
      <c r="Z259" s="3" t="s">
        <v>151</v>
      </c>
      <c r="AA259" s="6" t="s">
        <v>49</v>
      </c>
      <c r="AB259" s="6" t="s">
        <v>49</v>
      </c>
      <c r="AC259" s="6" t="s">
        <v>49</v>
      </c>
      <c r="AD259" s="1" t="s">
        <v>84</v>
      </c>
      <c r="AE259" s="1" t="s">
        <v>155</v>
      </c>
      <c r="AF259" s="1" t="s">
        <v>49</v>
      </c>
      <c r="AG259" s="1" t="s">
        <v>49</v>
      </c>
      <c r="AH259" s="1" t="s">
        <v>152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6" t="s">
        <v>49</v>
      </c>
      <c r="AW259" s="29" t="s">
        <v>49</v>
      </c>
    </row>
    <row r="260" spans="1:49" ht="14.4" customHeight="1">
      <c r="A260" s="1">
        <v>8</v>
      </c>
      <c r="B260" s="1" t="s">
        <v>38</v>
      </c>
      <c r="C260" s="1" t="s">
        <v>38</v>
      </c>
      <c r="D260" s="3" t="s">
        <v>145</v>
      </c>
      <c r="E260" s="3" t="s">
        <v>71</v>
      </c>
      <c r="F260" s="3">
        <v>1998</v>
      </c>
      <c r="G260" s="3" t="s">
        <v>146</v>
      </c>
      <c r="H260" s="3" t="s">
        <v>147</v>
      </c>
      <c r="I260" s="3" t="s">
        <v>148</v>
      </c>
      <c r="J260" s="3" t="s">
        <v>149</v>
      </c>
      <c r="K260" s="3" t="s">
        <v>45</v>
      </c>
      <c r="L260" s="3" t="s">
        <v>46</v>
      </c>
      <c r="M260" s="1" t="s">
        <v>115</v>
      </c>
      <c r="N260" s="1" t="s">
        <v>116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119</v>
      </c>
      <c r="V260" s="3" t="s">
        <v>150</v>
      </c>
      <c r="W260" s="3">
        <v>40.57</v>
      </c>
      <c r="X260" s="3">
        <v>-74.150000000000006</v>
      </c>
      <c r="Y260" s="3" t="s">
        <v>48</v>
      </c>
      <c r="Z260" s="3" t="s">
        <v>151</v>
      </c>
      <c r="AA260" s="6" t="s">
        <v>49</v>
      </c>
      <c r="AB260" s="6" t="s">
        <v>49</v>
      </c>
      <c r="AC260" s="6" t="s">
        <v>49</v>
      </c>
      <c r="AD260" s="1" t="s">
        <v>153</v>
      </c>
      <c r="AE260" s="1" t="s">
        <v>155</v>
      </c>
      <c r="AF260" s="1" t="s">
        <v>49</v>
      </c>
      <c r="AG260" s="1" t="s">
        <v>49</v>
      </c>
      <c r="AH260" s="1" t="s">
        <v>152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6" t="s">
        <v>49</v>
      </c>
      <c r="AW260" s="29" t="s">
        <v>49</v>
      </c>
    </row>
    <row r="261" spans="1:49" ht="14.4" customHeight="1">
      <c r="A261" s="1">
        <v>8</v>
      </c>
      <c r="B261" s="1" t="s">
        <v>38</v>
      </c>
      <c r="C261" s="1" t="s">
        <v>38</v>
      </c>
      <c r="D261" s="3" t="s">
        <v>145</v>
      </c>
      <c r="E261" s="3" t="s">
        <v>71</v>
      </c>
      <c r="F261" s="3">
        <v>1998</v>
      </c>
      <c r="G261" s="3" t="s">
        <v>146</v>
      </c>
      <c r="H261" s="3" t="s">
        <v>147</v>
      </c>
      <c r="I261" s="3" t="s">
        <v>148</v>
      </c>
      <c r="J261" s="3" t="s">
        <v>149</v>
      </c>
      <c r="K261" s="3" t="s">
        <v>45</v>
      </c>
      <c r="L261" s="3" t="s">
        <v>46</v>
      </c>
      <c r="M261" s="1" t="s">
        <v>115</v>
      </c>
      <c r="N261" s="1" t="s">
        <v>116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119</v>
      </c>
      <c r="V261" s="3" t="s">
        <v>157</v>
      </c>
      <c r="W261" s="3">
        <v>40.5</v>
      </c>
      <c r="X261" s="3">
        <v>-74.569999999999993</v>
      </c>
      <c r="Y261" s="3" t="s">
        <v>48</v>
      </c>
      <c r="Z261" s="3" t="s">
        <v>151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152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6" t="s">
        <v>49</v>
      </c>
      <c r="AS261" s="1">
        <f>AL261*AN261</f>
        <v>43.771456000000001</v>
      </c>
      <c r="AT261" s="4">
        <f>AS261/(AM261^2)*100</f>
        <v>12.652172505491963</v>
      </c>
      <c r="AU261" s="5">
        <v>0</v>
      </c>
      <c r="AV261" s="4">
        <f>AT261*(1-AL261)/AL261</f>
        <v>66.423905653832804</v>
      </c>
      <c r="AW261" s="29" t="s">
        <v>156</v>
      </c>
    </row>
    <row r="262" spans="1:49" ht="14.4" customHeight="1">
      <c r="A262" s="1">
        <v>8</v>
      </c>
      <c r="B262" s="1" t="s">
        <v>38</v>
      </c>
      <c r="C262" s="1" t="s">
        <v>38</v>
      </c>
      <c r="D262" s="3" t="s">
        <v>145</v>
      </c>
      <c r="E262" s="3" t="s">
        <v>71</v>
      </c>
      <c r="F262" s="3">
        <v>1998</v>
      </c>
      <c r="G262" s="3" t="s">
        <v>146</v>
      </c>
      <c r="H262" s="3" t="s">
        <v>147</v>
      </c>
      <c r="I262" s="3" t="s">
        <v>148</v>
      </c>
      <c r="J262" s="3" t="s">
        <v>149</v>
      </c>
      <c r="K262" s="3" t="s">
        <v>45</v>
      </c>
      <c r="L262" s="3" t="s">
        <v>46</v>
      </c>
      <c r="M262" s="1" t="s">
        <v>115</v>
      </c>
      <c r="N262" s="1" t="s">
        <v>116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119</v>
      </c>
      <c r="V262" s="3" t="s">
        <v>157</v>
      </c>
      <c r="W262" s="3">
        <v>40.5</v>
      </c>
      <c r="X262" s="3">
        <v>-74.569999999999993</v>
      </c>
      <c r="Y262" s="3" t="s">
        <v>48</v>
      </c>
      <c r="Z262" s="3" t="s">
        <v>151</v>
      </c>
      <c r="AA262" s="1" t="s">
        <v>50</v>
      </c>
      <c r="AB262" s="1" t="s">
        <v>57</v>
      </c>
      <c r="AC262" s="1" t="s">
        <v>58</v>
      </c>
      <c r="AD262" s="1" t="s">
        <v>84</v>
      </c>
      <c r="AE262" s="1" t="s">
        <v>84</v>
      </c>
      <c r="AF262" s="1" t="s">
        <v>60</v>
      </c>
      <c r="AG262" s="1" t="s">
        <v>61</v>
      </c>
      <c r="AH262" s="1" t="s">
        <v>152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6" t="s">
        <v>49</v>
      </c>
      <c r="AS262" s="1">
        <f>AL262*AN262</f>
        <v>0.56183599999999989</v>
      </c>
      <c r="AT262" s="4">
        <f>AS262/(AM262^2)*100</f>
        <v>0.42854712915466903</v>
      </c>
      <c r="AU262" s="5">
        <v>0</v>
      </c>
      <c r="AV262" s="4">
        <f>AT262*(1-AL262)/AL262</f>
        <v>0.54542361892412428</v>
      </c>
      <c r="AW262" s="29" t="s">
        <v>156</v>
      </c>
    </row>
    <row r="263" spans="1:49" ht="14.4" customHeight="1">
      <c r="A263" s="1">
        <v>8</v>
      </c>
      <c r="B263" s="1" t="s">
        <v>38</v>
      </c>
      <c r="C263" s="1" t="s">
        <v>38</v>
      </c>
      <c r="D263" s="3" t="s">
        <v>145</v>
      </c>
      <c r="E263" s="3" t="s">
        <v>71</v>
      </c>
      <c r="F263" s="3">
        <v>1998</v>
      </c>
      <c r="G263" s="3" t="s">
        <v>146</v>
      </c>
      <c r="H263" s="3" t="s">
        <v>147</v>
      </c>
      <c r="I263" s="3" t="s">
        <v>148</v>
      </c>
      <c r="J263" s="3" t="s">
        <v>149</v>
      </c>
      <c r="K263" s="3" t="s">
        <v>45</v>
      </c>
      <c r="L263" s="3" t="s">
        <v>46</v>
      </c>
      <c r="M263" s="1" t="s">
        <v>115</v>
      </c>
      <c r="N263" s="1" t="s">
        <v>116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119</v>
      </c>
      <c r="V263" s="3" t="s">
        <v>157</v>
      </c>
      <c r="W263" s="3">
        <v>40.5</v>
      </c>
      <c r="X263" s="3">
        <v>-74.569999999999993</v>
      </c>
      <c r="Y263" s="3" t="s">
        <v>48</v>
      </c>
      <c r="Z263" s="3" t="s">
        <v>151</v>
      </c>
      <c r="AA263" s="1" t="s">
        <v>50</v>
      </c>
      <c r="AB263" s="1" t="s">
        <v>57</v>
      </c>
      <c r="AC263" s="1" t="s">
        <v>86</v>
      </c>
      <c r="AD263" s="1" t="s">
        <v>153</v>
      </c>
      <c r="AE263" s="1" t="s">
        <v>153</v>
      </c>
      <c r="AF263" s="1" t="s">
        <v>60</v>
      </c>
      <c r="AG263" s="1" t="s">
        <v>61</v>
      </c>
      <c r="AH263" s="1" t="s">
        <v>152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6" t="s">
        <v>49</v>
      </c>
      <c r="AS263" s="1">
        <f>AL263*AN263</f>
        <v>0.32457599999999998</v>
      </c>
      <c r="AT263" s="4">
        <f>AS263/(AM263^2)*100</f>
        <v>0.41723356009070289</v>
      </c>
      <c r="AU263" s="5">
        <v>0</v>
      </c>
      <c r="AV263" s="4">
        <f>AT263*(1-AL263)/AL263</f>
        <v>0.48979591836734687</v>
      </c>
      <c r="AW263" s="29" t="s">
        <v>156</v>
      </c>
    </row>
    <row r="264" spans="1:49" ht="14.4" customHeight="1">
      <c r="A264" s="1">
        <v>8</v>
      </c>
      <c r="B264" s="1" t="s">
        <v>38</v>
      </c>
      <c r="C264" s="1" t="s">
        <v>38</v>
      </c>
      <c r="D264" s="3" t="s">
        <v>145</v>
      </c>
      <c r="E264" s="3" t="s">
        <v>71</v>
      </c>
      <c r="F264" s="3">
        <v>1998</v>
      </c>
      <c r="G264" s="3" t="s">
        <v>146</v>
      </c>
      <c r="H264" s="3" t="s">
        <v>147</v>
      </c>
      <c r="I264" s="3" t="s">
        <v>148</v>
      </c>
      <c r="J264" s="3" t="s">
        <v>149</v>
      </c>
      <c r="K264" s="3" t="s">
        <v>45</v>
      </c>
      <c r="L264" s="3" t="s">
        <v>46</v>
      </c>
      <c r="M264" s="1" t="s">
        <v>115</v>
      </c>
      <c r="N264" s="1" t="s">
        <v>116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119</v>
      </c>
      <c r="V264" s="3" t="s">
        <v>157</v>
      </c>
      <c r="W264" s="3">
        <v>40.5</v>
      </c>
      <c r="X264" s="3">
        <v>-74.569999999999993</v>
      </c>
      <c r="Y264" s="3" t="s">
        <v>48</v>
      </c>
      <c r="Z264" s="3" t="s">
        <v>151</v>
      </c>
      <c r="AA264" s="1" t="s">
        <v>50</v>
      </c>
      <c r="AB264" s="1" t="s">
        <v>66</v>
      </c>
      <c r="AC264" s="1" t="s">
        <v>67</v>
      </c>
      <c r="AD264" s="1" t="s">
        <v>89</v>
      </c>
      <c r="AE264" s="1" t="s">
        <v>89</v>
      </c>
      <c r="AF264" s="1" t="s">
        <v>60</v>
      </c>
      <c r="AG264" s="1" t="s">
        <v>61</v>
      </c>
      <c r="AH264" s="1" t="s">
        <v>152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6" t="s">
        <v>49</v>
      </c>
      <c r="AS264" s="1">
        <f>AL264*AN264</f>
        <v>4.6080000000000014</v>
      </c>
      <c r="AT264" s="4">
        <f>AS264/(AM264^2)*100</f>
        <v>0.44305029745808555</v>
      </c>
      <c r="AU264" s="5">
        <v>0</v>
      </c>
      <c r="AV264" s="4">
        <f>AT264*(1-AL264)/AL264</f>
        <v>0.54150591911543788</v>
      </c>
      <c r="AW264" s="29" t="s">
        <v>156</v>
      </c>
    </row>
    <row r="265" spans="1:49" ht="14.4" customHeight="1">
      <c r="A265" s="1">
        <v>8</v>
      </c>
      <c r="B265" s="1" t="s">
        <v>38</v>
      </c>
      <c r="C265" s="1" t="s">
        <v>38</v>
      </c>
      <c r="D265" s="3" t="s">
        <v>145</v>
      </c>
      <c r="E265" s="3" t="s">
        <v>71</v>
      </c>
      <c r="F265" s="3">
        <v>1998</v>
      </c>
      <c r="G265" s="3" t="s">
        <v>146</v>
      </c>
      <c r="H265" s="3" t="s">
        <v>147</v>
      </c>
      <c r="I265" s="3" t="s">
        <v>148</v>
      </c>
      <c r="J265" s="3" t="s">
        <v>149</v>
      </c>
      <c r="K265" s="3" t="s">
        <v>45</v>
      </c>
      <c r="L265" s="3" t="s">
        <v>46</v>
      </c>
      <c r="M265" s="1" t="s">
        <v>115</v>
      </c>
      <c r="N265" s="1" t="s">
        <v>116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119</v>
      </c>
      <c r="V265" s="3" t="s">
        <v>157</v>
      </c>
      <c r="W265" s="3">
        <v>40.5</v>
      </c>
      <c r="X265" s="3">
        <v>-74.569999999999993</v>
      </c>
      <c r="Y265" s="3" t="s">
        <v>48</v>
      </c>
      <c r="Z265" s="3" t="s">
        <v>151</v>
      </c>
      <c r="AA265" s="1" t="s">
        <v>50</v>
      </c>
      <c r="AB265" s="1" t="s">
        <v>86</v>
      </c>
      <c r="AC265" s="1" t="s">
        <v>154</v>
      </c>
      <c r="AD265" s="1" t="s">
        <v>155</v>
      </c>
      <c r="AE265" s="1" t="s">
        <v>155</v>
      </c>
      <c r="AF265" s="1" t="s">
        <v>60</v>
      </c>
      <c r="AG265" s="1" t="s">
        <v>61</v>
      </c>
      <c r="AH265" s="1" t="s">
        <v>152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6" t="s">
        <v>49</v>
      </c>
      <c r="AS265" s="1">
        <f>AL265*AN265</f>
        <v>5.7023999999999998E-2</v>
      </c>
      <c r="AT265" s="4">
        <f>AS265/(AM265^2)*100</f>
        <v>1.4114502116284253</v>
      </c>
      <c r="AU265" s="5">
        <v>0</v>
      </c>
      <c r="AV265" s="4">
        <f>AT265*(1-AL265)/AL265</f>
        <v>1.7963911784361779</v>
      </c>
      <c r="AW265" s="29" t="s">
        <v>156</v>
      </c>
    </row>
    <row r="266" spans="1:49" ht="14.4" customHeight="1">
      <c r="A266" s="1">
        <v>8</v>
      </c>
      <c r="B266" s="1" t="s">
        <v>38</v>
      </c>
      <c r="C266" s="1" t="s">
        <v>38</v>
      </c>
      <c r="D266" s="3" t="s">
        <v>145</v>
      </c>
      <c r="E266" s="3" t="s">
        <v>71</v>
      </c>
      <c r="F266" s="3">
        <v>1998</v>
      </c>
      <c r="G266" s="3" t="s">
        <v>146</v>
      </c>
      <c r="H266" s="3" t="s">
        <v>147</v>
      </c>
      <c r="I266" s="3" t="s">
        <v>148</v>
      </c>
      <c r="J266" s="3" t="s">
        <v>149</v>
      </c>
      <c r="K266" s="3" t="s">
        <v>45</v>
      </c>
      <c r="L266" s="3" t="s">
        <v>46</v>
      </c>
      <c r="M266" s="1" t="s">
        <v>115</v>
      </c>
      <c r="N266" s="1" t="s">
        <v>116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119</v>
      </c>
      <c r="V266" s="3" t="s">
        <v>157</v>
      </c>
      <c r="W266" s="3">
        <v>40.5</v>
      </c>
      <c r="X266" s="3">
        <v>-74.569999999999993</v>
      </c>
      <c r="Y266" s="3" t="s">
        <v>48</v>
      </c>
      <c r="Z266" s="3" t="s">
        <v>151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89</v>
      </c>
      <c r="AF266" s="1" t="s">
        <v>49</v>
      </c>
      <c r="AG266" s="1" t="s">
        <v>49</v>
      </c>
      <c r="AH266" s="1" t="s">
        <v>152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6" t="s">
        <v>49</v>
      </c>
      <c r="AW266" s="29" t="s">
        <v>49</v>
      </c>
    </row>
    <row r="267" spans="1:49" ht="14.4" customHeight="1">
      <c r="A267" s="1">
        <v>8</v>
      </c>
      <c r="B267" s="1" t="s">
        <v>38</v>
      </c>
      <c r="C267" s="1" t="s">
        <v>38</v>
      </c>
      <c r="D267" s="3" t="s">
        <v>145</v>
      </c>
      <c r="E267" s="3" t="s">
        <v>71</v>
      </c>
      <c r="F267" s="3">
        <v>1998</v>
      </c>
      <c r="G267" s="3" t="s">
        <v>146</v>
      </c>
      <c r="H267" s="3" t="s">
        <v>147</v>
      </c>
      <c r="I267" s="3" t="s">
        <v>148</v>
      </c>
      <c r="J267" s="3" t="s">
        <v>149</v>
      </c>
      <c r="K267" s="3" t="s">
        <v>45</v>
      </c>
      <c r="L267" s="3" t="s">
        <v>46</v>
      </c>
      <c r="M267" s="1" t="s">
        <v>115</v>
      </c>
      <c r="N267" s="1" t="s">
        <v>116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119</v>
      </c>
      <c r="V267" s="3" t="s">
        <v>157</v>
      </c>
      <c r="W267" s="3">
        <v>40.5</v>
      </c>
      <c r="X267" s="3">
        <v>-74.569999999999993</v>
      </c>
      <c r="Y267" s="3" t="s">
        <v>48</v>
      </c>
      <c r="Z267" s="3" t="s">
        <v>151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84</v>
      </c>
      <c r="AF267" s="1" t="s">
        <v>49</v>
      </c>
      <c r="AG267" s="1" t="s">
        <v>49</v>
      </c>
      <c r="AH267" s="1" t="s">
        <v>152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6" t="s">
        <v>49</v>
      </c>
      <c r="AW267" s="29" t="s">
        <v>49</v>
      </c>
    </row>
    <row r="268" spans="1:49" ht="14.4" customHeight="1">
      <c r="A268" s="1">
        <v>8</v>
      </c>
      <c r="B268" s="1" t="s">
        <v>38</v>
      </c>
      <c r="C268" s="1" t="s">
        <v>38</v>
      </c>
      <c r="D268" s="3" t="s">
        <v>145</v>
      </c>
      <c r="E268" s="3" t="s">
        <v>71</v>
      </c>
      <c r="F268" s="3">
        <v>1998</v>
      </c>
      <c r="G268" s="3" t="s">
        <v>146</v>
      </c>
      <c r="H268" s="3" t="s">
        <v>147</v>
      </c>
      <c r="I268" s="3" t="s">
        <v>148</v>
      </c>
      <c r="J268" s="3" t="s">
        <v>149</v>
      </c>
      <c r="K268" s="3" t="s">
        <v>45</v>
      </c>
      <c r="L268" s="3" t="s">
        <v>46</v>
      </c>
      <c r="M268" s="1" t="s">
        <v>115</v>
      </c>
      <c r="N268" s="1" t="s">
        <v>116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119</v>
      </c>
      <c r="V268" s="3" t="s">
        <v>157</v>
      </c>
      <c r="W268" s="3">
        <v>40.5</v>
      </c>
      <c r="X268" s="3">
        <v>-74.569999999999993</v>
      </c>
      <c r="Y268" s="3" t="s">
        <v>48</v>
      </c>
      <c r="Z268" s="3" t="s">
        <v>151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153</v>
      </c>
      <c r="AF268" s="1" t="s">
        <v>49</v>
      </c>
      <c r="AG268" s="1" t="s">
        <v>49</v>
      </c>
      <c r="AH268" s="1" t="s">
        <v>152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6" t="s">
        <v>49</v>
      </c>
      <c r="AW268" s="29" t="s">
        <v>49</v>
      </c>
    </row>
    <row r="269" spans="1:49" ht="14.4" customHeight="1">
      <c r="A269" s="1">
        <v>8</v>
      </c>
      <c r="B269" s="1" t="s">
        <v>38</v>
      </c>
      <c r="C269" s="1" t="s">
        <v>38</v>
      </c>
      <c r="D269" s="3" t="s">
        <v>145</v>
      </c>
      <c r="E269" s="3" t="s">
        <v>71</v>
      </c>
      <c r="F269" s="3">
        <v>1998</v>
      </c>
      <c r="G269" s="3" t="s">
        <v>146</v>
      </c>
      <c r="H269" s="3" t="s">
        <v>147</v>
      </c>
      <c r="I269" s="3" t="s">
        <v>148</v>
      </c>
      <c r="J269" s="3" t="s">
        <v>149</v>
      </c>
      <c r="K269" s="3" t="s">
        <v>45</v>
      </c>
      <c r="L269" s="3" t="s">
        <v>46</v>
      </c>
      <c r="M269" s="1" t="s">
        <v>115</v>
      </c>
      <c r="N269" s="1" t="s">
        <v>116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119</v>
      </c>
      <c r="V269" s="3" t="s">
        <v>157</v>
      </c>
      <c r="W269" s="3">
        <v>40.5</v>
      </c>
      <c r="X269" s="3">
        <v>-74.569999999999993</v>
      </c>
      <c r="Y269" s="3" t="s">
        <v>48</v>
      </c>
      <c r="Z269" s="3" t="s">
        <v>151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155</v>
      </c>
      <c r="AF269" s="1" t="s">
        <v>49</v>
      </c>
      <c r="AG269" s="1" t="s">
        <v>49</v>
      </c>
      <c r="AH269" s="1" t="s">
        <v>152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6" t="s">
        <v>49</v>
      </c>
      <c r="AW269" s="29" t="s">
        <v>49</v>
      </c>
    </row>
    <row r="270" spans="1:49" ht="14.4" customHeight="1">
      <c r="A270" s="1">
        <v>8</v>
      </c>
      <c r="B270" s="1" t="s">
        <v>38</v>
      </c>
      <c r="C270" s="1" t="s">
        <v>38</v>
      </c>
      <c r="D270" s="3" t="s">
        <v>145</v>
      </c>
      <c r="E270" s="3" t="s">
        <v>71</v>
      </c>
      <c r="F270" s="3">
        <v>1998</v>
      </c>
      <c r="G270" s="3" t="s">
        <v>146</v>
      </c>
      <c r="H270" s="3" t="s">
        <v>147</v>
      </c>
      <c r="I270" s="3" t="s">
        <v>148</v>
      </c>
      <c r="J270" s="3" t="s">
        <v>149</v>
      </c>
      <c r="K270" s="3" t="s">
        <v>45</v>
      </c>
      <c r="L270" s="3" t="s">
        <v>46</v>
      </c>
      <c r="M270" s="1" t="s">
        <v>115</v>
      </c>
      <c r="N270" s="1" t="s">
        <v>116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119</v>
      </c>
      <c r="V270" s="3" t="s">
        <v>157</v>
      </c>
      <c r="W270" s="3">
        <v>40.5</v>
      </c>
      <c r="X270" s="3">
        <v>-74.569999999999993</v>
      </c>
      <c r="Y270" s="3" t="s">
        <v>48</v>
      </c>
      <c r="Z270" s="3" t="s">
        <v>151</v>
      </c>
      <c r="AA270" s="6" t="s">
        <v>49</v>
      </c>
      <c r="AB270" s="6" t="s">
        <v>49</v>
      </c>
      <c r="AC270" s="6" t="s">
        <v>49</v>
      </c>
      <c r="AD270" s="1" t="s">
        <v>89</v>
      </c>
      <c r="AE270" s="1" t="s">
        <v>84</v>
      </c>
      <c r="AF270" s="1" t="s">
        <v>49</v>
      </c>
      <c r="AG270" s="1" t="s">
        <v>49</v>
      </c>
      <c r="AH270" s="1" t="s">
        <v>152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6" t="s">
        <v>49</v>
      </c>
      <c r="AW270" s="29" t="s">
        <v>49</v>
      </c>
    </row>
    <row r="271" spans="1:49" ht="14.4" customHeight="1">
      <c r="A271" s="1">
        <v>8</v>
      </c>
      <c r="B271" s="1" t="s">
        <v>38</v>
      </c>
      <c r="C271" s="1" t="s">
        <v>38</v>
      </c>
      <c r="D271" s="3" t="s">
        <v>145</v>
      </c>
      <c r="E271" s="3" t="s">
        <v>71</v>
      </c>
      <c r="F271" s="3">
        <v>1998</v>
      </c>
      <c r="G271" s="3" t="s">
        <v>146</v>
      </c>
      <c r="H271" s="3" t="s">
        <v>147</v>
      </c>
      <c r="I271" s="3" t="s">
        <v>148</v>
      </c>
      <c r="J271" s="3" t="s">
        <v>149</v>
      </c>
      <c r="K271" s="3" t="s">
        <v>45</v>
      </c>
      <c r="L271" s="3" t="s">
        <v>46</v>
      </c>
      <c r="M271" s="1" t="s">
        <v>115</v>
      </c>
      <c r="N271" s="1" t="s">
        <v>116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119</v>
      </c>
      <c r="V271" s="3" t="s">
        <v>157</v>
      </c>
      <c r="W271" s="3">
        <v>40.5</v>
      </c>
      <c r="X271" s="3">
        <v>-74.569999999999993</v>
      </c>
      <c r="Y271" s="3" t="s">
        <v>48</v>
      </c>
      <c r="Z271" s="3" t="s">
        <v>151</v>
      </c>
      <c r="AA271" s="6" t="s">
        <v>49</v>
      </c>
      <c r="AB271" s="6" t="s">
        <v>49</v>
      </c>
      <c r="AC271" s="6" t="s">
        <v>49</v>
      </c>
      <c r="AD271" s="1" t="s">
        <v>89</v>
      </c>
      <c r="AE271" s="1" t="s">
        <v>153</v>
      </c>
      <c r="AF271" s="1" t="s">
        <v>49</v>
      </c>
      <c r="AG271" s="1" t="s">
        <v>49</v>
      </c>
      <c r="AH271" s="1" t="s">
        <v>152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6" t="s">
        <v>49</v>
      </c>
      <c r="AW271" s="29" t="s">
        <v>49</v>
      </c>
    </row>
    <row r="272" spans="1:49" ht="14.4" customHeight="1">
      <c r="A272" s="1">
        <v>8</v>
      </c>
      <c r="B272" s="1" t="s">
        <v>38</v>
      </c>
      <c r="C272" s="1" t="s">
        <v>38</v>
      </c>
      <c r="D272" s="3" t="s">
        <v>145</v>
      </c>
      <c r="E272" s="3" t="s">
        <v>71</v>
      </c>
      <c r="F272" s="3">
        <v>1998</v>
      </c>
      <c r="G272" s="3" t="s">
        <v>146</v>
      </c>
      <c r="H272" s="3" t="s">
        <v>147</v>
      </c>
      <c r="I272" s="3" t="s">
        <v>148</v>
      </c>
      <c r="J272" s="3" t="s">
        <v>149</v>
      </c>
      <c r="K272" s="3" t="s">
        <v>45</v>
      </c>
      <c r="L272" s="3" t="s">
        <v>46</v>
      </c>
      <c r="M272" s="1" t="s">
        <v>115</v>
      </c>
      <c r="N272" s="1" t="s">
        <v>116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119</v>
      </c>
      <c r="V272" s="3" t="s">
        <v>157</v>
      </c>
      <c r="W272" s="3">
        <v>40.5</v>
      </c>
      <c r="X272" s="3">
        <v>-74.569999999999993</v>
      </c>
      <c r="Y272" s="3" t="s">
        <v>48</v>
      </c>
      <c r="Z272" s="3" t="s">
        <v>151</v>
      </c>
      <c r="AA272" s="6" t="s">
        <v>49</v>
      </c>
      <c r="AB272" s="6" t="s">
        <v>49</v>
      </c>
      <c r="AC272" s="6" t="s">
        <v>49</v>
      </c>
      <c r="AD272" s="1" t="s">
        <v>89</v>
      </c>
      <c r="AE272" s="1" t="s">
        <v>155</v>
      </c>
      <c r="AF272" s="1" t="s">
        <v>49</v>
      </c>
      <c r="AG272" s="1" t="s">
        <v>49</v>
      </c>
      <c r="AH272" s="1" t="s">
        <v>152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6" t="s">
        <v>49</v>
      </c>
      <c r="AW272" s="29" t="s">
        <v>49</v>
      </c>
    </row>
    <row r="273" spans="1:49" ht="14.4" customHeight="1">
      <c r="A273" s="1">
        <v>8</v>
      </c>
      <c r="B273" s="1" t="s">
        <v>38</v>
      </c>
      <c r="C273" s="1" t="s">
        <v>38</v>
      </c>
      <c r="D273" s="3" t="s">
        <v>145</v>
      </c>
      <c r="E273" s="3" t="s">
        <v>71</v>
      </c>
      <c r="F273" s="3">
        <v>1998</v>
      </c>
      <c r="G273" s="3" t="s">
        <v>146</v>
      </c>
      <c r="H273" s="3" t="s">
        <v>147</v>
      </c>
      <c r="I273" s="3" t="s">
        <v>148</v>
      </c>
      <c r="J273" s="3" t="s">
        <v>149</v>
      </c>
      <c r="K273" s="3" t="s">
        <v>45</v>
      </c>
      <c r="L273" s="3" t="s">
        <v>46</v>
      </c>
      <c r="M273" s="1" t="s">
        <v>115</v>
      </c>
      <c r="N273" s="1" t="s">
        <v>116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119</v>
      </c>
      <c r="V273" s="3" t="s">
        <v>157</v>
      </c>
      <c r="W273" s="3">
        <v>40.5</v>
      </c>
      <c r="X273" s="3">
        <v>-74.569999999999993</v>
      </c>
      <c r="Y273" s="3" t="s">
        <v>48</v>
      </c>
      <c r="Z273" s="3" t="s">
        <v>151</v>
      </c>
      <c r="AA273" s="6" t="s">
        <v>49</v>
      </c>
      <c r="AB273" s="6" t="s">
        <v>49</v>
      </c>
      <c r="AC273" s="6" t="s">
        <v>49</v>
      </c>
      <c r="AD273" s="1" t="s">
        <v>84</v>
      </c>
      <c r="AE273" s="1" t="s">
        <v>153</v>
      </c>
      <c r="AF273" s="1" t="s">
        <v>49</v>
      </c>
      <c r="AG273" s="1" t="s">
        <v>49</v>
      </c>
      <c r="AH273" s="1" t="s">
        <v>152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6" t="s">
        <v>49</v>
      </c>
      <c r="AW273" s="29" t="s">
        <v>49</v>
      </c>
    </row>
    <row r="274" spans="1:49" ht="14.4" customHeight="1">
      <c r="A274" s="1">
        <v>8</v>
      </c>
      <c r="B274" s="1" t="s">
        <v>38</v>
      </c>
      <c r="C274" s="1" t="s">
        <v>38</v>
      </c>
      <c r="D274" s="3" t="s">
        <v>145</v>
      </c>
      <c r="E274" s="3" t="s">
        <v>71</v>
      </c>
      <c r="F274" s="3">
        <v>1998</v>
      </c>
      <c r="G274" s="3" t="s">
        <v>146</v>
      </c>
      <c r="H274" s="3" t="s">
        <v>147</v>
      </c>
      <c r="I274" s="3" t="s">
        <v>148</v>
      </c>
      <c r="J274" s="3" t="s">
        <v>149</v>
      </c>
      <c r="K274" s="3" t="s">
        <v>45</v>
      </c>
      <c r="L274" s="3" t="s">
        <v>46</v>
      </c>
      <c r="M274" s="1" t="s">
        <v>115</v>
      </c>
      <c r="N274" s="1" t="s">
        <v>116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119</v>
      </c>
      <c r="V274" s="3" t="s">
        <v>157</v>
      </c>
      <c r="W274" s="3">
        <v>40.5</v>
      </c>
      <c r="X274" s="3">
        <v>-74.569999999999993</v>
      </c>
      <c r="Y274" s="3" t="s">
        <v>48</v>
      </c>
      <c r="Z274" s="3" t="s">
        <v>151</v>
      </c>
      <c r="AA274" s="6" t="s">
        <v>49</v>
      </c>
      <c r="AB274" s="6" t="s">
        <v>49</v>
      </c>
      <c r="AC274" s="6" t="s">
        <v>49</v>
      </c>
      <c r="AD274" s="1" t="s">
        <v>84</v>
      </c>
      <c r="AE274" s="1" t="s">
        <v>155</v>
      </c>
      <c r="AF274" s="1" t="s">
        <v>49</v>
      </c>
      <c r="AG274" s="1" t="s">
        <v>49</v>
      </c>
      <c r="AH274" s="1" t="s">
        <v>152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6" t="s">
        <v>49</v>
      </c>
      <c r="AW274" s="29" t="s">
        <v>49</v>
      </c>
    </row>
    <row r="275" spans="1:49" ht="14.4" customHeight="1">
      <c r="A275" s="1">
        <v>8</v>
      </c>
      <c r="B275" s="1" t="s">
        <v>38</v>
      </c>
      <c r="C275" s="1" t="s">
        <v>38</v>
      </c>
      <c r="D275" s="3" t="s">
        <v>145</v>
      </c>
      <c r="E275" s="3" t="s">
        <v>71</v>
      </c>
      <c r="F275" s="3">
        <v>1998</v>
      </c>
      <c r="G275" s="3" t="s">
        <v>146</v>
      </c>
      <c r="H275" s="3" t="s">
        <v>147</v>
      </c>
      <c r="I275" s="3" t="s">
        <v>148</v>
      </c>
      <c r="J275" s="3" t="s">
        <v>149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119</v>
      </c>
      <c r="V275" s="3" t="s">
        <v>157</v>
      </c>
      <c r="W275" s="3">
        <v>40.5</v>
      </c>
      <c r="X275" s="3">
        <v>-74.569999999999993</v>
      </c>
      <c r="Y275" s="3" t="s">
        <v>48</v>
      </c>
      <c r="Z275" s="3" t="s">
        <v>151</v>
      </c>
      <c r="AA275" s="6" t="s">
        <v>49</v>
      </c>
      <c r="AB275" s="6" t="s">
        <v>49</v>
      </c>
      <c r="AC275" s="6" t="s">
        <v>49</v>
      </c>
      <c r="AD275" s="1" t="s">
        <v>153</v>
      </c>
      <c r="AE275" s="1" t="s">
        <v>155</v>
      </c>
      <c r="AF275" s="1" t="s">
        <v>49</v>
      </c>
      <c r="AG275" s="1" t="s">
        <v>49</v>
      </c>
      <c r="AH275" s="1" t="s">
        <v>152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6" t="s">
        <v>49</v>
      </c>
      <c r="AW275" s="29" t="s">
        <v>49</v>
      </c>
    </row>
    <row r="276" spans="1:49" ht="14.4" customHeight="1">
      <c r="A276" s="1">
        <v>8</v>
      </c>
      <c r="B276" s="1" t="s">
        <v>38</v>
      </c>
      <c r="C276" s="1" t="s">
        <v>38</v>
      </c>
      <c r="D276" s="3" t="s">
        <v>145</v>
      </c>
      <c r="E276" s="3" t="s">
        <v>71</v>
      </c>
      <c r="F276" s="3">
        <v>1998</v>
      </c>
      <c r="G276" s="3" t="s">
        <v>146</v>
      </c>
      <c r="H276" s="3" t="s">
        <v>147</v>
      </c>
      <c r="I276" s="3" t="s">
        <v>148</v>
      </c>
      <c r="J276" s="3" t="s">
        <v>149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119</v>
      </c>
      <c r="V276" s="3" t="s">
        <v>158</v>
      </c>
      <c r="W276" s="3">
        <v>40.479999999999997</v>
      </c>
      <c r="X276" s="3">
        <v>-74.42</v>
      </c>
      <c r="Y276" s="3" t="s">
        <v>48</v>
      </c>
      <c r="Z276" s="3" t="s">
        <v>151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152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6" t="s">
        <v>49</v>
      </c>
      <c r="AS276" s="1">
        <f>AL276*AN276</f>
        <v>12.104411000000001</v>
      </c>
      <c r="AT276" s="4">
        <f>AS276/(AM276^2)*100</f>
        <v>8.0662463973344458</v>
      </c>
      <c r="AU276" s="5">
        <v>0</v>
      </c>
      <c r="AV276" s="4">
        <f>AT276*(1-AL276)/AL276</f>
        <v>65.263266305705969</v>
      </c>
      <c r="AW276" s="29" t="s">
        <v>156</v>
      </c>
    </row>
    <row r="277" spans="1:49" ht="14.4" customHeight="1">
      <c r="A277" s="1">
        <v>8</v>
      </c>
      <c r="B277" s="1" t="s">
        <v>38</v>
      </c>
      <c r="C277" s="1" t="s">
        <v>38</v>
      </c>
      <c r="D277" s="3" t="s">
        <v>145</v>
      </c>
      <c r="E277" s="3" t="s">
        <v>71</v>
      </c>
      <c r="F277" s="3">
        <v>1998</v>
      </c>
      <c r="G277" s="3" t="s">
        <v>146</v>
      </c>
      <c r="H277" s="3" t="s">
        <v>147</v>
      </c>
      <c r="I277" s="3" t="s">
        <v>148</v>
      </c>
      <c r="J277" s="3" t="s">
        <v>149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119</v>
      </c>
      <c r="V277" s="3" t="s">
        <v>158</v>
      </c>
      <c r="W277" s="3">
        <v>40.479999999999997</v>
      </c>
      <c r="X277" s="3">
        <v>-74.42</v>
      </c>
      <c r="Y277" s="3" t="s">
        <v>48</v>
      </c>
      <c r="Z277" s="3" t="s">
        <v>151</v>
      </c>
      <c r="AA277" s="1" t="s">
        <v>50</v>
      </c>
      <c r="AB277" s="1" t="s">
        <v>57</v>
      </c>
      <c r="AC277" s="1" t="s">
        <v>58</v>
      </c>
      <c r="AD277" s="1" t="s">
        <v>84</v>
      </c>
      <c r="AE277" s="1" t="s">
        <v>84</v>
      </c>
      <c r="AF277" s="1" t="s">
        <v>60</v>
      </c>
      <c r="AG277" s="1" t="s">
        <v>61</v>
      </c>
      <c r="AH277" s="1" t="s">
        <v>152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6" t="s">
        <v>49</v>
      </c>
      <c r="AS277" s="1">
        <f>AL277*AN277</f>
        <v>1.3067999999999997</v>
      </c>
      <c r="AT277" s="4">
        <f>AS277/(AM277^2)*100</f>
        <v>0.90901439272788476</v>
      </c>
      <c r="AU277" s="5">
        <v>0</v>
      </c>
      <c r="AV277" s="4">
        <f>AT277*(1-AL277)/AL277</f>
        <v>0.9847655921218752</v>
      </c>
      <c r="AW277" s="29" t="s">
        <v>156</v>
      </c>
    </row>
    <row r="278" spans="1:49" ht="14.4" customHeight="1">
      <c r="A278" s="1">
        <v>8</v>
      </c>
      <c r="B278" s="1" t="s">
        <v>38</v>
      </c>
      <c r="C278" s="1" t="s">
        <v>38</v>
      </c>
      <c r="D278" s="3" t="s">
        <v>145</v>
      </c>
      <c r="E278" s="3" t="s">
        <v>71</v>
      </c>
      <c r="F278" s="3">
        <v>1998</v>
      </c>
      <c r="G278" s="3" t="s">
        <v>146</v>
      </c>
      <c r="H278" s="3" t="s">
        <v>147</v>
      </c>
      <c r="I278" s="3" t="s">
        <v>148</v>
      </c>
      <c r="J278" s="3" t="s">
        <v>149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119</v>
      </c>
      <c r="V278" s="3" t="s">
        <v>158</v>
      </c>
      <c r="W278" s="3">
        <v>40.479999999999997</v>
      </c>
      <c r="X278" s="3">
        <v>-74.42</v>
      </c>
      <c r="Y278" s="3" t="s">
        <v>48</v>
      </c>
      <c r="Z278" s="3" t="s">
        <v>151</v>
      </c>
      <c r="AA278" s="1" t="s">
        <v>50</v>
      </c>
      <c r="AB278" s="1" t="s">
        <v>57</v>
      </c>
      <c r="AC278" s="1" t="s">
        <v>86</v>
      </c>
      <c r="AD278" s="1" t="s">
        <v>153</v>
      </c>
      <c r="AE278" s="1" t="s">
        <v>153</v>
      </c>
      <c r="AF278" s="1" t="s">
        <v>60</v>
      </c>
      <c r="AG278" s="1" t="s">
        <v>61</v>
      </c>
      <c r="AH278" s="1" t="s">
        <v>152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6" t="s">
        <v>49</v>
      </c>
      <c r="AS278" s="1">
        <f>AL278*AN278</f>
        <v>0.27151799999999998</v>
      </c>
      <c r="AT278" s="4">
        <f>AS278/(AM278^2)*100</f>
        <v>0.45676189899418107</v>
      </c>
      <c r="AU278" s="5">
        <v>0</v>
      </c>
      <c r="AV278" s="4">
        <f>AT278*(1-AL278)/AL278</f>
        <v>0.12883027920348694</v>
      </c>
      <c r="AW278" s="29" t="s">
        <v>159</v>
      </c>
    </row>
    <row r="279" spans="1:49" ht="14.4" customHeight="1">
      <c r="A279" s="1">
        <v>8</v>
      </c>
      <c r="B279" s="1" t="s">
        <v>38</v>
      </c>
      <c r="C279" s="1" t="s">
        <v>38</v>
      </c>
      <c r="D279" s="3" t="s">
        <v>145</v>
      </c>
      <c r="E279" s="3" t="s">
        <v>71</v>
      </c>
      <c r="F279" s="3">
        <v>1998</v>
      </c>
      <c r="G279" s="3" t="s">
        <v>146</v>
      </c>
      <c r="H279" s="3" t="s">
        <v>147</v>
      </c>
      <c r="I279" s="3" t="s">
        <v>148</v>
      </c>
      <c r="J279" s="3" t="s">
        <v>149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119</v>
      </c>
      <c r="V279" s="3" t="s">
        <v>158</v>
      </c>
      <c r="W279" s="3">
        <v>40.479999999999997</v>
      </c>
      <c r="X279" s="3">
        <v>-74.42</v>
      </c>
      <c r="Y279" s="3" t="s">
        <v>48</v>
      </c>
      <c r="Z279" s="3" t="s">
        <v>151</v>
      </c>
      <c r="AA279" s="1" t="s">
        <v>50</v>
      </c>
      <c r="AB279" s="1" t="s">
        <v>66</v>
      </c>
      <c r="AC279" s="1" t="s">
        <v>67</v>
      </c>
      <c r="AD279" s="1" t="s">
        <v>89</v>
      </c>
      <c r="AE279" s="1" t="s">
        <v>89</v>
      </c>
      <c r="AF279" s="1" t="s">
        <v>60</v>
      </c>
      <c r="AG279" s="1" t="s">
        <v>61</v>
      </c>
      <c r="AH279" s="1" t="s">
        <v>152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6" t="s">
        <v>49</v>
      </c>
      <c r="AS279" s="1">
        <f>AL279*AN279</f>
        <v>3.5835999999999997</v>
      </c>
      <c r="AT279" s="4">
        <f>AS279/(AM279^2)*100</f>
        <v>0.37074737419175757</v>
      </c>
      <c r="AU279" s="5">
        <v>0</v>
      </c>
      <c r="AV279" s="4">
        <f>AT279*(1-AL279)/AL279</f>
        <v>0.82521189739455714</v>
      </c>
      <c r="AW279" s="29" t="s">
        <v>156</v>
      </c>
    </row>
    <row r="280" spans="1:49" ht="14.4" customHeight="1">
      <c r="A280" s="1">
        <v>8</v>
      </c>
      <c r="B280" s="1" t="s">
        <v>38</v>
      </c>
      <c r="C280" s="1" t="s">
        <v>38</v>
      </c>
      <c r="D280" s="3" t="s">
        <v>145</v>
      </c>
      <c r="E280" s="3" t="s">
        <v>71</v>
      </c>
      <c r="F280" s="3">
        <v>1998</v>
      </c>
      <c r="G280" s="3" t="s">
        <v>146</v>
      </c>
      <c r="H280" s="3" t="s">
        <v>147</v>
      </c>
      <c r="I280" s="3" t="s">
        <v>148</v>
      </c>
      <c r="J280" s="3" t="s">
        <v>149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119</v>
      </c>
      <c r="V280" s="3" t="s">
        <v>158</v>
      </c>
      <c r="W280" s="3">
        <v>40.479999999999997</v>
      </c>
      <c r="X280" s="3">
        <v>-74.42</v>
      </c>
      <c r="Y280" s="3" t="s">
        <v>48</v>
      </c>
      <c r="Z280" s="3" t="s">
        <v>151</v>
      </c>
      <c r="AA280" s="1" t="s">
        <v>50</v>
      </c>
      <c r="AB280" s="1" t="s">
        <v>86</v>
      </c>
      <c r="AC280" s="1" t="s">
        <v>154</v>
      </c>
      <c r="AD280" s="1" t="s">
        <v>155</v>
      </c>
      <c r="AE280" s="1" t="s">
        <v>155</v>
      </c>
      <c r="AF280" s="1" t="s">
        <v>60</v>
      </c>
      <c r="AG280" s="1" t="s">
        <v>61</v>
      </c>
      <c r="AH280" s="1" t="s">
        <v>152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6" t="s">
        <v>49</v>
      </c>
      <c r="AS280" s="1">
        <f>AL280*AN280</f>
        <v>1.4080000000000002E-2</v>
      </c>
      <c r="AT280" s="4">
        <f>AS280/(AM280^2)*100</f>
        <v>0.30459707950243381</v>
      </c>
      <c r="AU280" s="5">
        <v>0</v>
      </c>
      <c r="AV280" s="4">
        <f>AT280*(1-AL280)/AL280</f>
        <v>0.2492157923201731</v>
      </c>
      <c r="AW280" s="29" t="s">
        <v>159</v>
      </c>
    </row>
    <row r="281" spans="1:49" ht="14.4" customHeight="1">
      <c r="A281" s="1">
        <v>8</v>
      </c>
      <c r="B281" s="1" t="s">
        <v>38</v>
      </c>
      <c r="C281" s="1" t="s">
        <v>38</v>
      </c>
      <c r="D281" s="3" t="s">
        <v>145</v>
      </c>
      <c r="E281" s="3" t="s">
        <v>71</v>
      </c>
      <c r="F281" s="3">
        <v>1998</v>
      </c>
      <c r="G281" s="3" t="s">
        <v>146</v>
      </c>
      <c r="H281" s="3" t="s">
        <v>147</v>
      </c>
      <c r="I281" s="3" t="s">
        <v>148</v>
      </c>
      <c r="J281" s="3" t="s">
        <v>149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119</v>
      </c>
      <c r="V281" s="3" t="s">
        <v>158</v>
      </c>
      <c r="W281" s="3">
        <v>40.479999999999997</v>
      </c>
      <c r="X281" s="3">
        <v>-74.42</v>
      </c>
      <c r="Y281" s="3" t="s">
        <v>48</v>
      </c>
      <c r="Z281" s="3" t="s">
        <v>151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89</v>
      </c>
      <c r="AF281" s="1" t="s">
        <v>49</v>
      </c>
      <c r="AG281" s="1" t="s">
        <v>49</v>
      </c>
      <c r="AH281" s="1" t="s">
        <v>152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6" t="s">
        <v>49</v>
      </c>
      <c r="AW281" s="29" t="s">
        <v>49</v>
      </c>
    </row>
    <row r="282" spans="1:49" ht="14.4" customHeight="1">
      <c r="A282" s="1">
        <v>8</v>
      </c>
      <c r="B282" s="1" t="s">
        <v>38</v>
      </c>
      <c r="C282" s="1" t="s">
        <v>38</v>
      </c>
      <c r="D282" s="3" t="s">
        <v>145</v>
      </c>
      <c r="E282" s="3" t="s">
        <v>71</v>
      </c>
      <c r="F282" s="3">
        <v>1998</v>
      </c>
      <c r="G282" s="3" t="s">
        <v>146</v>
      </c>
      <c r="H282" s="3" t="s">
        <v>147</v>
      </c>
      <c r="I282" s="3" t="s">
        <v>148</v>
      </c>
      <c r="J282" s="3" t="s">
        <v>149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119</v>
      </c>
      <c r="V282" s="3" t="s">
        <v>158</v>
      </c>
      <c r="W282" s="3">
        <v>40.479999999999997</v>
      </c>
      <c r="X282" s="3">
        <v>-74.42</v>
      </c>
      <c r="Y282" s="3" t="s">
        <v>48</v>
      </c>
      <c r="Z282" s="3" t="s">
        <v>151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84</v>
      </c>
      <c r="AF282" s="1" t="s">
        <v>49</v>
      </c>
      <c r="AG282" s="1" t="s">
        <v>49</v>
      </c>
      <c r="AH282" s="1" t="s">
        <v>152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6" t="s">
        <v>49</v>
      </c>
      <c r="AW282" s="29" t="s">
        <v>49</v>
      </c>
    </row>
    <row r="283" spans="1:49" ht="14.4" customHeight="1">
      <c r="A283" s="1">
        <v>8</v>
      </c>
      <c r="B283" s="1" t="s">
        <v>38</v>
      </c>
      <c r="C283" s="1" t="s">
        <v>38</v>
      </c>
      <c r="D283" s="3" t="s">
        <v>145</v>
      </c>
      <c r="E283" s="3" t="s">
        <v>71</v>
      </c>
      <c r="F283" s="3">
        <v>1998</v>
      </c>
      <c r="G283" s="3" t="s">
        <v>146</v>
      </c>
      <c r="H283" s="3" t="s">
        <v>147</v>
      </c>
      <c r="I283" s="3" t="s">
        <v>148</v>
      </c>
      <c r="J283" s="3" t="s">
        <v>149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119</v>
      </c>
      <c r="V283" s="3" t="s">
        <v>158</v>
      </c>
      <c r="W283" s="3">
        <v>40.479999999999997</v>
      </c>
      <c r="X283" s="3">
        <v>-74.42</v>
      </c>
      <c r="Y283" s="3" t="s">
        <v>48</v>
      </c>
      <c r="Z283" s="3" t="s">
        <v>151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153</v>
      </c>
      <c r="AF283" s="1" t="s">
        <v>49</v>
      </c>
      <c r="AG283" s="1" t="s">
        <v>49</v>
      </c>
      <c r="AH283" s="1" t="s">
        <v>152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6" t="s">
        <v>49</v>
      </c>
      <c r="AW283" s="29" t="s">
        <v>49</v>
      </c>
    </row>
    <row r="284" spans="1:49" ht="14.4" customHeight="1">
      <c r="A284" s="1">
        <v>8</v>
      </c>
      <c r="B284" s="1" t="s">
        <v>38</v>
      </c>
      <c r="C284" s="1" t="s">
        <v>38</v>
      </c>
      <c r="D284" s="3" t="s">
        <v>145</v>
      </c>
      <c r="E284" s="3" t="s">
        <v>71</v>
      </c>
      <c r="F284" s="3">
        <v>1998</v>
      </c>
      <c r="G284" s="3" t="s">
        <v>146</v>
      </c>
      <c r="H284" s="3" t="s">
        <v>147</v>
      </c>
      <c r="I284" s="3" t="s">
        <v>148</v>
      </c>
      <c r="J284" s="3" t="s">
        <v>149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119</v>
      </c>
      <c r="V284" s="3" t="s">
        <v>158</v>
      </c>
      <c r="W284" s="3">
        <v>40.479999999999997</v>
      </c>
      <c r="X284" s="3">
        <v>-74.42</v>
      </c>
      <c r="Y284" s="3" t="s">
        <v>48</v>
      </c>
      <c r="Z284" s="3" t="s">
        <v>151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155</v>
      </c>
      <c r="AF284" s="1" t="s">
        <v>49</v>
      </c>
      <c r="AG284" s="1" t="s">
        <v>49</v>
      </c>
      <c r="AH284" s="1" t="s">
        <v>152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6" t="s">
        <v>49</v>
      </c>
      <c r="AW284" s="29" t="s">
        <v>49</v>
      </c>
    </row>
    <row r="285" spans="1:49" ht="14.4" customHeight="1">
      <c r="A285" s="1">
        <v>8</v>
      </c>
      <c r="B285" s="1" t="s">
        <v>38</v>
      </c>
      <c r="C285" s="1" t="s">
        <v>38</v>
      </c>
      <c r="D285" s="3" t="s">
        <v>145</v>
      </c>
      <c r="E285" s="3" t="s">
        <v>71</v>
      </c>
      <c r="F285" s="3">
        <v>1998</v>
      </c>
      <c r="G285" s="3" t="s">
        <v>146</v>
      </c>
      <c r="H285" s="3" t="s">
        <v>147</v>
      </c>
      <c r="I285" s="3" t="s">
        <v>148</v>
      </c>
      <c r="J285" s="3" t="s">
        <v>149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119</v>
      </c>
      <c r="V285" s="3" t="s">
        <v>158</v>
      </c>
      <c r="W285" s="3">
        <v>40.479999999999997</v>
      </c>
      <c r="X285" s="3">
        <v>-74.42</v>
      </c>
      <c r="Y285" s="3" t="s">
        <v>48</v>
      </c>
      <c r="Z285" s="3" t="s">
        <v>151</v>
      </c>
      <c r="AA285" s="6" t="s">
        <v>49</v>
      </c>
      <c r="AB285" s="6" t="s">
        <v>49</v>
      </c>
      <c r="AC285" s="6" t="s">
        <v>49</v>
      </c>
      <c r="AD285" s="1" t="s">
        <v>89</v>
      </c>
      <c r="AE285" s="1" t="s">
        <v>84</v>
      </c>
      <c r="AF285" s="1" t="s">
        <v>49</v>
      </c>
      <c r="AG285" s="1" t="s">
        <v>49</v>
      </c>
      <c r="AH285" s="1" t="s">
        <v>152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6" t="s">
        <v>49</v>
      </c>
      <c r="AW285" s="29" t="s">
        <v>49</v>
      </c>
    </row>
    <row r="286" spans="1:49" ht="14.4" customHeight="1">
      <c r="A286" s="1">
        <v>8</v>
      </c>
      <c r="B286" s="1" t="s">
        <v>38</v>
      </c>
      <c r="C286" s="1" t="s">
        <v>38</v>
      </c>
      <c r="D286" s="3" t="s">
        <v>145</v>
      </c>
      <c r="E286" s="3" t="s">
        <v>71</v>
      </c>
      <c r="F286" s="3">
        <v>1998</v>
      </c>
      <c r="G286" s="3" t="s">
        <v>146</v>
      </c>
      <c r="H286" s="3" t="s">
        <v>147</v>
      </c>
      <c r="I286" s="3" t="s">
        <v>148</v>
      </c>
      <c r="J286" s="3" t="s">
        <v>149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119</v>
      </c>
      <c r="V286" s="3" t="s">
        <v>158</v>
      </c>
      <c r="W286" s="3">
        <v>40.479999999999997</v>
      </c>
      <c r="X286" s="3">
        <v>-74.42</v>
      </c>
      <c r="Y286" s="3" t="s">
        <v>48</v>
      </c>
      <c r="Z286" s="3" t="s">
        <v>151</v>
      </c>
      <c r="AA286" s="6" t="s">
        <v>49</v>
      </c>
      <c r="AB286" s="6" t="s">
        <v>49</v>
      </c>
      <c r="AC286" s="6" t="s">
        <v>49</v>
      </c>
      <c r="AD286" s="1" t="s">
        <v>89</v>
      </c>
      <c r="AE286" s="1" t="s">
        <v>153</v>
      </c>
      <c r="AF286" s="1" t="s">
        <v>49</v>
      </c>
      <c r="AG286" s="1" t="s">
        <v>49</v>
      </c>
      <c r="AH286" s="1" t="s">
        <v>152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6" t="s">
        <v>49</v>
      </c>
      <c r="AW286" s="29" t="s">
        <v>49</v>
      </c>
    </row>
    <row r="287" spans="1:49" ht="14.4" customHeight="1">
      <c r="A287" s="1">
        <v>8</v>
      </c>
      <c r="B287" s="1" t="s">
        <v>38</v>
      </c>
      <c r="C287" s="1" t="s">
        <v>38</v>
      </c>
      <c r="D287" s="3" t="s">
        <v>145</v>
      </c>
      <c r="E287" s="3" t="s">
        <v>71</v>
      </c>
      <c r="F287" s="3">
        <v>1998</v>
      </c>
      <c r="G287" s="3" t="s">
        <v>146</v>
      </c>
      <c r="H287" s="3" t="s">
        <v>147</v>
      </c>
      <c r="I287" s="3" t="s">
        <v>148</v>
      </c>
      <c r="J287" s="3" t="s">
        <v>149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119</v>
      </c>
      <c r="V287" s="3" t="s">
        <v>158</v>
      </c>
      <c r="W287" s="3">
        <v>40.479999999999997</v>
      </c>
      <c r="X287" s="3">
        <v>-74.42</v>
      </c>
      <c r="Y287" s="3" t="s">
        <v>48</v>
      </c>
      <c r="Z287" s="3" t="s">
        <v>151</v>
      </c>
      <c r="AA287" s="6" t="s">
        <v>49</v>
      </c>
      <c r="AB287" s="6" t="s">
        <v>49</v>
      </c>
      <c r="AC287" s="6" t="s">
        <v>49</v>
      </c>
      <c r="AD287" s="1" t="s">
        <v>89</v>
      </c>
      <c r="AE287" s="1" t="s">
        <v>155</v>
      </c>
      <c r="AF287" s="1" t="s">
        <v>49</v>
      </c>
      <c r="AG287" s="1" t="s">
        <v>49</v>
      </c>
      <c r="AH287" s="1" t="s">
        <v>152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6" t="s">
        <v>49</v>
      </c>
      <c r="AW287" s="29" t="s">
        <v>49</v>
      </c>
    </row>
    <row r="288" spans="1:49" ht="14.4" customHeight="1">
      <c r="A288" s="1">
        <v>8</v>
      </c>
      <c r="B288" s="1" t="s">
        <v>38</v>
      </c>
      <c r="C288" s="1" t="s">
        <v>38</v>
      </c>
      <c r="D288" s="3" t="s">
        <v>145</v>
      </c>
      <c r="E288" s="3" t="s">
        <v>71</v>
      </c>
      <c r="F288" s="3">
        <v>1998</v>
      </c>
      <c r="G288" s="3" t="s">
        <v>146</v>
      </c>
      <c r="H288" s="3" t="s">
        <v>147</v>
      </c>
      <c r="I288" s="3" t="s">
        <v>148</v>
      </c>
      <c r="J288" s="3" t="s">
        <v>149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119</v>
      </c>
      <c r="V288" s="3" t="s">
        <v>158</v>
      </c>
      <c r="W288" s="3">
        <v>40.479999999999997</v>
      </c>
      <c r="X288" s="3">
        <v>-74.42</v>
      </c>
      <c r="Y288" s="3" t="s">
        <v>48</v>
      </c>
      <c r="Z288" s="3" t="s">
        <v>151</v>
      </c>
      <c r="AA288" s="6" t="s">
        <v>49</v>
      </c>
      <c r="AB288" s="6" t="s">
        <v>49</v>
      </c>
      <c r="AC288" s="6" t="s">
        <v>49</v>
      </c>
      <c r="AD288" s="1" t="s">
        <v>84</v>
      </c>
      <c r="AE288" s="1" t="s">
        <v>153</v>
      </c>
      <c r="AF288" s="1" t="s">
        <v>49</v>
      </c>
      <c r="AG288" s="1" t="s">
        <v>49</v>
      </c>
      <c r="AH288" s="1" t="s">
        <v>152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6" t="s">
        <v>49</v>
      </c>
      <c r="AW288" s="29" t="s">
        <v>49</v>
      </c>
    </row>
    <row r="289" spans="1:49" ht="14.4" customHeight="1">
      <c r="A289" s="1">
        <v>8</v>
      </c>
      <c r="B289" s="1" t="s">
        <v>38</v>
      </c>
      <c r="C289" s="1" t="s">
        <v>38</v>
      </c>
      <c r="D289" s="3" t="s">
        <v>145</v>
      </c>
      <c r="E289" s="3" t="s">
        <v>71</v>
      </c>
      <c r="F289" s="3">
        <v>1998</v>
      </c>
      <c r="G289" s="3" t="s">
        <v>146</v>
      </c>
      <c r="H289" s="3" t="s">
        <v>147</v>
      </c>
      <c r="I289" s="3" t="s">
        <v>148</v>
      </c>
      <c r="J289" s="3" t="s">
        <v>149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119</v>
      </c>
      <c r="V289" s="3" t="s">
        <v>158</v>
      </c>
      <c r="W289" s="3">
        <v>40.479999999999997</v>
      </c>
      <c r="X289" s="3">
        <v>-74.42</v>
      </c>
      <c r="Y289" s="3" t="s">
        <v>48</v>
      </c>
      <c r="Z289" s="3" t="s">
        <v>151</v>
      </c>
      <c r="AA289" s="6" t="s">
        <v>49</v>
      </c>
      <c r="AB289" s="6" t="s">
        <v>49</v>
      </c>
      <c r="AC289" s="6" t="s">
        <v>49</v>
      </c>
      <c r="AD289" s="1" t="s">
        <v>84</v>
      </c>
      <c r="AE289" s="1" t="s">
        <v>155</v>
      </c>
      <c r="AF289" s="1" t="s">
        <v>49</v>
      </c>
      <c r="AG289" s="1" t="s">
        <v>49</v>
      </c>
      <c r="AH289" s="1" t="s">
        <v>152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6" t="s">
        <v>49</v>
      </c>
      <c r="AW289" s="29" t="s">
        <v>49</v>
      </c>
    </row>
    <row r="290" spans="1:49" ht="14.4" customHeight="1">
      <c r="A290" s="1">
        <v>8</v>
      </c>
      <c r="B290" s="1" t="s">
        <v>38</v>
      </c>
      <c r="C290" s="1" t="s">
        <v>38</v>
      </c>
      <c r="D290" s="3" t="s">
        <v>145</v>
      </c>
      <c r="E290" s="3" t="s">
        <v>71</v>
      </c>
      <c r="F290" s="3">
        <v>1998</v>
      </c>
      <c r="G290" s="3" t="s">
        <v>146</v>
      </c>
      <c r="H290" s="3" t="s">
        <v>147</v>
      </c>
      <c r="I290" s="3" t="s">
        <v>148</v>
      </c>
      <c r="J290" s="3" t="s">
        <v>149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119</v>
      </c>
      <c r="V290" s="3" t="s">
        <v>158</v>
      </c>
      <c r="W290" s="3">
        <v>40.479999999999997</v>
      </c>
      <c r="X290" s="3">
        <v>-74.42</v>
      </c>
      <c r="Y290" s="3" t="s">
        <v>48</v>
      </c>
      <c r="Z290" s="3" t="s">
        <v>151</v>
      </c>
      <c r="AA290" s="6" t="s">
        <v>49</v>
      </c>
      <c r="AB290" s="6" t="s">
        <v>49</v>
      </c>
      <c r="AC290" s="6" t="s">
        <v>49</v>
      </c>
      <c r="AD290" s="1" t="s">
        <v>153</v>
      </c>
      <c r="AE290" s="1" t="s">
        <v>155</v>
      </c>
      <c r="AF290" s="1" t="s">
        <v>49</v>
      </c>
      <c r="AG290" s="1" t="s">
        <v>49</v>
      </c>
      <c r="AH290" s="1" t="s">
        <v>152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6" t="s">
        <v>49</v>
      </c>
      <c r="AW290" s="29" t="s">
        <v>49</v>
      </c>
    </row>
    <row r="291" spans="1:49" ht="14.4" customHeight="1">
      <c r="A291" s="1">
        <v>10</v>
      </c>
      <c r="B291" s="1" t="s">
        <v>38</v>
      </c>
      <c r="C291" s="1" t="s">
        <v>38</v>
      </c>
      <c r="D291" s="3" t="s">
        <v>160</v>
      </c>
      <c r="E291" s="3" t="s">
        <v>161</v>
      </c>
      <c r="F291" s="3">
        <v>2004</v>
      </c>
      <c r="G291" s="1" t="s">
        <v>162</v>
      </c>
      <c r="H291" s="3" t="s">
        <v>163</v>
      </c>
      <c r="I291" s="3" t="s">
        <v>164</v>
      </c>
      <c r="J291" s="3" t="s">
        <v>165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166</v>
      </c>
      <c r="T291" s="1" t="s">
        <v>166</v>
      </c>
      <c r="U291" s="1" t="s">
        <v>119</v>
      </c>
      <c r="V291" s="3" t="s">
        <v>167</v>
      </c>
      <c r="W291" s="3">
        <v>37.299999999999997</v>
      </c>
      <c r="X291" s="3">
        <v>-80.709999999999994</v>
      </c>
      <c r="Y291" s="3" t="s">
        <v>48</v>
      </c>
      <c r="Z291" s="3" t="s">
        <v>86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168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6" t="s">
        <v>49</v>
      </c>
      <c r="AS291" s="1">
        <v>2753.2060000000001</v>
      </c>
      <c r="AT291" s="4">
        <f t="shared" ref="AT291:AT298" si="19">AS291/(AM291^2)*100</f>
        <v>2.5560041457457645</v>
      </c>
      <c r="AU291" s="5">
        <v>0</v>
      </c>
      <c r="AV291" s="4">
        <f t="shared" ref="AV291:AV298" si="20">AT291*(1-AL291)/AL291</f>
        <v>8.95752804229822</v>
      </c>
      <c r="AW291" s="29" t="s">
        <v>175</v>
      </c>
    </row>
    <row r="292" spans="1:49" ht="14.4" customHeight="1">
      <c r="A292" s="1">
        <v>10</v>
      </c>
      <c r="B292" s="1" t="s">
        <v>38</v>
      </c>
      <c r="C292" s="1" t="s">
        <v>38</v>
      </c>
      <c r="D292" s="3" t="s">
        <v>160</v>
      </c>
      <c r="E292" s="3" t="s">
        <v>161</v>
      </c>
      <c r="F292" s="3">
        <v>2004</v>
      </c>
      <c r="G292" s="1" t="s">
        <v>162</v>
      </c>
      <c r="H292" s="3" t="s">
        <v>163</v>
      </c>
      <c r="I292" s="3" t="s">
        <v>164</v>
      </c>
      <c r="J292" s="3" t="s">
        <v>165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166</v>
      </c>
      <c r="T292" s="1" t="s">
        <v>166</v>
      </c>
      <c r="U292" s="1" t="s">
        <v>119</v>
      </c>
      <c r="V292" s="3" t="s">
        <v>167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168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6" t="s">
        <v>49</v>
      </c>
      <c r="AS292" s="1">
        <v>254.01900000000001</v>
      </c>
      <c r="AT292" s="4">
        <f t="shared" si="19"/>
        <v>3.8431303132219519</v>
      </c>
      <c r="AU292" s="5">
        <v>0</v>
      </c>
      <c r="AV292" s="4">
        <f t="shared" si="20"/>
        <v>8.9247444815353649</v>
      </c>
      <c r="AW292" s="29" t="s">
        <v>175</v>
      </c>
    </row>
    <row r="293" spans="1:49" ht="14.4" customHeight="1">
      <c r="A293" s="1">
        <v>10</v>
      </c>
      <c r="B293" s="1" t="s">
        <v>38</v>
      </c>
      <c r="C293" s="1" t="s">
        <v>38</v>
      </c>
      <c r="D293" s="3" t="s">
        <v>160</v>
      </c>
      <c r="E293" s="3" t="s">
        <v>161</v>
      </c>
      <c r="F293" s="3">
        <v>2004</v>
      </c>
      <c r="G293" s="1" t="s">
        <v>162</v>
      </c>
      <c r="H293" s="3" t="s">
        <v>163</v>
      </c>
      <c r="I293" s="3" t="s">
        <v>164</v>
      </c>
      <c r="J293" s="3" t="s">
        <v>165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166</v>
      </c>
      <c r="T293" s="1" t="s">
        <v>166</v>
      </c>
      <c r="U293" s="1" t="s">
        <v>119</v>
      </c>
      <c r="V293" s="3" t="s">
        <v>167</v>
      </c>
      <c r="W293" s="3">
        <v>37.299999999999997</v>
      </c>
      <c r="X293" s="3">
        <v>-80.709999999999994</v>
      </c>
      <c r="Y293" s="3" t="s">
        <v>48</v>
      </c>
      <c r="Z293" s="3" t="s">
        <v>86</v>
      </c>
      <c r="AA293" s="1" t="s">
        <v>50</v>
      </c>
      <c r="AB293" s="1" t="s">
        <v>66</v>
      </c>
      <c r="AC293" s="1" t="s">
        <v>169</v>
      </c>
      <c r="AD293" s="1" t="s">
        <v>170</v>
      </c>
      <c r="AE293" s="1" t="s">
        <v>170</v>
      </c>
      <c r="AF293" s="1" t="s">
        <v>60</v>
      </c>
      <c r="AG293" s="1" t="s">
        <v>61</v>
      </c>
      <c r="AH293" s="1" t="s">
        <v>168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6" t="s">
        <v>49</v>
      </c>
      <c r="AS293" s="1">
        <v>0.377</v>
      </c>
      <c r="AT293" s="4">
        <f t="shared" si="19"/>
        <v>0.67022222222222227</v>
      </c>
      <c r="AU293" s="5">
        <v>0</v>
      </c>
      <c r="AV293" s="4">
        <f t="shared" si="20"/>
        <v>0.82915635098185436</v>
      </c>
      <c r="AW293" s="29" t="s">
        <v>175</v>
      </c>
    </row>
    <row r="294" spans="1:49" ht="14.4" customHeight="1">
      <c r="A294" s="1">
        <v>10</v>
      </c>
      <c r="B294" s="1" t="s">
        <v>38</v>
      </c>
      <c r="C294" s="1" t="s">
        <v>38</v>
      </c>
      <c r="D294" s="3" t="s">
        <v>160</v>
      </c>
      <c r="E294" s="3" t="s">
        <v>161</v>
      </c>
      <c r="F294" s="3">
        <v>2004</v>
      </c>
      <c r="G294" s="1" t="s">
        <v>162</v>
      </c>
      <c r="H294" s="3" t="s">
        <v>163</v>
      </c>
      <c r="I294" s="3" t="s">
        <v>164</v>
      </c>
      <c r="J294" s="3" t="s">
        <v>165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166</v>
      </c>
      <c r="T294" s="1" t="s">
        <v>166</v>
      </c>
      <c r="U294" s="1" t="s">
        <v>119</v>
      </c>
      <c r="V294" s="3" t="s">
        <v>167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169</v>
      </c>
      <c r="AD294" s="1" t="s">
        <v>170</v>
      </c>
      <c r="AE294" s="1" t="s">
        <v>170</v>
      </c>
      <c r="AF294" s="1" t="s">
        <v>60</v>
      </c>
      <c r="AG294" s="1" t="s">
        <v>61</v>
      </c>
      <c r="AH294" s="1" t="s">
        <v>168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6" t="s">
        <v>49</v>
      </c>
      <c r="AS294" s="1">
        <v>1.073</v>
      </c>
      <c r="AT294" s="4">
        <f t="shared" si="19"/>
        <v>0.84031639126008284</v>
      </c>
      <c r="AU294" s="5">
        <v>0</v>
      </c>
      <c r="AV294" s="4">
        <f t="shared" si="20"/>
        <v>0.21139373547343757</v>
      </c>
      <c r="AW294" s="29" t="s">
        <v>175</v>
      </c>
    </row>
    <row r="295" spans="1:49" ht="14.4" customHeight="1">
      <c r="A295" s="1">
        <v>10</v>
      </c>
      <c r="B295" s="1" t="s">
        <v>38</v>
      </c>
      <c r="C295" s="1" t="s">
        <v>38</v>
      </c>
      <c r="D295" s="3" t="s">
        <v>160</v>
      </c>
      <c r="E295" s="3" t="s">
        <v>161</v>
      </c>
      <c r="F295" s="3">
        <v>2004</v>
      </c>
      <c r="G295" s="1" t="s">
        <v>162</v>
      </c>
      <c r="H295" s="3" t="s">
        <v>163</v>
      </c>
      <c r="I295" s="3" t="s">
        <v>164</v>
      </c>
      <c r="J295" s="3" t="s">
        <v>165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166</v>
      </c>
      <c r="T295" s="1" t="s">
        <v>166</v>
      </c>
      <c r="U295" s="1" t="s">
        <v>119</v>
      </c>
      <c r="V295" s="3" t="s">
        <v>167</v>
      </c>
      <c r="W295" s="3">
        <v>37.299999999999997</v>
      </c>
      <c r="X295" s="3">
        <v>-80.709999999999994</v>
      </c>
      <c r="Y295" s="3" t="s">
        <v>48</v>
      </c>
      <c r="Z295" s="3" t="s">
        <v>86</v>
      </c>
      <c r="AA295" s="1" t="s">
        <v>50</v>
      </c>
      <c r="AB295" s="3" t="s">
        <v>66</v>
      </c>
      <c r="AC295" s="3" t="s">
        <v>171</v>
      </c>
      <c r="AD295" s="1" t="s">
        <v>172</v>
      </c>
      <c r="AE295" s="1" t="s">
        <v>172</v>
      </c>
      <c r="AF295" s="1" t="s">
        <v>60</v>
      </c>
      <c r="AG295" s="1" t="s">
        <v>173</v>
      </c>
      <c r="AH295" s="1" t="s">
        <v>168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6" t="s">
        <v>49</v>
      </c>
      <c r="AS295" s="1">
        <v>5.2649999999999997</v>
      </c>
      <c r="AT295" s="4">
        <f t="shared" si="19"/>
        <v>1.9575401546698394</v>
      </c>
      <c r="AU295" s="5">
        <v>0</v>
      </c>
      <c r="AV295" s="4">
        <f t="shared" si="20"/>
        <v>2.0211999970981269</v>
      </c>
      <c r="AW295" s="29" t="s">
        <v>175</v>
      </c>
    </row>
    <row r="296" spans="1:49" ht="14.4" customHeight="1">
      <c r="A296" s="1">
        <v>10</v>
      </c>
      <c r="B296" s="1" t="s">
        <v>38</v>
      </c>
      <c r="C296" s="1" t="s">
        <v>38</v>
      </c>
      <c r="D296" s="3" t="s">
        <v>160</v>
      </c>
      <c r="E296" s="3" t="s">
        <v>161</v>
      </c>
      <c r="F296" s="3">
        <v>2004</v>
      </c>
      <c r="G296" s="1" t="s">
        <v>162</v>
      </c>
      <c r="H296" s="3" t="s">
        <v>163</v>
      </c>
      <c r="I296" s="3" t="s">
        <v>164</v>
      </c>
      <c r="J296" s="3" t="s">
        <v>165</v>
      </c>
      <c r="K296" s="3" t="s">
        <v>45</v>
      </c>
      <c r="L296" s="3" t="s">
        <v>46</v>
      </c>
      <c r="M296" s="1" t="s">
        <v>115</v>
      </c>
      <c r="N296" s="1" t="s">
        <v>116</v>
      </c>
      <c r="O296" s="1">
        <v>1</v>
      </c>
      <c r="P296" s="1">
        <v>1</v>
      </c>
      <c r="Q296" s="1" t="s">
        <v>49</v>
      </c>
      <c r="R296" s="1">
        <v>1</v>
      </c>
      <c r="S296" s="1" t="s">
        <v>166</v>
      </c>
      <c r="T296" s="1" t="s">
        <v>166</v>
      </c>
      <c r="U296" s="1" t="s">
        <v>119</v>
      </c>
      <c r="V296" s="3" t="s">
        <v>167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171</v>
      </c>
      <c r="AD296" s="1" t="s">
        <v>172</v>
      </c>
      <c r="AE296" s="1" t="s">
        <v>172</v>
      </c>
      <c r="AF296" s="1" t="s">
        <v>60</v>
      </c>
      <c r="AG296" s="1" t="s">
        <v>173</v>
      </c>
      <c r="AH296" s="1" t="s">
        <v>168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6" t="s">
        <v>49</v>
      </c>
      <c r="AS296" s="1">
        <v>40.408999999999999</v>
      </c>
      <c r="AT296" s="4">
        <f t="shared" si="19"/>
        <v>2.0223813742123729</v>
      </c>
      <c r="AU296" s="5">
        <v>0</v>
      </c>
      <c r="AV296" s="4">
        <f t="shared" si="20"/>
        <v>1.8593487106482276</v>
      </c>
      <c r="AW296" s="29" t="s">
        <v>175</v>
      </c>
    </row>
    <row r="297" spans="1:49" ht="14.4" customHeight="1">
      <c r="A297" s="1">
        <v>10</v>
      </c>
      <c r="B297" s="1" t="s">
        <v>38</v>
      </c>
      <c r="C297" s="1" t="s">
        <v>38</v>
      </c>
      <c r="D297" s="3" t="s">
        <v>160</v>
      </c>
      <c r="E297" s="3" t="s">
        <v>161</v>
      </c>
      <c r="F297" s="3">
        <v>2004</v>
      </c>
      <c r="G297" s="1" t="s">
        <v>162</v>
      </c>
      <c r="H297" s="3" t="s">
        <v>163</v>
      </c>
      <c r="I297" s="3" t="s">
        <v>164</v>
      </c>
      <c r="J297" s="3" t="s">
        <v>165</v>
      </c>
      <c r="K297" s="3" t="s">
        <v>45</v>
      </c>
      <c r="L297" s="3" t="s">
        <v>46</v>
      </c>
      <c r="M297" s="1" t="s">
        <v>115</v>
      </c>
      <c r="N297" s="1" t="s">
        <v>116</v>
      </c>
      <c r="O297" s="1">
        <v>1</v>
      </c>
      <c r="P297" s="1">
        <v>1</v>
      </c>
      <c r="Q297" s="1" t="s">
        <v>49</v>
      </c>
      <c r="R297" s="1">
        <v>1</v>
      </c>
      <c r="S297" s="1" t="s">
        <v>166</v>
      </c>
      <c r="T297" s="1" t="s">
        <v>166</v>
      </c>
      <c r="U297" s="1" t="s">
        <v>119</v>
      </c>
      <c r="V297" s="3" t="s">
        <v>167</v>
      </c>
      <c r="W297" s="3">
        <v>37.299999999999997</v>
      </c>
      <c r="X297" s="3">
        <v>-80.709999999999994</v>
      </c>
      <c r="Y297" s="3" t="s">
        <v>48</v>
      </c>
      <c r="Z297" s="3" t="s">
        <v>86</v>
      </c>
      <c r="AA297" s="1" t="s">
        <v>50</v>
      </c>
      <c r="AB297" s="3" t="s">
        <v>66</v>
      </c>
      <c r="AC297" s="3" t="s">
        <v>124</v>
      </c>
      <c r="AD297" s="1" t="s">
        <v>174</v>
      </c>
      <c r="AE297" s="1" t="s">
        <v>174</v>
      </c>
      <c r="AF297" s="1" t="s">
        <v>60</v>
      </c>
      <c r="AG297" s="1" t="s">
        <v>61</v>
      </c>
      <c r="AH297" s="1" t="s">
        <v>168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6" t="s">
        <v>49</v>
      </c>
      <c r="AS297" s="1">
        <v>0.754</v>
      </c>
      <c r="AT297" s="4">
        <f t="shared" si="19"/>
        <v>0.56034482758620685</v>
      </c>
      <c r="AU297" s="5">
        <v>0</v>
      </c>
      <c r="AV297" s="4">
        <f t="shared" si="20"/>
        <v>1.1173342969233944</v>
      </c>
      <c r="AW297" s="29" t="s">
        <v>175</v>
      </c>
    </row>
    <row r="298" spans="1:49" ht="14.4" customHeight="1">
      <c r="A298" s="1">
        <v>10</v>
      </c>
      <c r="B298" s="1" t="s">
        <v>38</v>
      </c>
      <c r="C298" s="1" t="s">
        <v>38</v>
      </c>
      <c r="D298" s="3" t="s">
        <v>160</v>
      </c>
      <c r="E298" s="3" t="s">
        <v>161</v>
      </c>
      <c r="F298" s="3">
        <v>2004</v>
      </c>
      <c r="G298" s="1" t="s">
        <v>162</v>
      </c>
      <c r="H298" s="3" t="s">
        <v>163</v>
      </c>
      <c r="I298" s="3" t="s">
        <v>164</v>
      </c>
      <c r="J298" s="3" t="s">
        <v>165</v>
      </c>
      <c r="K298" s="3" t="s">
        <v>45</v>
      </c>
      <c r="L298" s="3" t="s">
        <v>46</v>
      </c>
      <c r="M298" s="1" t="s">
        <v>115</v>
      </c>
      <c r="N298" s="1" t="s">
        <v>116</v>
      </c>
      <c r="O298" s="1">
        <v>1</v>
      </c>
      <c r="P298" s="1">
        <v>1</v>
      </c>
      <c r="Q298" s="1" t="s">
        <v>49</v>
      </c>
      <c r="R298" s="1">
        <v>1</v>
      </c>
      <c r="S298" s="1" t="s">
        <v>166</v>
      </c>
      <c r="T298" s="1" t="s">
        <v>166</v>
      </c>
      <c r="U298" s="1" t="s">
        <v>119</v>
      </c>
      <c r="V298" s="3" t="s">
        <v>167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124</v>
      </c>
      <c r="AD298" s="1" t="s">
        <v>174</v>
      </c>
      <c r="AE298" s="1" t="s">
        <v>174</v>
      </c>
      <c r="AF298" s="1" t="s">
        <v>60</v>
      </c>
      <c r="AG298" s="1" t="s">
        <v>61</v>
      </c>
      <c r="AH298" s="1" t="s">
        <v>168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6" t="s">
        <v>49</v>
      </c>
      <c r="AS298" s="1">
        <v>1.339</v>
      </c>
      <c r="AT298" s="4">
        <f t="shared" si="19"/>
        <v>0.71341041078373924</v>
      </c>
      <c r="AU298" s="5">
        <v>0</v>
      </c>
      <c r="AV298" s="4">
        <f t="shared" si="20"/>
        <v>0.5166075388433975</v>
      </c>
      <c r="AW298" s="29" t="s">
        <v>175</v>
      </c>
    </row>
    <row r="299" spans="1:49" ht="14.4" customHeight="1">
      <c r="A299" s="1">
        <v>10</v>
      </c>
      <c r="B299" s="1" t="s">
        <v>38</v>
      </c>
      <c r="C299" s="1" t="s">
        <v>38</v>
      </c>
      <c r="D299" s="3" t="s">
        <v>160</v>
      </c>
      <c r="E299" s="3" t="s">
        <v>161</v>
      </c>
      <c r="F299" s="3">
        <v>2004</v>
      </c>
      <c r="G299" s="1" t="s">
        <v>162</v>
      </c>
      <c r="H299" s="3" t="s">
        <v>163</v>
      </c>
      <c r="I299" s="3" t="s">
        <v>164</v>
      </c>
      <c r="J299" s="3" t="s">
        <v>165</v>
      </c>
      <c r="K299" s="3" t="s">
        <v>45</v>
      </c>
      <c r="L299" s="3" t="s">
        <v>46</v>
      </c>
      <c r="M299" s="1" t="s">
        <v>115</v>
      </c>
      <c r="N299" s="1" t="s">
        <v>116</v>
      </c>
      <c r="O299" s="1">
        <v>1</v>
      </c>
      <c r="P299" s="1">
        <v>1</v>
      </c>
      <c r="Q299" s="1" t="s">
        <v>49</v>
      </c>
      <c r="R299" s="1">
        <v>1</v>
      </c>
      <c r="S299" s="1" t="s">
        <v>166</v>
      </c>
      <c r="T299" s="1" t="s">
        <v>166</v>
      </c>
      <c r="U299" s="1" t="s">
        <v>119</v>
      </c>
      <c r="V299" s="3" t="s">
        <v>167</v>
      </c>
      <c r="W299" s="3">
        <v>37.299999999999997</v>
      </c>
      <c r="X299" s="3">
        <v>-80.709999999999994</v>
      </c>
      <c r="Y299" s="3" t="s">
        <v>48</v>
      </c>
      <c r="Z299" s="3" t="s">
        <v>86</v>
      </c>
      <c r="AA299" s="1" t="s">
        <v>49</v>
      </c>
      <c r="AB299" s="3" t="s">
        <v>49</v>
      </c>
      <c r="AC299" s="3" t="s">
        <v>49</v>
      </c>
      <c r="AD299" s="1" t="s">
        <v>170</v>
      </c>
      <c r="AE299" s="1" t="s">
        <v>174</v>
      </c>
      <c r="AF299" s="1" t="s">
        <v>49</v>
      </c>
      <c r="AG299" s="1" t="s">
        <v>49</v>
      </c>
      <c r="AH299" s="1" t="s">
        <v>168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6" t="s">
        <v>49</v>
      </c>
      <c r="AS299" s="1">
        <v>3.1E-2</v>
      </c>
      <c r="AT299" s="6" t="s">
        <v>49</v>
      </c>
      <c r="AU299" s="6" t="s">
        <v>49</v>
      </c>
      <c r="AV299" s="6" t="s">
        <v>49</v>
      </c>
      <c r="AW299" s="29" t="s">
        <v>49</v>
      </c>
    </row>
    <row r="300" spans="1:49" ht="14.4" customHeight="1">
      <c r="A300" s="1">
        <v>10</v>
      </c>
      <c r="B300" s="1" t="s">
        <v>38</v>
      </c>
      <c r="C300" s="1" t="s">
        <v>38</v>
      </c>
      <c r="D300" s="3" t="s">
        <v>160</v>
      </c>
      <c r="E300" s="3" t="s">
        <v>161</v>
      </c>
      <c r="F300" s="3">
        <v>2004</v>
      </c>
      <c r="G300" s="1" t="s">
        <v>162</v>
      </c>
      <c r="H300" s="3" t="s">
        <v>163</v>
      </c>
      <c r="I300" s="3" t="s">
        <v>164</v>
      </c>
      <c r="J300" s="3" t="s">
        <v>165</v>
      </c>
      <c r="K300" s="3" t="s">
        <v>45</v>
      </c>
      <c r="L300" s="3" t="s">
        <v>46</v>
      </c>
      <c r="M300" s="1" t="s">
        <v>115</v>
      </c>
      <c r="N300" s="1" t="s">
        <v>116</v>
      </c>
      <c r="O300" s="1">
        <v>1</v>
      </c>
      <c r="P300" s="1">
        <v>1</v>
      </c>
      <c r="Q300" s="1" t="s">
        <v>49</v>
      </c>
      <c r="R300" s="1">
        <v>1</v>
      </c>
      <c r="S300" s="1" t="s">
        <v>166</v>
      </c>
      <c r="T300" s="1" t="s">
        <v>166</v>
      </c>
      <c r="U300" s="1" t="s">
        <v>119</v>
      </c>
      <c r="V300" s="3" t="s">
        <v>167</v>
      </c>
      <c r="W300" s="3">
        <v>37.299999999999997</v>
      </c>
      <c r="X300" s="3">
        <v>-80.709999999999994</v>
      </c>
      <c r="Y300" s="3" t="s">
        <v>48</v>
      </c>
      <c r="Z300" s="3" t="s">
        <v>86</v>
      </c>
      <c r="AA300" s="1" t="s">
        <v>49</v>
      </c>
      <c r="AB300" s="3" t="s">
        <v>49</v>
      </c>
      <c r="AC300" s="3" t="s">
        <v>49</v>
      </c>
      <c r="AD300" s="1" t="s">
        <v>170</v>
      </c>
      <c r="AE300" s="1" t="s">
        <v>172</v>
      </c>
      <c r="AF300" s="1" t="s">
        <v>49</v>
      </c>
      <c r="AG300" s="1" t="s">
        <v>49</v>
      </c>
      <c r="AH300" s="1" t="s">
        <v>168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6" t="s">
        <v>49</v>
      </c>
      <c r="AS300" s="1">
        <v>1.0649999999999999</v>
      </c>
      <c r="AT300" s="6" t="s">
        <v>49</v>
      </c>
      <c r="AU300" s="6" t="s">
        <v>49</v>
      </c>
      <c r="AV300" s="6" t="s">
        <v>49</v>
      </c>
      <c r="AW300" s="29" t="s">
        <v>49</v>
      </c>
    </row>
    <row r="301" spans="1:49" ht="14.4" customHeight="1">
      <c r="A301" s="1">
        <v>10</v>
      </c>
      <c r="B301" s="1" t="s">
        <v>38</v>
      </c>
      <c r="C301" s="1" t="s">
        <v>38</v>
      </c>
      <c r="D301" s="3" t="s">
        <v>160</v>
      </c>
      <c r="E301" s="3" t="s">
        <v>161</v>
      </c>
      <c r="F301" s="3">
        <v>2004</v>
      </c>
      <c r="G301" s="1" t="s">
        <v>162</v>
      </c>
      <c r="H301" s="3" t="s">
        <v>163</v>
      </c>
      <c r="I301" s="3" t="s">
        <v>164</v>
      </c>
      <c r="J301" s="3" t="s">
        <v>165</v>
      </c>
      <c r="K301" s="3" t="s">
        <v>45</v>
      </c>
      <c r="L301" s="3" t="s">
        <v>46</v>
      </c>
      <c r="M301" s="1" t="s">
        <v>115</v>
      </c>
      <c r="N301" s="1" t="s">
        <v>116</v>
      </c>
      <c r="O301" s="1">
        <v>1</v>
      </c>
      <c r="P301" s="1">
        <v>1</v>
      </c>
      <c r="Q301" s="1" t="s">
        <v>49</v>
      </c>
      <c r="R301" s="1">
        <v>1</v>
      </c>
      <c r="S301" s="1" t="s">
        <v>166</v>
      </c>
      <c r="T301" s="1" t="s">
        <v>166</v>
      </c>
      <c r="U301" s="1" t="s">
        <v>119</v>
      </c>
      <c r="V301" s="3" t="s">
        <v>167</v>
      </c>
      <c r="W301" s="3">
        <v>37.299999999999997</v>
      </c>
      <c r="X301" s="3">
        <v>-80.709999999999994</v>
      </c>
      <c r="Y301" s="3" t="s">
        <v>48</v>
      </c>
      <c r="Z301" s="3" t="s">
        <v>86</v>
      </c>
      <c r="AA301" s="1" t="s">
        <v>49</v>
      </c>
      <c r="AB301" s="3" t="s">
        <v>49</v>
      </c>
      <c r="AC301" s="3" t="s">
        <v>49</v>
      </c>
      <c r="AD301" s="1" t="s">
        <v>170</v>
      </c>
      <c r="AE301" s="1" t="s">
        <v>52</v>
      </c>
      <c r="AF301" s="1" t="s">
        <v>49</v>
      </c>
      <c r="AG301" s="1" t="s">
        <v>49</v>
      </c>
      <c r="AH301" s="1" t="s">
        <v>168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6" t="s">
        <v>49</v>
      </c>
      <c r="AS301" s="1">
        <v>-12.557</v>
      </c>
      <c r="AT301" s="6" t="s">
        <v>49</v>
      </c>
      <c r="AU301" s="6" t="s">
        <v>49</v>
      </c>
      <c r="AV301" s="6" t="s">
        <v>49</v>
      </c>
      <c r="AW301" s="29" t="s">
        <v>49</v>
      </c>
    </row>
    <row r="302" spans="1:49" ht="14.4" customHeight="1">
      <c r="A302" s="1">
        <v>10</v>
      </c>
      <c r="B302" s="1" t="s">
        <v>38</v>
      </c>
      <c r="C302" s="1" t="s">
        <v>38</v>
      </c>
      <c r="D302" s="3" t="s">
        <v>160</v>
      </c>
      <c r="E302" s="3" t="s">
        <v>161</v>
      </c>
      <c r="F302" s="3">
        <v>2004</v>
      </c>
      <c r="G302" s="1" t="s">
        <v>162</v>
      </c>
      <c r="H302" s="3" t="s">
        <v>163</v>
      </c>
      <c r="I302" s="3" t="s">
        <v>164</v>
      </c>
      <c r="J302" s="3" t="s">
        <v>165</v>
      </c>
      <c r="K302" s="3" t="s">
        <v>45</v>
      </c>
      <c r="L302" s="3" t="s">
        <v>46</v>
      </c>
      <c r="M302" s="1" t="s">
        <v>115</v>
      </c>
      <c r="N302" s="1" t="s">
        <v>116</v>
      </c>
      <c r="O302" s="1">
        <v>1</v>
      </c>
      <c r="P302" s="1">
        <v>1</v>
      </c>
      <c r="Q302" s="1" t="s">
        <v>49</v>
      </c>
      <c r="R302" s="1">
        <v>1</v>
      </c>
      <c r="S302" s="1" t="s">
        <v>166</v>
      </c>
      <c r="T302" s="1" t="s">
        <v>166</v>
      </c>
      <c r="U302" s="1" t="s">
        <v>119</v>
      </c>
      <c r="V302" s="3" t="s">
        <v>167</v>
      </c>
      <c r="W302" s="3">
        <v>37.299999999999997</v>
      </c>
      <c r="X302" s="3">
        <v>-80.709999999999994</v>
      </c>
      <c r="Y302" s="3" t="s">
        <v>48</v>
      </c>
      <c r="Z302" s="3" t="s">
        <v>86</v>
      </c>
      <c r="AA302" s="1" t="s">
        <v>49</v>
      </c>
      <c r="AB302" s="3" t="s">
        <v>49</v>
      </c>
      <c r="AC302" s="3" t="s">
        <v>49</v>
      </c>
      <c r="AD302" s="1" t="s">
        <v>174</v>
      </c>
      <c r="AE302" s="1" t="s">
        <v>172</v>
      </c>
      <c r="AF302" s="1" t="s">
        <v>49</v>
      </c>
      <c r="AG302" s="1" t="s">
        <v>49</v>
      </c>
      <c r="AH302" s="1" t="s">
        <v>168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6" t="s">
        <v>49</v>
      </c>
      <c r="AS302" s="1">
        <v>0.27100000000000002</v>
      </c>
      <c r="AT302" s="6" t="s">
        <v>49</v>
      </c>
      <c r="AU302" s="6" t="s">
        <v>49</v>
      </c>
      <c r="AV302" s="6" t="s">
        <v>49</v>
      </c>
      <c r="AW302" s="29" t="s">
        <v>49</v>
      </c>
    </row>
    <row r="303" spans="1:49" ht="14.4" customHeight="1">
      <c r="A303" s="1">
        <v>10</v>
      </c>
      <c r="B303" s="1" t="s">
        <v>38</v>
      </c>
      <c r="C303" s="1" t="s">
        <v>38</v>
      </c>
      <c r="D303" s="3" t="s">
        <v>160</v>
      </c>
      <c r="E303" s="3" t="s">
        <v>161</v>
      </c>
      <c r="F303" s="3">
        <v>2004</v>
      </c>
      <c r="G303" s="1" t="s">
        <v>162</v>
      </c>
      <c r="H303" s="3" t="s">
        <v>163</v>
      </c>
      <c r="I303" s="3" t="s">
        <v>164</v>
      </c>
      <c r="J303" s="3" t="s">
        <v>165</v>
      </c>
      <c r="K303" s="3" t="s">
        <v>45</v>
      </c>
      <c r="L303" s="3" t="s">
        <v>46</v>
      </c>
      <c r="M303" s="1" t="s">
        <v>115</v>
      </c>
      <c r="N303" s="1" t="s">
        <v>116</v>
      </c>
      <c r="O303" s="1">
        <v>1</v>
      </c>
      <c r="P303" s="1">
        <v>1</v>
      </c>
      <c r="Q303" s="1" t="s">
        <v>49</v>
      </c>
      <c r="R303" s="1">
        <v>1</v>
      </c>
      <c r="S303" s="1" t="s">
        <v>166</v>
      </c>
      <c r="T303" s="1" t="s">
        <v>166</v>
      </c>
      <c r="U303" s="1" t="s">
        <v>119</v>
      </c>
      <c r="V303" s="3" t="s">
        <v>167</v>
      </c>
      <c r="W303" s="3">
        <v>37.299999999999997</v>
      </c>
      <c r="X303" s="3">
        <v>-80.709999999999994</v>
      </c>
      <c r="Y303" s="3" t="s">
        <v>48</v>
      </c>
      <c r="Z303" s="3" t="s">
        <v>86</v>
      </c>
      <c r="AA303" s="1" t="s">
        <v>49</v>
      </c>
      <c r="AB303" s="3" t="s">
        <v>49</v>
      </c>
      <c r="AC303" s="3" t="s">
        <v>49</v>
      </c>
      <c r="AD303" s="1" t="s">
        <v>174</v>
      </c>
      <c r="AE303" s="1" t="s">
        <v>52</v>
      </c>
      <c r="AF303" s="1" t="s">
        <v>49</v>
      </c>
      <c r="AG303" s="1" t="s">
        <v>49</v>
      </c>
      <c r="AH303" s="1" t="s">
        <v>168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6" t="s">
        <v>49</v>
      </c>
      <c r="AS303" s="1">
        <v>-15.458</v>
      </c>
      <c r="AT303" s="6" t="s">
        <v>49</v>
      </c>
      <c r="AU303" s="6" t="s">
        <v>49</v>
      </c>
      <c r="AV303" s="6" t="s">
        <v>49</v>
      </c>
      <c r="AW303" s="29" t="s">
        <v>49</v>
      </c>
    </row>
    <row r="304" spans="1:49" ht="14.4" customHeight="1">
      <c r="A304" s="1">
        <v>10</v>
      </c>
      <c r="B304" s="1" t="s">
        <v>38</v>
      </c>
      <c r="C304" s="1" t="s">
        <v>38</v>
      </c>
      <c r="D304" s="3" t="s">
        <v>160</v>
      </c>
      <c r="E304" s="3" t="s">
        <v>161</v>
      </c>
      <c r="F304" s="3">
        <v>2004</v>
      </c>
      <c r="G304" s="1" t="s">
        <v>162</v>
      </c>
      <c r="H304" s="3" t="s">
        <v>163</v>
      </c>
      <c r="I304" s="3" t="s">
        <v>164</v>
      </c>
      <c r="J304" s="3" t="s">
        <v>165</v>
      </c>
      <c r="K304" s="3" t="s">
        <v>45</v>
      </c>
      <c r="L304" s="3" t="s">
        <v>46</v>
      </c>
      <c r="M304" s="1" t="s">
        <v>115</v>
      </c>
      <c r="N304" s="1" t="s">
        <v>116</v>
      </c>
      <c r="O304" s="1">
        <v>1</v>
      </c>
      <c r="P304" s="1">
        <v>1</v>
      </c>
      <c r="Q304" s="1" t="s">
        <v>49</v>
      </c>
      <c r="R304" s="1">
        <v>1</v>
      </c>
      <c r="S304" s="1" t="s">
        <v>166</v>
      </c>
      <c r="T304" s="1" t="s">
        <v>166</v>
      </c>
      <c r="U304" s="1" t="s">
        <v>119</v>
      </c>
      <c r="V304" s="3" t="s">
        <v>167</v>
      </c>
      <c r="W304" s="3">
        <v>37.299999999999997</v>
      </c>
      <c r="X304" s="3">
        <v>-80.709999999999994</v>
      </c>
      <c r="Y304" s="3" t="s">
        <v>48</v>
      </c>
      <c r="Z304" s="3" t="s">
        <v>86</v>
      </c>
      <c r="AA304" s="1" t="s">
        <v>49</v>
      </c>
      <c r="AB304" s="3" t="s">
        <v>49</v>
      </c>
      <c r="AC304" s="3" t="s">
        <v>49</v>
      </c>
      <c r="AD304" s="1" t="s">
        <v>172</v>
      </c>
      <c r="AE304" s="1" t="s">
        <v>52</v>
      </c>
      <c r="AF304" s="1" t="s">
        <v>49</v>
      </c>
      <c r="AG304" s="1" t="s">
        <v>49</v>
      </c>
      <c r="AH304" s="1" t="s">
        <v>168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6" t="s">
        <v>49</v>
      </c>
      <c r="AS304" s="1">
        <v>-93.412999999999997</v>
      </c>
      <c r="AT304" s="6" t="s">
        <v>49</v>
      </c>
      <c r="AU304" s="6" t="s">
        <v>49</v>
      </c>
      <c r="AV304" s="6" t="s">
        <v>49</v>
      </c>
      <c r="AW304" s="29" t="s">
        <v>49</v>
      </c>
    </row>
    <row r="305" spans="1:52" ht="14.4" customHeight="1">
      <c r="A305" s="1">
        <v>10</v>
      </c>
      <c r="B305" s="1" t="s">
        <v>38</v>
      </c>
      <c r="C305" s="1" t="s">
        <v>38</v>
      </c>
      <c r="D305" s="3" t="s">
        <v>160</v>
      </c>
      <c r="E305" s="3" t="s">
        <v>161</v>
      </c>
      <c r="F305" s="3">
        <v>2004</v>
      </c>
      <c r="G305" s="1" t="s">
        <v>162</v>
      </c>
      <c r="H305" s="3" t="s">
        <v>163</v>
      </c>
      <c r="I305" s="3" t="s">
        <v>164</v>
      </c>
      <c r="J305" s="3" t="s">
        <v>165</v>
      </c>
      <c r="K305" s="3" t="s">
        <v>45</v>
      </c>
      <c r="L305" s="3" t="s">
        <v>46</v>
      </c>
      <c r="M305" s="1" t="s">
        <v>115</v>
      </c>
      <c r="N305" s="1" t="s">
        <v>116</v>
      </c>
      <c r="O305" s="1">
        <v>1</v>
      </c>
      <c r="P305" s="1">
        <v>1</v>
      </c>
      <c r="Q305" s="1" t="s">
        <v>49</v>
      </c>
      <c r="R305" s="1">
        <v>1</v>
      </c>
      <c r="S305" s="1" t="s">
        <v>166</v>
      </c>
      <c r="T305" s="1" t="s">
        <v>166</v>
      </c>
      <c r="U305" s="1" t="s">
        <v>119</v>
      </c>
      <c r="V305" s="3" t="s">
        <v>167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170</v>
      </c>
      <c r="AE305" s="1" t="s">
        <v>174</v>
      </c>
      <c r="AF305" s="1" t="s">
        <v>49</v>
      </c>
      <c r="AG305" s="1" t="s">
        <v>49</v>
      </c>
      <c r="AH305" s="1" t="s">
        <v>168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6" t="s">
        <v>49</v>
      </c>
      <c r="AS305" s="1">
        <v>0.13100000000000001</v>
      </c>
      <c r="AT305" s="6" t="s">
        <v>49</v>
      </c>
      <c r="AU305" s="6" t="s">
        <v>49</v>
      </c>
      <c r="AV305" s="6" t="s">
        <v>49</v>
      </c>
      <c r="AW305" s="29" t="s">
        <v>49</v>
      </c>
    </row>
    <row r="306" spans="1:52" ht="14.4" customHeight="1">
      <c r="A306" s="1">
        <v>10</v>
      </c>
      <c r="B306" s="1" t="s">
        <v>38</v>
      </c>
      <c r="C306" s="1" t="s">
        <v>38</v>
      </c>
      <c r="D306" s="3" t="s">
        <v>160</v>
      </c>
      <c r="E306" s="3" t="s">
        <v>161</v>
      </c>
      <c r="F306" s="3">
        <v>2004</v>
      </c>
      <c r="G306" s="1" t="s">
        <v>162</v>
      </c>
      <c r="H306" s="3" t="s">
        <v>163</v>
      </c>
      <c r="I306" s="3" t="s">
        <v>164</v>
      </c>
      <c r="J306" s="3" t="s">
        <v>165</v>
      </c>
      <c r="K306" s="3" t="s">
        <v>45</v>
      </c>
      <c r="L306" s="3" t="s">
        <v>46</v>
      </c>
      <c r="M306" s="1" t="s">
        <v>115</v>
      </c>
      <c r="N306" s="1" t="s">
        <v>116</v>
      </c>
      <c r="O306" s="1">
        <v>1</v>
      </c>
      <c r="P306" s="1">
        <v>1</v>
      </c>
      <c r="Q306" s="1" t="s">
        <v>49</v>
      </c>
      <c r="R306" s="1">
        <v>1</v>
      </c>
      <c r="S306" s="1" t="s">
        <v>166</v>
      </c>
      <c r="T306" s="1" t="s">
        <v>166</v>
      </c>
      <c r="U306" s="1" t="s">
        <v>119</v>
      </c>
      <c r="V306" s="3" t="s">
        <v>167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170</v>
      </c>
      <c r="AE306" s="1" t="s">
        <v>172</v>
      </c>
      <c r="AF306" s="1" t="s">
        <v>49</v>
      </c>
      <c r="AG306" s="1" t="s">
        <v>49</v>
      </c>
      <c r="AH306" s="1" t="s">
        <v>168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6" t="s">
        <v>49</v>
      </c>
      <c r="AS306" s="1">
        <v>4.7990000000000004</v>
      </c>
      <c r="AT306" s="6" t="s">
        <v>49</v>
      </c>
      <c r="AU306" s="6" t="s">
        <v>49</v>
      </c>
      <c r="AV306" s="6" t="s">
        <v>49</v>
      </c>
      <c r="AW306" s="29" t="s">
        <v>49</v>
      </c>
    </row>
    <row r="307" spans="1:52" ht="14.4" customHeight="1">
      <c r="A307" s="1">
        <v>10</v>
      </c>
      <c r="B307" s="1" t="s">
        <v>38</v>
      </c>
      <c r="C307" s="1" t="s">
        <v>38</v>
      </c>
      <c r="D307" s="3" t="s">
        <v>160</v>
      </c>
      <c r="E307" s="3" t="s">
        <v>161</v>
      </c>
      <c r="F307" s="3">
        <v>2004</v>
      </c>
      <c r="G307" s="1" t="s">
        <v>162</v>
      </c>
      <c r="H307" s="3" t="s">
        <v>163</v>
      </c>
      <c r="I307" s="3" t="s">
        <v>164</v>
      </c>
      <c r="J307" s="3" t="s">
        <v>165</v>
      </c>
      <c r="K307" s="3" t="s">
        <v>45</v>
      </c>
      <c r="L307" s="3" t="s">
        <v>46</v>
      </c>
      <c r="M307" s="1" t="s">
        <v>115</v>
      </c>
      <c r="N307" s="1" t="s">
        <v>116</v>
      </c>
      <c r="O307" s="1">
        <v>1</v>
      </c>
      <c r="P307" s="1">
        <v>1</v>
      </c>
      <c r="Q307" s="1" t="s">
        <v>49</v>
      </c>
      <c r="R307" s="1">
        <v>1</v>
      </c>
      <c r="S307" s="1" t="s">
        <v>166</v>
      </c>
      <c r="T307" s="1" t="s">
        <v>166</v>
      </c>
      <c r="U307" s="1" t="s">
        <v>119</v>
      </c>
      <c r="V307" s="3" t="s">
        <v>167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170</v>
      </c>
      <c r="AE307" s="1" t="s">
        <v>52</v>
      </c>
      <c r="AF307" s="1" t="s">
        <v>49</v>
      </c>
      <c r="AG307" s="1" t="s">
        <v>49</v>
      </c>
      <c r="AH307" s="1" t="s">
        <v>168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6" t="s">
        <v>49</v>
      </c>
      <c r="AS307" s="1">
        <v>-4.806</v>
      </c>
      <c r="AT307" s="6" t="s">
        <v>49</v>
      </c>
      <c r="AU307" s="6" t="s">
        <v>49</v>
      </c>
      <c r="AV307" s="6" t="s">
        <v>49</v>
      </c>
      <c r="AW307" s="29" t="s">
        <v>49</v>
      </c>
    </row>
    <row r="308" spans="1:52" ht="14.4" customHeight="1">
      <c r="A308" s="1">
        <v>10</v>
      </c>
      <c r="B308" s="1" t="s">
        <v>38</v>
      </c>
      <c r="C308" s="1" t="s">
        <v>38</v>
      </c>
      <c r="D308" s="3" t="s">
        <v>160</v>
      </c>
      <c r="E308" s="3" t="s">
        <v>161</v>
      </c>
      <c r="F308" s="3">
        <v>2004</v>
      </c>
      <c r="G308" s="1" t="s">
        <v>162</v>
      </c>
      <c r="H308" s="3" t="s">
        <v>163</v>
      </c>
      <c r="I308" s="3" t="s">
        <v>164</v>
      </c>
      <c r="J308" s="3" t="s">
        <v>165</v>
      </c>
      <c r="K308" s="3" t="s">
        <v>45</v>
      </c>
      <c r="L308" s="3" t="s">
        <v>46</v>
      </c>
      <c r="M308" s="1" t="s">
        <v>115</v>
      </c>
      <c r="N308" s="1" t="s">
        <v>116</v>
      </c>
      <c r="O308" s="1">
        <v>1</v>
      </c>
      <c r="P308" s="1">
        <v>1</v>
      </c>
      <c r="Q308" s="1" t="s">
        <v>49</v>
      </c>
      <c r="R308" s="1">
        <v>1</v>
      </c>
      <c r="S308" s="1" t="s">
        <v>166</v>
      </c>
      <c r="T308" s="1" t="s">
        <v>166</v>
      </c>
      <c r="U308" s="1" t="s">
        <v>119</v>
      </c>
      <c r="V308" s="3" t="s">
        <v>167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174</v>
      </c>
      <c r="AE308" s="1" t="s">
        <v>172</v>
      </c>
      <c r="AF308" s="1" t="s">
        <v>49</v>
      </c>
      <c r="AG308" s="1" t="s">
        <v>49</v>
      </c>
      <c r="AH308" s="1" t="s">
        <v>168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6" t="s">
        <v>49</v>
      </c>
      <c r="AS308" s="1">
        <v>1.347</v>
      </c>
      <c r="AT308" s="6" t="s">
        <v>49</v>
      </c>
      <c r="AU308" s="6" t="s">
        <v>49</v>
      </c>
      <c r="AV308" s="6" t="s">
        <v>49</v>
      </c>
      <c r="AW308" s="29" t="s">
        <v>49</v>
      </c>
    </row>
    <row r="309" spans="1:52">
      <c r="A309" s="1">
        <v>10</v>
      </c>
      <c r="B309" s="1" t="s">
        <v>38</v>
      </c>
      <c r="C309" s="1" t="s">
        <v>38</v>
      </c>
      <c r="D309" s="3" t="s">
        <v>160</v>
      </c>
      <c r="E309" s="3" t="s">
        <v>161</v>
      </c>
      <c r="F309" s="3">
        <v>2004</v>
      </c>
      <c r="G309" s="1" t="s">
        <v>162</v>
      </c>
      <c r="H309" s="3" t="s">
        <v>163</v>
      </c>
      <c r="I309" s="3" t="s">
        <v>164</v>
      </c>
      <c r="J309" s="3" t="s">
        <v>165</v>
      </c>
      <c r="K309" s="3" t="s">
        <v>45</v>
      </c>
      <c r="L309" s="3" t="s">
        <v>46</v>
      </c>
      <c r="M309" s="1" t="s">
        <v>115</v>
      </c>
      <c r="N309" s="1" t="s">
        <v>116</v>
      </c>
      <c r="O309" s="1">
        <v>1</v>
      </c>
      <c r="P309" s="1">
        <v>1</v>
      </c>
      <c r="Q309" s="1" t="s">
        <v>49</v>
      </c>
      <c r="R309" s="1">
        <v>1</v>
      </c>
      <c r="S309" s="1" t="s">
        <v>166</v>
      </c>
      <c r="T309" s="1" t="s">
        <v>166</v>
      </c>
      <c r="U309" s="1" t="s">
        <v>119</v>
      </c>
      <c r="V309" s="3" t="s">
        <v>167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174</v>
      </c>
      <c r="AE309" s="1" t="s">
        <v>52</v>
      </c>
      <c r="AF309" s="1" t="s">
        <v>49</v>
      </c>
      <c r="AG309" s="1" t="s">
        <v>49</v>
      </c>
      <c r="AH309" s="1" t="s">
        <v>168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6" t="s">
        <v>49</v>
      </c>
      <c r="AS309" s="1">
        <v>-6.617</v>
      </c>
      <c r="AT309" s="6" t="s">
        <v>49</v>
      </c>
      <c r="AU309" s="6" t="s">
        <v>49</v>
      </c>
      <c r="AV309" s="6" t="s">
        <v>49</v>
      </c>
      <c r="AW309" s="29" t="s">
        <v>49</v>
      </c>
    </row>
    <row r="310" spans="1:52">
      <c r="A310" s="1">
        <v>10</v>
      </c>
      <c r="B310" s="1" t="s">
        <v>38</v>
      </c>
      <c r="C310" s="1" t="s">
        <v>38</v>
      </c>
      <c r="D310" s="3" t="s">
        <v>160</v>
      </c>
      <c r="E310" s="3" t="s">
        <v>161</v>
      </c>
      <c r="F310" s="3">
        <v>2004</v>
      </c>
      <c r="G310" s="1" t="s">
        <v>162</v>
      </c>
      <c r="H310" s="3" t="s">
        <v>163</v>
      </c>
      <c r="I310" s="3" t="s">
        <v>164</v>
      </c>
      <c r="J310" s="3" t="s">
        <v>165</v>
      </c>
      <c r="K310" s="3" t="s">
        <v>45</v>
      </c>
      <c r="L310" s="3" t="s">
        <v>46</v>
      </c>
      <c r="M310" s="1" t="s">
        <v>115</v>
      </c>
      <c r="N310" s="1" t="s">
        <v>116</v>
      </c>
      <c r="O310" s="1">
        <v>1</v>
      </c>
      <c r="P310" s="1">
        <v>1</v>
      </c>
      <c r="Q310" s="1" t="s">
        <v>49</v>
      </c>
      <c r="R310" s="1">
        <v>1</v>
      </c>
      <c r="S310" s="1" t="s">
        <v>166</v>
      </c>
      <c r="T310" s="1" t="s">
        <v>166</v>
      </c>
      <c r="U310" s="1" t="s">
        <v>119</v>
      </c>
      <c r="V310" s="3" t="s">
        <v>167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172</v>
      </c>
      <c r="AE310" s="1" t="s">
        <v>52</v>
      </c>
      <c r="AF310" s="1" t="s">
        <v>49</v>
      </c>
      <c r="AG310" s="1" t="s">
        <v>49</v>
      </c>
      <c r="AH310" s="1" t="s">
        <v>168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6" t="s">
        <v>49</v>
      </c>
      <c r="AS310" s="1">
        <v>-56.875</v>
      </c>
      <c r="AT310" s="6" t="s">
        <v>49</v>
      </c>
      <c r="AU310" s="6" t="s">
        <v>49</v>
      </c>
      <c r="AV310" s="6" t="s">
        <v>49</v>
      </c>
      <c r="AW310" s="29" t="s">
        <v>49</v>
      </c>
    </row>
    <row r="311" spans="1:52">
      <c r="A311" s="1">
        <v>16</v>
      </c>
      <c r="B311" s="1" t="s">
        <v>38</v>
      </c>
      <c r="C311" s="1" t="s">
        <v>38</v>
      </c>
      <c r="D311" s="3" t="s">
        <v>176</v>
      </c>
      <c r="E311" s="3" t="s">
        <v>40</v>
      </c>
      <c r="F311" s="3">
        <v>1996</v>
      </c>
      <c r="G311" s="3" t="s">
        <v>177</v>
      </c>
      <c r="H311" s="3" t="s">
        <v>178</v>
      </c>
      <c r="I311" s="3" t="s">
        <v>179</v>
      </c>
      <c r="J311" s="3" t="s">
        <v>180</v>
      </c>
      <c r="K311" s="3" t="s">
        <v>45</v>
      </c>
      <c r="L311" s="3" t="s">
        <v>46</v>
      </c>
      <c r="M311" s="1" t="s">
        <v>115</v>
      </c>
      <c r="N311" s="1" t="s">
        <v>116</v>
      </c>
      <c r="O311" s="1">
        <v>1</v>
      </c>
      <c r="P311" s="1">
        <v>1</v>
      </c>
      <c r="Q311" s="1" t="s">
        <v>49</v>
      </c>
      <c r="R311" s="1">
        <v>1</v>
      </c>
      <c r="S311" s="1" t="s">
        <v>181</v>
      </c>
      <c r="T311" s="1" t="s">
        <v>181</v>
      </c>
      <c r="U311" s="1" t="s">
        <v>119</v>
      </c>
      <c r="V311" s="3" t="s">
        <v>182</v>
      </c>
      <c r="W311" s="3">
        <v>38.96</v>
      </c>
      <c r="X311" s="3">
        <v>-106.99</v>
      </c>
      <c r="Y311" s="3" t="s">
        <v>141</v>
      </c>
      <c r="Z311" s="1" t="s">
        <v>49</v>
      </c>
      <c r="AA311" s="1" t="s">
        <v>50</v>
      </c>
      <c r="AB311" s="1" t="s">
        <v>57</v>
      </c>
      <c r="AC311" s="1" t="s">
        <v>86</v>
      </c>
      <c r="AD311" s="1" t="s">
        <v>184</v>
      </c>
      <c r="AE311" s="1" t="s">
        <v>184</v>
      </c>
      <c r="AF311" s="1" t="s">
        <v>60</v>
      </c>
      <c r="AG311" s="1" t="s">
        <v>61</v>
      </c>
      <c r="AH311" s="1" t="s">
        <v>183</v>
      </c>
      <c r="AI311" s="1" t="s">
        <v>55</v>
      </c>
      <c r="AJ311" s="1">
        <v>32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6" t="s">
        <v>49</v>
      </c>
      <c r="AS311" s="1">
        <v>0.78100000000000003</v>
      </c>
      <c r="AT311" s="4">
        <f t="shared" ref="AT311:AT315" si="21">AS311/(AM311^2)*100</f>
        <v>0.1227893977879671</v>
      </c>
      <c r="AU311" s="5">
        <v>0</v>
      </c>
      <c r="AV311" s="4">
        <f t="shared" ref="AV311:AV316" si="22">AT311*(1-AL311)/AL311</f>
        <v>0.71802711869096769</v>
      </c>
      <c r="AW311" s="29" t="s">
        <v>189</v>
      </c>
    </row>
    <row r="312" spans="1:52">
      <c r="A312" s="1">
        <v>16</v>
      </c>
      <c r="B312" s="1" t="s">
        <v>38</v>
      </c>
      <c r="C312" s="1" t="s">
        <v>38</v>
      </c>
      <c r="D312" s="3" t="s">
        <v>176</v>
      </c>
      <c r="E312" s="3" t="s">
        <v>40</v>
      </c>
      <c r="F312" s="3">
        <v>1996</v>
      </c>
      <c r="G312" s="3" t="s">
        <v>177</v>
      </c>
      <c r="H312" s="3" t="s">
        <v>178</v>
      </c>
      <c r="I312" s="3" t="s">
        <v>179</v>
      </c>
      <c r="J312" s="3" t="s">
        <v>180</v>
      </c>
      <c r="K312" s="3" t="s">
        <v>45</v>
      </c>
      <c r="L312" s="3" t="s">
        <v>46</v>
      </c>
      <c r="M312" s="1" t="s">
        <v>115</v>
      </c>
      <c r="N312" s="1" t="s">
        <v>116</v>
      </c>
      <c r="O312" s="1">
        <v>1</v>
      </c>
      <c r="P312" s="1">
        <v>1</v>
      </c>
      <c r="Q312" s="1" t="s">
        <v>49</v>
      </c>
      <c r="R312" s="1">
        <v>1</v>
      </c>
      <c r="S312" s="1" t="s">
        <v>181</v>
      </c>
      <c r="T312" s="1" t="s">
        <v>181</v>
      </c>
      <c r="U312" s="1" t="s">
        <v>119</v>
      </c>
      <c r="V312" s="3" t="s">
        <v>182</v>
      </c>
      <c r="W312" s="3">
        <v>38.96</v>
      </c>
      <c r="X312" s="3">
        <v>-106.99</v>
      </c>
      <c r="Y312" s="3" t="s">
        <v>141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90</v>
      </c>
      <c r="AE312" s="1" t="s">
        <v>90</v>
      </c>
      <c r="AF312" s="1" t="s">
        <v>60</v>
      </c>
      <c r="AG312" s="1" t="s">
        <v>61</v>
      </c>
      <c r="AH312" s="1" t="s">
        <v>183</v>
      </c>
      <c r="AI312" s="1" t="s">
        <v>55</v>
      </c>
      <c r="AJ312" s="1">
        <v>32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6" t="s">
        <v>49</v>
      </c>
      <c r="AS312" s="1">
        <v>1.0920000000000001</v>
      </c>
      <c r="AT312" s="4">
        <f t="shared" si="21"/>
        <v>0.17458030782089401</v>
      </c>
      <c r="AU312" s="5">
        <v>0</v>
      </c>
      <c r="AV312" s="4">
        <f t="shared" si="22"/>
        <v>0.63101508696801145</v>
      </c>
      <c r="AW312" s="29" t="s">
        <v>189</v>
      </c>
    </row>
    <row r="313" spans="1:52">
      <c r="A313" s="1">
        <v>16</v>
      </c>
      <c r="B313" s="1" t="s">
        <v>38</v>
      </c>
      <c r="C313" s="1" t="s">
        <v>38</v>
      </c>
      <c r="D313" s="3" t="s">
        <v>176</v>
      </c>
      <c r="E313" s="3" t="s">
        <v>40</v>
      </c>
      <c r="F313" s="3">
        <v>1996</v>
      </c>
      <c r="G313" s="3" t="s">
        <v>177</v>
      </c>
      <c r="H313" s="3" t="s">
        <v>178</v>
      </c>
      <c r="I313" s="3" t="s">
        <v>179</v>
      </c>
      <c r="J313" s="3" t="s">
        <v>180</v>
      </c>
      <c r="K313" s="3" t="s">
        <v>45</v>
      </c>
      <c r="L313" s="3" t="s">
        <v>46</v>
      </c>
      <c r="M313" s="1" t="s">
        <v>115</v>
      </c>
      <c r="N313" s="1" t="s">
        <v>116</v>
      </c>
      <c r="O313" s="1">
        <v>1</v>
      </c>
      <c r="P313" s="1">
        <v>1</v>
      </c>
      <c r="Q313" s="1" t="s">
        <v>49</v>
      </c>
      <c r="R313" s="1">
        <v>1</v>
      </c>
      <c r="S313" s="1" t="s">
        <v>181</v>
      </c>
      <c r="T313" s="1" t="s">
        <v>181</v>
      </c>
      <c r="U313" s="1" t="s">
        <v>119</v>
      </c>
      <c r="V313" s="3" t="s">
        <v>182</v>
      </c>
      <c r="W313" s="3">
        <v>38.96</v>
      </c>
      <c r="X313" s="3">
        <v>-106.99</v>
      </c>
      <c r="Y313" s="3" t="s">
        <v>141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89</v>
      </c>
      <c r="AE313" s="1" t="s">
        <v>89</v>
      </c>
      <c r="AF313" s="1" t="s">
        <v>60</v>
      </c>
      <c r="AG313" s="1" t="s">
        <v>61</v>
      </c>
      <c r="AH313" s="1" t="s">
        <v>183</v>
      </c>
      <c r="AI313" s="1" t="s">
        <v>55</v>
      </c>
      <c r="AJ313" s="1">
        <v>32</v>
      </c>
      <c r="AK313" s="1">
        <v>375</v>
      </c>
      <c r="AL313" s="4">
        <f>AS313/AN313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6" t="s">
        <v>49</v>
      </c>
      <c r="AS313" s="1">
        <v>2.5000000000000001E-2</v>
      </c>
      <c r="AT313" s="4">
        <f t="shared" si="21"/>
        <v>0.1918340098679415</v>
      </c>
      <c r="AU313" s="5">
        <v>0</v>
      </c>
      <c r="AV313" s="4">
        <f t="shared" si="22"/>
        <v>0.4910950652619302</v>
      </c>
      <c r="AW313" s="29" t="s">
        <v>189</v>
      </c>
    </row>
    <row r="314" spans="1:52">
      <c r="A314" s="1">
        <v>16</v>
      </c>
      <c r="B314" s="1" t="s">
        <v>38</v>
      </c>
      <c r="C314" s="1" t="s">
        <v>38</v>
      </c>
      <c r="D314" s="3" t="s">
        <v>176</v>
      </c>
      <c r="E314" s="3" t="s">
        <v>40</v>
      </c>
      <c r="F314" s="3">
        <v>1996</v>
      </c>
      <c r="G314" s="3" t="s">
        <v>177</v>
      </c>
      <c r="H314" s="3" t="s">
        <v>178</v>
      </c>
      <c r="I314" s="3" t="s">
        <v>179</v>
      </c>
      <c r="J314" s="3" t="s">
        <v>180</v>
      </c>
      <c r="K314" s="3" t="s">
        <v>45</v>
      </c>
      <c r="L314" s="3" t="s">
        <v>46</v>
      </c>
      <c r="M314" s="1" t="s">
        <v>115</v>
      </c>
      <c r="N314" s="1" t="s">
        <v>116</v>
      </c>
      <c r="O314" s="1">
        <v>1</v>
      </c>
      <c r="P314" s="1">
        <v>1</v>
      </c>
      <c r="Q314" s="1" t="s">
        <v>49</v>
      </c>
      <c r="R314" s="1">
        <v>1</v>
      </c>
      <c r="S314" s="1" t="s">
        <v>181</v>
      </c>
      <c r="T314" s="1" t="s">
        <v>181</v>
      </c>
      <c r="U314" s="1" t="s">
        <v>119</v>
      </c>
      <c r="V314" s="3" t="s">
        <v>182</v>
      </c>
      <c r="W314" s="3">
        <v>38.96</v>
      </c>
      <c r="X314" s="3">
        <v>-106.99</v>
      </c>
      <c r="Y314" s="3" t="s">
        <v>141</v>
      </c>
      <c r="Z314" s="1" t="s">
        <v>49</v>
      </c>
      <c r="AA314" s="1" t="s">
        <v>50</v>
      </c>
      <c r="AB314" s="1" t="s">
        <v>96</v>
      </c>
      <c r="AC314" s="1" t="s">
        <v>299</v>
      </c>
      <c r="AD314" s="1" t="s">
        <v>300</v>
      </c>
      <c r="AE314" s="1" t="s">
        <v>300</v>
      </c>
      <c r="AF314" s="1" t="s">
        <v>60</v>
      </c>
      <c r="AG314" s="1" t="s">
        <v>60</v>
      </c>
      <c r="AH314" s="1" t="s">
        <v>183</v>
      </c>
      <c r="AI314" s="1" t="s">
        <v>55</v>
      </c>
      <c r="AJ314" s="1">
        <v>32</v>
      </c>
      <c r="AK314" s="1">
        <v>375</v>
      </c>
      <c r="AL314" s="4">
        <f>AS314/AN314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6" t="s">
        <v>49</v>
      </c>
      <c r="AS314" s="1">
        <v>2E-3</v>
      </c>
      <c r="AT314" s="4">
        <f t="shared" si="21"/>
        <v>0.98765432098765427</v>
      </c>
      <c r="AU314" s="5">
        <v>0</v>
      </c>
      <c r="AV314" s="4">
        <f t="shared" si="22"/>
        <v>7.9012345679012324</v>
      </c>
      <c r="AW314" s="29" t="s">
        <v>189</v>
      </c>
      <c r="AX314" s="5"/>
      <c r="AY314" s="4"/>
      <c r="AZ314" s="1"/>
    </row>
    <row r="315" spans="1:52">
      <c r="A315" s="1">
        <v>16</v>
      </c>
      <c r="B315" s="1" t="s">
        <v>38</v>
      </c>
      <c r="C315" s="1" t="s">
        <v>38</v>
      </c>
      <c r="D315" s="3" t="s">
        <v>176</v>
      </c>
      <c r="E315" s="3" t="s">
        <v>40</v>
      </c>
      <c r="F315" s="3">
        <v>1996</v>
      </c>
      <c r="G315" s="3" t="s">
        <v>177</v>
      </c>
      <c r="H315" s="3" t="s">
        <v>178</v>
      </c>
      <c r="I315" s="3" t="s">
        <v>179</v>
      </c>
      <c r="J315" s="3" t="s">
        <v>180</v>
      </c>
      <c r="K315" s="3" t="s">
        <v>45</v>
      </c>
      <c r="L315" s="3" t="s">
        <v>46</v>
      </c>
      <c r="M315" s="1" t="s">
        <v>115</v>
      </c>
      <c r="N315" s="1" t="s">
        <v>116</v>
      </c>
      <c r="O315" s="1">
        <v>1</v>
      </c>
      <c r="P315" s="1">
        <v>1</v>
      </c>
      <c r="Q315" s="1" t="s">
        <v>49</v>
      </c>
      <c r="R315" s="1">
        <v>1</v>
      </c>
      <c r="S315" s="1" t="s">
        <v>181</v>
      </c>
      <c r="T315" s="1" t="s">
        <v>181</v>
      </c>
      <c r="U315" s="1" t="s">
        <v>119</v>
      </c>
      <c r="V315" s="3" t="s">
        <v>182</v>
      </c>
      <c r="W315" s="3">
        <v>38.96</v>
      </c>
      <c r="X315" s="3">
        <v>-106.99</v>
      </c>
      <c r="Y315" s="3" t="s">
        <v>141</v>
      </c>
      <c r="Z315" s="1" t="s">
        <v>49</v>
      </c>
      <c r="AA315" s="1" t="s">
        <v>50</v>
      </c>
      <c r="AB315" s="1" t="s">
        <v>185</v>
      </c>
      <c r="AC315" s="1" t="s">
        <v>186</v>
      </c>
      <c r="AD315" s="1" t="s">
        <v>187</v>
      </c>
      <c r="AE315" s="1" t="s">
        <v>187</v>
      </c>
      <c r="AF315" s="1" t="s">
        <v>60</v>
      </c>
      <c r="AG315" s="1" t="s">
        <v>173</v>
      </c>
      <c r="AH315" s="1" t="s">
        <v>183</v>
      </c>
      <c r="AI315" s="1" t="s">
        <v>55</v>
      </c>
      <c r="AJ315" s="1">
        <v>32</v>
      </c>
      <c r="AK315" s="1">
        <v>375</v>
      </c>
      <c r="AL315" s="4">
        <f>AS315/AN315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6" t="s">
        <v>49</v>
      </c>
      <c r="AS315" s="1">
        <v>0.106</v>
      </c>
      <c r="AT315" s="4">
        <f t="shared" si="21"/>
        <v>2.0390889504462915</v>
      </c>
      <c r="AU315" s="5">
        <v>0</v>
      </c>
      <c r="AV315" s="4">
        <f t="shared" si="22"/>
        <v>49.322868574946149</v>
      </c>
      <c r="AW315" s="29" t="s">
        <v>189</v>
      </c>
    </row>
    <row r="316" spans="1:52">
      <c r="A316" s="1">
        <v>16</v>
      </c>
      <c r="B316" s="1" t="s">
        <v>38</v>
      </c>
      <c r="C316" s="1" t="s">
        <v>38</v>
      </c>
      <c r="D316" s="3" t="s">
        <v>176</v>
      </c>
      <c r="E316" s="3" t="s">
        <v>40</v>
      </c>
      <c r="F316" s="3">
        <v>1996</v>
      </c>
      <c r="G316" s="3" t="s">
        <v>177</v>
      </c>
      <c r="H316" s="3" t="s">
        <v>178</v>
      </c>
      <c r="I316" s="3" t="s">
        <v>179</v>
      </c>
      <c r="J316" s="3" t="s">
        <v>180</v>
      </c>
      <c r="K316" s="3" t="s">
        <v>45</v>
      </c>
      <c r="L316" s="3" t="s">
        <v>46</v>
      </c>
      <c r="M316" s="1" t="s">
        <v>115</v>
      </c>
      <c r="N316" s="1" t="s">
        <v>116</v>
      </c>
      <c r="O316" s="1">
        <v>1</v>
      </c>
      <c r="P316" s="1">
        <v>1</v>
      </c>
      <c r="Q316" s="1" t="s">
        <v>49</v>
      </c>
      <c r="R316" s="1">
        <v>1</v>
      </c>
      <c r="S316" s="1" t="s">
        <v>181</v>
      </c>
      <c r="T316" s="1" t="s">
        <v>181</v>
      </c>
      <c r="U316" s="1" t="s">
        <v>119</v>
      </c>
      <c r="V316" s="3" t="s">
        <v>182</v>
      </c>
      <c r="W316" s="3">
        <v>38.96</v>
      </c>
      <c r="X316" s="3">
        <v>-106.99</v>
      </c>
      <c r="Y316" s="3" t="s">
        <v>141</v>
      </c>
      <c r="Z316" s="1" t="s">
        <v>49</v>
      </c>
      <c r="AA316" s="1" t="s">
        <v>50</v>
      </c>
      <c r="AB316" s="1" t="s">
        <v>185</v>
      </c>
      <c r="AC316" s="1" t="s">
        <v>186</v>
      </c>
      <c r="AD316" s="1" t="s">
        <v>188</v>
      </c>
      <c r="AE316" s="1" t="s">
        <v>188</v>
      </c>
      <c r="AF316" s="1" t="s">
        <v>60</v>
      </c>
      <c r="AG316" s="1" t="s">
        <v>60</v>
      </c>
      <c r="AH316" s="1" t="s">
        <v>183</v>
      </c>
      <c r="AI316" s="1" t="s">
        <v>55</v>
      </c>
      <c r="AJ316" s="1">
        <v>32</v>
      </c>
      <c r="AK316" s="1">
        <v>375</v>
      </c>
      <c r="AL316" s="4">
        <f>AS316/AN316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6" t="s">
        <v>49</v>
      </c>
      <c r="AS316" s="1">
        <v>2.9999999999999997E-4</v>
      </c>
      <c r="AT316" s="4">
        <f>AS316/(AM316^2)*100</f>
        <v>0.56710775047258977</v>
      </c>
      <c r="AU316" s="5">
        <v>0</v>
      </c>
      <c r="AV316" s="4">
        <f t="shared" si="22"/>
        <v>3.7807183364839316</v>
      </c>
      <c r="AW316" s="29" t="s">
        <v>189</v>
      </c>
    </row>
    <row r="317" spans="1:52">
      <c r="A317" s="1">
        <v>16</v>
      </c>
      <c r="B317" s="1" t="s">
        <v>38</v>
      </c>
      <c r="C317" s="1" t="s">
        <v>38</v>
      </c>
      <c r="D317" s="3" t="s">
        <v>176</v>
      </c>
      <c r="E317" s="3" t="s">
        <v>40</v>
      </c>
      <c r="F317" s="3">
        <v>1996</v>
      </c>
      <c r="G317" s="3" t="s">
        <v>177</v>
      </c>
      <c r="H317" s="3" t="s">
        <v>178</v>
      </c>
      <c r="I317" s="3" t="s">
        <v>179</v>
      </c>
      <c r="J317" s="3" t="s">
        <v>180</v>
      </c>
      <c r="K317" s="3" t="s">
        <v>45</v>
      </c>
      <c r="L317" s="3" t="s">
        <v>46</v>
      </c>
      <c r="M317" s="1" t="s">
        <v>115</v>
      </c>
      <c r="N317" s="1" t="s">
        <v>116</v>
      </c>
      <c r="O317" s="1">
        <v>1</v>
      </c>
      <c r="P317" s="1">
        <v>1</v>
      </c>
      <c r="Q317" s="1" t="s">
        <v>49</v>
      </c>
      <c r="R317" s="1">
        <v>1</v>
      </c>
      <c r="S317" s="1" t="s">
        <v>181</v>
      </c>
      <c r="T317" s="1" t="s">
        <v>181</v>
      </c>
      <c r="U317" s="1" t="s">
        <v>119</v>
      </c>
      <c r="V317" s="3" t="s">
        <v>182</v>
      </c>
      <c r="W317" s="3">
        <v>38.96</v>
      </c>
      <c r="X317" s="3">
        <v>-106.99</v>
      </c>
      <c r="Y317" s="3" t="s">
        <v>141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90</v>
      </c>
      <c r="AE317" s="1" t="s">
        <v>89</v>
      </c>
      <c r="AF317" s="1" t="s">
        <v>49</v>
      </c>
      <c r="AG317" s="1" t="s">
        <v>49</v>
      </c>
      <c r="AH317" s="1" t="s">
        <v>183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>
        <v>0.39</v>
      </c>
      <c r="AS317" s="6" t="s">
        <v>49</v>
      </c>
      <c r="AT317" s="6" t="s">
        <v>49</v>
      </c>
      <c r="AU317" s="6" t="s">
        <v>49</v>
      </c>
      <c r="AV317" s="1" t="s">
        <v>49</v>
      </c>
      <c r="AW317" s="30" t="s">
        <v>49</v>
      </c>
    </row>
    <row r="318" spans="1:52">
      <c r="A318" s="1">
        <v>16</v>
      </c>
      <c r="B318" s="1" t="s">
        <v>38</v>
      </c>
      <c r="C318" s="1" t="s">
        <v>38</v>
      </c>
      <c r="D318" s="3" t="s">
        <v>176</v>
      </c>
      <c r="E318" s="3" t="s">
        <v>40</v>
      </c>
      <c r="F318" s="3">
        <v>1996</v>
      </c>
      <c r="G318" s="3" t="s">
        <v>177</v>
      </c>
      <c r="H318" s="3" t="s">
        <v>178</v>
      </c>
      <c r="I318" s="3" t="s">
        <v>179</v>
      </c>
      <c r="J318" s="3" t="s">
        <v>180</v>
      </c>
      <c r="K318" s="3" t="s">
        <v>45</v>
      </c>
      <c r="L318" s="3" t="s">
        <v>46</v>
      </c>
      <c r="M318" s="1" t="s">
        <v>115</v>
      </c>
      <c r="N318" s="1" t="s">
        <v>116</v>
      </c>
      <c r="O318" s="1">
        <v>1</v>
      </c>
      <c r="P318" s="1">
        <v>1</v>
      </c>
      <c r="Q318" s="1" t="s">
        <v>49</v>
      </c>
      <c r="R318" s="1">
        <v>1</v>
      </c>
      <c r="S318" s="1" t="s">
        <v>181</v>
      </c>
      <c r="T318" s="1" t="s">
        <v>181</v>
      </c>
      <c r="U318" s="1" t="s">
        <v>119</v>
      </c>
      <c r="V318" s="3" t="s">
        <v>182</v>
      </c>
      <c r="W318" s="3">
        <v>38.96</v>
      </c>
      <c r="X318" s="3">
        <v>-106.99</v>
      </c>
      <c r="Y318" s="3" t="s">
        <v>141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90</v>
      </c>
      <c r="AE318" s="1" t="s">
        <v>184</v>
      </c>
      <c r="AF318" s="1" t="s">
        <v>49</v>
      </c>
      <c r="AG318" s="1" t="s">
        <v>49</v>
      </c>
      <c r="AH318" s="1" t="s">
        <v>183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>
        <v>0.33</v>
      </c>
      <c r="AS318" s="6" t="s">
        <v>49</v>
      </c>
      <c r="AT318" s="6" t="s">
        <v>49</v>
      </c>
      <c r="AU318" s="6" t="s">
        <v>49</v>
      </c>
      <c r="AV318" s="1" t="s">
        <v>49</v>
      </c>
      <c r="AW318" s="30" t="s">
        <v>49</v>
      </c>
    </row>
    <row r="319" spans="1:52">
      <c r="A319" s="1">
        <v>16</v>
      </c>
      <c r="B319" s="1" t="s">
        <v>38</v>
      </c>
      <c r="C319" s="1" t="s">
        <v>38</v>
      </c>
      <c r="D319" s="3" t="s">
        <v>176</v>
      </c>
      <c r="E319" s="3" t="s">
        <v>40</v>
      </c>
      <c r="F319" s="3">
        <v>1996</v>
      </c>
      <c r="G319" s="3" t="s">
        <v>177</v>
      </c>
      <c r="H319" s="3" t="s">
        <v>178</v>
      </c>
      <c r="I319" s="3" t="s">
        <v>179</v>
      </c>
      <c r="J319" s="3" t="s">
        <v>180</v>
      </c>
      <c r="K319" s="3" t="s">
        <v>45</v>
      </c>
      <c r="L319" s="3" t="s">
        <v>46</v>
      </c>
      <c r="M319" s="1" t="s">
        <v>115</v>
      </c>
      <c r="N319" s="1" t="s">
        <v>116</v>
      </c>
      <c r="O319" s="1">
        <v>1</v>
      </c>
      <c r="P319" s="1">
        <v>1</v>
      </c>
      <c r="Q319" s="1" t="s">
        <v>49</v>
      </c>
      <c r="R319" s="1">
        <v>1</v>
      </c>
      <c r="S319" s="1" t="s">
        <v>181</v>
      </c>
      <c r="T319" s="1" t="s">
        <v>181</v>
      </c>
      <c r="U319" s="1" t="s">
        <v>119</v>
      </c>
      <c r="V319" s="3" t="s">
        <v>182</v>
      </c>
      <c r="W319" s="3">
        <v>38.96</v>
      </c>
      <c r="X319" s="3">
        <v>-106.99</v>
      </c>
      <c r="Y319" s="3" t="s">
        <v>141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90</v>
      </c>
      <c r="AE319" s="1" t="s">
        <v>300</v>
      </c>
      <c r="AF319" s="1" t="s">
        <v>49</v>
      </c>
      <c r="AG319" s="1" t="s">
        <v>49</v>
      </c>
      <c r="AH319" s="1" t="s">
        <v>183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>
        <v>-0.11</v>
      </c>
      <c r="AS319" s="6" t="s">
        <v>49</v>
      </c>
      <c r="AT319" s="6" t="s">
        <v>49</v>
      </c>
      <c r="AU319" s="6" t="s">
        <v>49</v>
      </c>
      <c r="AV319" s="1" t="s">
        <v>49</v>
      </c>
      <c r="AW319" s="30" t="s">
        <v>49</v>
      </c>
    </row>
    <row r="320" spans="1:52">
      <c r="A320" s="1">
        <v>16</v>
      </c>
      <c r="B320" s="1" t="s">
        <v>38</v>
      </c>
      <c r="C320" s="1" t="s">
        <v>38</v>
      </c>
      <c r="D320" s="3" t="s">
        <v>176</v>
      </c>
      <c r="E320" s="3" t="s">
        <v>40</v>
      </c>
      <c r="F320" s="3">
        <v>1996</v>
      </c>
      <c r="G320" s="3" t="s">
        <v>177</v>
      </c>
      <c r="H320" s="3" t="s">
        <v>178</v>
      </c>
      <c r="I320" s="3" t="s">
        <v>179</v>
      </c>
      <c r="J320" s="3" t="s">
        <v>180</v>
      </c>
      <c r="K320" s="3" t="s">
        <v>45</v>
      </c>
      <c r="L320" s="3" t="s">
        <v>46</v>
      </c>
      <c r="M320" s="1" t="s">
        <v>115</v>
      </c>
      <c r="N320" s="1" t="s">
        <v>116</v>
      </c>
      <c r="O320" s="1">
        <v>1</v>
      </c>
      <c r="P320" s="1">
        <v>1</v>
      </c>
      <c r="Q320" s="1" t="s">
        <v>49</v>
      </c>
      <c r="R320" s="1">
        <v>1</v>
      </c>
      <c r="S320" s="1" t="s">
        <v>181</v>
      </c>
      <c r="T320" s="1" t="s">
        <v>181</v>
      </c>
      <c r="U320" s="1" t="s">
        <v>119</v>
      </c>
      <c r="V320" s="3" t="s">
        <v>182</v>
      </c>
      <c r="W320" s="3">
        <v>38.96</v>
      </c>
      <c r="X320" s="3">
        <v>-106.99</v>
      </c>
      <c r="Y320" s="3" t="s">
        <v>141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90</v>
      </c>
      <c r="AE320" s="1" t="s">
        <v>187</v>
      </c>
      <c r="AF320" s="1" t="s">
        <v>49</v>
      </c>
      <c r="AG320" s="1" t="s">
        <v>49</v>
      </c>
      <c r="AH320" s="1" t="s">
        <v>183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>
        <v>0.32</v>
      </c>
      <c r="AS320" s="6" t="s">
        <v>49</v>
      </c>
      <c r="AT320" s="6" t="s">
        <v>49</v>
      </c>
      <c r="AU320" s="6" t="s">
        <v>49</v>
      </c>
      <c r="AV320" s="1" t="s">
        <v>49</v>
      </c>
      <c r="AW320" s="30" t="s">
        <v>49</v>
      </c>
    </row>
    <row r="321" spans="1:49">
      <c r="A321" s="1">
        <v>16</v>
      </c>
      <c r="B321" s="1" t="s">
        <v>38</v>
      </c>
      <c r="C321" s="1" t="s">
        <v>38</v>
      </c>
      <c r="D321" s="3" t="s">
        <v>176</v>
      </c>
      <c r="E321" s="3" t="s">
        <v>40</v>
      </c>
      <c r="F321" s="3">
        <v>1996</v>
      </c>
      <c r="G321" s="3" t="s">
        <v>177</v>
      </c>
      <c r="H321" s="3" t="s">
        <v>178</v>
      </c>
      <c r="I321" s="3" t="s">
        <v>179</v>
      </c>
      <c r="J321" s="3" t="s">
        <v>180</v>
      </c>
      <c r="K321" s="3" t="s">
        <v>45</v>
      </c>
      <c r="L321" s="3" t="s">
        <v>46</v>
      </c>
      <c r="M321" s="1" t="s">
        <v>115</v>
      </c>
      <c r="N321" s="1" t="s">
        <v>116</v>
      </c>
      <c r="O321" s="1">
        <v>1</v>
      </c>
      <c r="P321" s="1">
        <v>1</v>
      </c>
      <c r="Q321" s="1" t="s">
        <v>49</v>
      </c>
      <c r="R321" s="1">
        <v>1</v>
      </c>
      <c r="S321" s="1" t="s">
        <v>181</v>
      </c>
      <c r="T321" s="1" t="s">
        <v>181</v>
      </c>
      <c r="U321" s="1" t="s">
        <v>119</v>
      </c>
      <c r="V321" s="3" t="s">
        <v>182</v>
      </c>
      <c r="W321" s="3">
        <v>38.96</v>
      </c>
      <c r="X321" s="3">
        <v>-106.99</v>
      </c>
      <c r="Y321" s="3" t="s">
        <v>141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90</v>
      </c>
      <c r="AE321" s="1" t="s">
        <v>188</v>
      </c>
      <c r="AF321" s="1" t="s">
        <v>49</v>
      </c>
      <c r="AG321" s="1" t="s">
        <v>49</v>
      </c>
      <c r="AH321" s="1" t="s">
        <v>183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>
        <v>-0.3</v>
      </c>
      <c r="AS321" s="6" t="s">
        <v>49</v>
      </c>
      <c r="AT321" s="6" t="s">
        <v>49</v>
      </c>
      <c r="AU321" s="6" t="s">
        <v>49</v>
      </c>
      <c r="AV321" s="1" t="s">
        <v>49</v>
      </c>
      <c r="AW321" s="30" t="s">
        <v>49</v>
      </c>
    </row>
    <row r="322" spans="1:49">
      <c r="A322" s="1">
        <v>16</v>
      </c>
      <c r="B322" s="1" t="s">
        <v>38</v>
      </c>
      <c r="C322" s="1" t="s">
        <v>38</v>
      </c>
      <c r="D322" s="3" t="s">
        <v>176</v>
      </c>
      <c r="E322" s="3" t="s">
        <v>40</v>
      </c>
      <c r="F322" s="3">
        <v>1996</v>
      </c>
      <c r="G322" s="3" t="s">
        <v>177</v>
      </c>
      <c r="H322" s="3" t="s">
        <v>178</v>
      </c>
      <c r="I322" s="3" t="s">
        <v>179</v>
      </c>
      <c r="J322" s="3" t="s">
        <v>180</v>
      </c>
      <c r="K322" s="3" t="s">
        <v>45</v>
      </c>
      <c r="L322" s="3" t="s">
        <v>46</v>
      </c>
      <c r="M322" s="1" t="s">
        <v>115</v>
      </c>
      <c r="N322" s="1" t="s">
        <v>116</v>
      </c>
      <c r="O322" s="1">
        <v>1</v>
      </c>
      <c r="P322" s="1">
        <v>1</v>
      </c>
      <c r="Q322" s="1" t="s">
        <v>49</v>
      </c>
      <c r="R322" s="1">
        <v>1</v>
      </c>
      <c r="S322" s="1" t="s">
        <v>181</v>
      </c>
      <c r="T322" s="1" t="s">
        <v>181</v>
      </c>
      <c r="U322" s="1" t="s">
        <v>119</v>
      </c>
      <c r="V322" s="3" t="s">
        <v>182</v>
      </c>
      <c r="W322" s="3">
        <v>38.96</v>
      </c>
      <c r="X322" s="3">
        <v>-106.99</v>
      </c>
      <c r="Y322" s="3" t="s">
        <v>141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89</v>
      </c>
      <c r="AE322" s="1" t="s">
        <v>184</v>
      </c>
      <c r="AF322" s="1" t="s">
        <v>49</v>
      </c>
      <c r="AG322" s="1" t="s">
        <v>49</v>
      </c>
      <c r="AH322" s="1" t="s">
        <v>183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>
        <v>0.31</v>
      </c>
      <c r="AS322" s="6" t="s">
        <v>49</v>
      </c>
      <c r="AT322" s="6" t="s">
        <v>49</v>
      </c>
      <c r="AU322" s="6" t="s">
        <v>49</v>
      </c>
      <c r="AV322" s="1" t="s">
        <v>49</v>
      </c>
      <c r="AW322" s="30" t="s">
        <v>49</v>
      </c>
    </row>
    <row r="323" spans="1:49">
      <c r="A323" s="1">
        <v>16</v>
      </c>
      <c r="B323" s="1" t="s">
        <v>38</v>
      </c>
      <c r="C323" s="1" t="s">
        <v>38</v>
      </c>
      <c r="D323" s="3" t="s">
        <v>176</v>
      </c>
      <c r="E323" s="3" t="s">
        <v>40</v>
      </c>
      <c r="F323" s="3">
        <v>1996</v>
      </c>
      <c r="G323" s="3" t="s">
        <v>177</v>
      </c>
      <c r="H323" s="3" t="s">
        <v>178</v>
      </c>
      <c r="I323" s="3" t="s">
        <v>179</v>
      </c>
      <c r="J323" s="3" t="s">
        <v>180</v>
      </c>
      <c r="K323" s="3" t="s">
        <v>45</v>
      </c>
      <c r="L323" s="3" t="s">
        <v>46</v>
      </c>
      <c r="M323" s="1" t="s">
        <v>115</v>
      </c>
      <c r="N323" s="1" t="s">
        <v>116</v>
      </c>
      <c r="O323" s="1">
        <v>1</v>
      </c>
      <c r="P323" s="1">
        <v>1</v>
      </c>
      <c r="Q323" s="1" t="s">
        <v>49</v>
      </c>
      <c r="R323" s="1">
        <v>1</v>
      </c>
      <c r="S323" s="1" t="s">
        <v>181</v>
      </c>
      <c r="T323" s="1" t="s">
        <v>181</v>
      </c>
      <c r="U323" s="1" t="s">
        <v>119</v>
      </c>
      <c r="V323" s="3" t="s">
        <v>182</v>
      </c>
      <c r="W323" s="3">
        <v>38.96</v>
      </c>
      <c r="X323" s="3">
        <v>-106.99</v>
      </c>
      <c r="Y323" s="3" t="s">
        <v>141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89</v>
      </c>
      <c r="AE323" s="1" t="s">
        <v>300</v>
      </c>
      <c r="AF323" s="1" t="s">
        <v>49</v>
      </c>
      <c r="AG323" s="1" t="s">
        <v>49</v>
      </c>
      <c r="AH323" s="1" t="s">
        <v>183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>
        <v>0.04</v>
      </c>
      <c r="AS323" s="6" t="s">
        <v>49</v>
      </c>
      <c r="AT323" s="6" t="s">
        <v>49</v>
      </c>
      <c r="AU323" s="6" t="s">
        <v>49</v>
      </c>
      <c r="AV323" s="1" t="s">
        <v>49</v>
      </c>
      <c r="AW323" s="30" t="s">
        <v>49</v>
      </c>
    </row>
    <row r="324" spans="1:49">
      <c r="A324" s="1">
        <v>16</v>
      </c>
      <c r="B324" s="1" t="s">
        <v>38</v>
      </c>
      <c r="C324" s="1" t="s">
        <v>38</v>
      </c>
      <c r="D324" s="3" t="s">
        <v>176</v>
      </c>
      <c r="E324" s="3" t="s">
        <v>40</v>
      </c>
      <c r="F324" s="3">
        <v>1996</v>
      </c>
      <c r="G324" s="3" t="s">
        <v>177</v>
      </c>
      <c r="H324" s="3" t="s">
        <v>178</v>
      </c>
      <c r="I324" s="3" t="s">
        <v>179</v>
      </c>
      <c r="J324" s="3" t="s">
        <v>180</v>
      </c>
      <c r="K324" s="3" t="s">
        <v>45</v>
      </c>
      <c r="L324" s="3" t="s">
        <v>46</v>
      </c>
      <c r="M324" s="1" t="s">
        <v>115</v>
      </c>
      <c r="N324" s="1" t="s">
        <v>116</v>
      </c>
      <c r="O324" s="1">
        <v>1</v>
      </c>
      <c r="P324" s="1">
        <v>1</v>
      </c>
      <c r="Q324" s="1" t="s">
        <v>49</v>
      </c>
      <c r="R324" s="1">
        <v>1</v>
      </c>
      <c r="S324" s="1" t="s">
        <v>181</v>
      </c>
      <c r="T324" s="1" t="s">
        <v>181</v>
      </c>
      <c r="U324" s="1" t="s">
        <v>119</v>
      </c>
      <c r="V324" s="3" t="s">
        <v>182</v>
      </c>
      <c r="W324" s="3">
        <v>38.96</v>
      </c>
      <c r="X324" s="3">
        <v>-106.99</v>
      </c>
      <c r="Y324" s="3" t="s">
        <v>141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89</v>
      </c>
      <c r="AE324" s="1" t="s">
        <v>187</v>
      </c>
      <c r="AF324" s="1" t="s">
        <v>49</v>
      </c>
      <c r="AG324" s="1" t="s">
        <v>49</v>
      </c>
      <c r="AH324" s="1" t="s">
        <v>183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>
        <v>0.25</v>
      </c>
      <c r="AS324" s="6" t="s">
        <v>49</v>
      </c>
      <c r="AT324" s="6" t="s">
        <v>49</v>
      </c>
      <c r="AU324" s="6" t="s">
        <v>49</v>
      </c>
      <c r="AV324" s="1" t="s">
        <v>49</v>
      </c>
      <c r="AW324" s="30" t="s">
        <v>49</v>
      </c>
    </row>
    <row r="325" spans="1:49">
      <c r="A325" s="1">
        <v>16</v>
      </c>
      <c r="B325" s="1" t="s">
        <v>38</v>
      </c>
      <c r="C325" s="1" t="s">
        <v>38</v>
      </c>
      <c r="D325" s="3" t="s">
        <v>176</v>
      </c>
      <c r="E325" s="3" t="s">
        <v>40</v>
      </c>
      <c r="F325" s="3">
        <v>1996</v>
      </c>
      <c r="G325" s="3" t="s">
        <v>177</v>
      </c>
      <c r="H325" s="3" t="s">
        <v>178</v>
      </c>
      <c r="I325" s="3" t="s">
        <v>179</v>
      </c>
      <c r="J325" s="3" t="s">
        <v>180</v>
      </c>
      <c r="K325" s="3" t="s">
        <v>45</v>
      </c>
      <c r="L325" s="3" t="s">
        <v>46</v>
      </c>
      <c r="M325" s="1" t="s">
        <v>115</v>
      </c>
      <c r="N325" s="1" t="s">
        <v>116</v>
      </c>
      <c r="O325" s="1">
        <v>1</v>
      </c>
      <c r="P325" s="1">
        <v>1</v>
      </c>
      <c r="Q325" s="1" t="s">
        <v>49</v>
      </c>
      <c r="R325" s="1">
        <v>1</v>
      </c>
      <c r="S325" s="1" t="s">
        <v>181</v>
      </c>
      <c r="T325" s="1" t="s">
        <v>181</v>
      </c>
      <c r="U325" s="1" t="s">
        <v>119</v>
      </c>
      <c r="V325" s="3" t="s">
        <v>182</v>
      </c>
      <c r="W325" s="3">
        <v>38.96</v>
      </c>
      <c r="X325" s="3">
        <v>-106.99</v>
      </c>
      <c r="Y325" s="3" t="s">
        <v>141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89</v>
      </c>
      <c r="AE325" s="1" t="s">
        <v>188</v>
      </c>
      <c r="AF325" s="1" t="s">
        <v>49</v>
      </c>
      <c r="AG325" s="1" t="s">
        <v>49</v>
      </c>
      <c r="AH325" s="1" t="s">
        <v>183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>
        <v>-0.25</v>
      </c>
      <c r="AS325" s="6" t="s">
        <v>49</v>
      </c>
      <c r="AT325" s="6" t="s">
        <v>49</v>
      </c>
      <c r="AU325" s="6" t="s">
        <v>49</v>
      </c>
      <c r="AV325" s="1" t="s">
        <v>49</v>
      </c>
      <c r="AW325" s="30" t="s">
        <v>49</v>
      </c>
    </row>
    <row r="326" spans="1:49">
      <c r="A326" s="1">
        <v>16</v>
      </c>
      <c r="B326" s="1" t="s">
        <v>38</v>
      </c>
      <c r="C326" s="1" t="s">
        <v>38</v>
      </c>
      <c r="D326" s="3" t="s">
        <v>176</v>
      </c>
      <c r="E326" s="3" t="s">
        <v>40</v>
      </c>
      <c r="F326" s="3">
        <v>1996</v>
      </c>
      <c r="G326" s="3" t="s">
        <v>177</v>
      </c>
      <c r="H326" s="3" t="s">
        <v>178</v>
      </c>
      <c r="I326" s="3" t="s">
        <v>179</v>
      </c>
      <c r="J326" s="3" t="s">
        <v>180</v>
      </c>
      <c r="K326" s="3" t="s">
        <v>45</v>
      </c>
      <c r="L326" s="3" t="s">
        <v>46</v>
      </c>
      <c r="M326" s="1" t="s">
        <v>115</v>
      </c>
      <c r="N326" s="1" t="s">
        <v>116</v>
      </c>
      <c r="O326" s="1">
        <v>1</v>
      </c>
      <c r="P326" s="1">
        <v>1</v>
      </c>
      <c r="Q326" s="1" t="s">
        <v>49</v>
      </c>
      <c r="R326" s="1">
        <v>1</v>
      </c>
      <c r="S326" s="1" t="s">
        <v>181</v>
      </c>
      <c r="T326" s="1" t="s">
        <v>181</v>
      </c>
      <c r="U326" s="1" t="s">
        <v>119</v>
      </c>
      <c r="V326" s="3" t="s">
        <v>182</v>
      </c>
      <c r="W326" s="3">
        <v>38.96</v>
      </c>
      <c r="X326" s="3">
        <v>-106.99</v>
      </c>
      <c r="Y326" s="3" t="s">
        <v>141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184</v>
      </c>
      <c r="AE326" s="1" t="s">
        <v>300</v>
      </c>
      <c r="AF326" s="1" t="s">
        <v>49</v>
      </c>
      <c r="AG326" s="1" t="s">
        <v>49</v>
      </c>
      <c r="AH326" s="1" t="s">
        <v>183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>
        <v>-0.05</v>
      </c>
      <c r="AS326" s="6" t="s">
        <v>49</v>
      </c>
      <c r="AT326" s="6" t="s">
        <v>49</v>
      </c>
      <c r="AU326" s="6" t="s">
        <v>49</v>
      </c>
      <c r="AV326" s="1" t="s">
        <v>49</v>
      </c>
      <c r="AW326" s="30" t="s">
        <v>49</v>
      </c>
    </row>
    <row r="327" spans="1:49">
      <c r="A327" s="1">
        <v>16</v>
      </c>
      <c r="B327" s="1" t="s">
        <v>38</v>
      </c>
      <c r="C327" s="1" t="s">
        <v>38</v>
      </c>
      <c r="D327" s="3" t="s">
        <v>176</v>
      </c>
      <c r="E327" s="3" t="s">
        <v>40</v>
      </c>
      <c r="F327" s="3">
        <v>1996</v>
      </c>
      <c r="G327" s="3" t="s">
        <v>177</v>
      </c>
      <c r="H327" s="3" t="s">
        <v>178</v>
      </c>
      <c r="I327" s="3" t="s">
        <v>179</v>
      </c>
      <c r="J327" s="3" t="s">
        <v>180</v>
      </c>
      <c r="K327" s="3" t="s">
        <v>45</v>
      </c>
      <c r="L327" s="3" t="s">
        <v>46</v>
      </c>
      <c r="M327" s="1" t="s">
        <v>115</v>
      </c>
      <c r="N327" s="1" t="s">
        <v>116</v>
      </c>
      <c r="O327" s="1">
        <v>1</v>
      </c>
      <c r="P327" s="1">
        <v>1</v>
      </c>
      <c r="Q327" s="1" t="s">
        <v>49</v>
      </c>
      <c r="R327" s="1">
        <v>1</v>
      </c>
      <c r="S327" s="1" t="s">
        <v>181</v>
      </c>
      <c r="T327" s="1" t="s">
        <v>181</v>
      </c>
      <c r="U327" s="1" t="s">
        <v>119</v>
      </c>
      <c r="V327" s="3" t="s">
        <v>182</v>
      </c>
      <c r="W327" s="3">
        <v>38.96</v>
      </c>
      <c r="X327" s="3">
        <v>-106.99</v>
      </c>
      <c r="Y327" s="3" t="s">
        <v>141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184</v>
      </c>
      <c r="AE327" s="1" t="s">
        <v>187</v>
      </c>
      <c r="AF327" s="1" t="s">
        <v>49</v>
      </c>
      <c r="AG327" s="1" t="s">
        <v>49</v>
      </c>
      <c r="AH327" s="1" t="s">
        <v>183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>
        <v>0.28999999999999998</v>
      </c>
      <c r="AS327" s="6" t="s">
        <v>49</v>
      </c>
      <c r="AT327" s="6" t="s">
        <v>49</v>
      </c>
      <c r="AU327" s="6" t="s">
        <v>49</v>
      </c>
      <c r="AV327" s="1" t="s">
        <v>49</v>
      </c>
      <c r="AW327" s="30" t="s">
        <v>49</v>
      </c>
    </row>
    <row r="328" spans="1:49">
      <c r="A328" s="1">
        <v>16</v>
      </c>
      <c r="B328" s="1" t="s">
        <v>38</v>
      </c>
      <c r="C328" s="1" t="s">
        <v>38</v>
      </c>
      <c r="D328" s="3" t="s">
        <v>176</v>
      </c>
      <c r="E328" s="3" t="s">
        <v>40</v>
      </c>
      <c r="F328" s="3">
        <v>1996</v>
      </c>
      <c r="G328" s="3" t="s">
        <v>177</v>
      </c>
      <c r="H328" s="3" t="s">
        <v>178</v>
      </c>
      <c r="I328" s="3" t="s">
        <v>179</v>
      </c>
      <c r="J328" s="3" t="s">
        <v>180</v>
      </c>
      <c r="K328" s="3" t="s">
        <v>45</v>
      </c>
      <c r="L328" s="3" t="s">
        <v>46</v>
      </c>
      <c r="M328" s="1" t="s">
        <v>115</v>
      </c>
      <c r="N328" s="1" t="s">
        <v>116</v>
      </c>
      <c r="O328" s="1">
        <v>1</v>
      </c>
      <c r="P328" s="1">
        <v>1</v>
      </c>
      <c r="Q328" s="1" t="s">
        <v>49</v>
      </c>
      <c r="R328" s="1">
        <v>1</v>
      </c>
      <c r="S328" s="1" t="s">
        <v>181</v>
      </c>
      <c r="T328" s="1" t="s">
        <v>181</v>
      </c>
      <c r="U328" s="1" t="s">
        <v>119</v>
      </c>
      <c r="V328" s="3" t="s">
        <v>182</v>
      </c>
      <c r="W328" s="3">
        <v>38.96</v>
      </c>
      <c r="X328" s="3">
        <v>-106.99</v>
      </c>
      <c r="Y328" s="3" t="s">
        <v>141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184</v>
      </c>
      <c r="AE328" s="1" t="s">
        <v>188</v>
      </c>
      <c r="AF328" s="1" t="s">
        <v>49</v>
      </c>
      <c r="AG328" s="1" t="s">
        <v>49</v>
      </c>
      <c r="AH328" s="1" t="s">
        <v>183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>
        <v>-0.24</v>
      </c>
      <c r="AS328" s="6" t="s">
        <v>49</v>
      </c>
      <c r="AT328" s="6" t="s">
        <v>49</v>
      </c>
      <c r="AU328" s="6" t="s">
        <v>49</v>
      </c>
      <c r="AV328" s="1" t="s">
        <v>49</v>
      </c>
      <c r="AW328" s="30" t="s">
        <v>49</v>
      </c>
    </row>
    <row r="329" spans="1:49">
      <c r="A329" s="1">
        <v>16</v>
      </c>
      <c r="B329" s="1" t="s">
        <v>38</v>
      </c>
      <c r="C329" s="1" t="s">
        <v>38</v>
      </c>
      <c r="D329" s="3" t="s">
        <v>176</v>
      </c>
      <c r="E329" s="3" t="s">
        <v>40</v>
      </c>
      <c r="F329" s="3">
        <v>1996</v>
      </c>
      <c r="G329" s="3" t="s">
        <v>177</v>
      </c>
      <c r="H329" s="3" t="s">
        <v>178</v>
      </c>
      <c r="I329" s="3" t="s">
        <v>179</v>
      </c>
      <c r="J329" s="3" t="s">
        <v>180</v>
      </c>
      <c r="K329" s="3" t="s">
        <v>45</v>
      </c>
      <c r="L329" s="3" t="s">
        <v>46</v>
      </c>
      <c r="M329" s="1" t="s">
        <v>115</v>
      </c>
      <c r="N329" s="1" t="s">
        <v>116</v>
      </c>
      <c r="O329" s="1">
        <v>1</v>
      </c>
      <c r="P329" s="1">
        <v>1</v>
      </c>
      <c r="Q329" s="1" t="s">
        <v>49</v>
      </c>
      <c r="R329" s="1">
        <v>1</v>
      </c>
      <c r="S329" s="1" t="s">
        <v>181</v>
      </c>
      <c r="T329" s="1" t="s">
        <v>181</v>
      </c>
      <c r="U329" s="1" t="s">
        <v>119</v>
      </c>
      <c r="V329" s="3" t="s">
        <v>182</v>
      </c>
      <c r="W329" s="3">
        <v>38.96</v>
      </c>
      <c r="X329" s="3">
        <v>-106.99</v>
      </c>
      <c r="Y329" s="3" t="s">
        <v>141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300</v>
      </c>
      <c r="AE329" s="1" t="s">
        <v>187</v>
      </c>
      <c r="AF329" s="1" t="s">
        <v>49</v>
      </c>
      <c r="AG329" s="1" t="s">
        <v>49</v>
      </c>
      <c r="AH329" s="1" t="s">
        <v>183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>
        <v>0.31</v>
      </c>
      <c r="AS329" s="6" t="s">
        <v>49</v>
      </c>
      <c r="AT329" s="6" t="s">
        <v>49</v>
      </c>
      <c r="AU329" s="6" t="s">
        <v>49</v>
      </c>
      <c r="AV329" s="1" t="s">
        <v>49</v>
      </c>
      <c r="AW329" s="30" t="s">
        <v>49</v>
      </c>
    </row>
    <row r="330" spans="1:49">
      <c r="A330" s="1">
        <v>16</v>
      </c>
      <c r="B330" s="1" t="s">
        <v>38</v>
      </c>
      <c r="C330" s="1" t="s">
        <v>38</v>
      </c>
      <c r="D330" s="3" t="s">
        <v>176</v>
      </c>
      <c r="E330" s="3" t="s">
        <v>40</v>
      </c>
      <c r="F330" s="3">
        <v>1996</v>
      </c>
      <c r="G330" s="3" t="s">
        <v>177</v>
      </c>
      <c r="H330" s="3" t="s">
        <v>178</v>
      </c>
      <c r="I330" s="3" t="s">
        <v>179</v>
      </c>
      <c r="J330" s="3" t="s">
        <v>180</v>
      </c>
      <c r="K330" s="3" t="s">
        <v>45</v>
      </c>
      <c r="L330" s="3" t="s">
        <v>46</v>
      </c>
      <c r="M330" s="1" t="s">
        <v>115</v>
      </c>
      <c r="N330" s="1" t="s">
        <v>116</v>
      </c>
      <c r="O330" s="1">
        <v>1</v>
      </c>
      <c r="P330" s="1">
        <v>1</v>
      </c>
      <c r="Q330" s="1" t="s">
        <v>49</v>
      </c>
      <c r="R330" s="1">
        <v>1</v>
      </c>
      <c r="S330" s="1" t="s">
        <v>181</v>
      </c>
      <c r="T330" s="1" t="s">
        <v>181</v>
      </c>
      <c r="U330" s="1" t="s">
        <v>119</v>
      </c>
      <c r="V330" s="3" t="s">
        <v>182</v>
      </c>
      <c r="W330" s="3">
        <v>38.96</v>
      </c>
      <c r="X330" s="3">
        <v>-106.99</v>
      </c>
      <c r="Y330" s="3" t="s">
        <v>141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300</v>
      </c>
      <c r="AE330" s="1" t="s">
        <v>188</v>
      </c>
      <c r="AF330" s="1" t="s">
        <v>49</v>
      </c>
      <c r="AG330" s="1" t="s">
        <v>49</v>
      </c>
      <c r="AH330" s="1" t="s">
        <v>183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>
        <v>-0.24</v>
      </c>
      <c r="AS330" s="6" t="s">
        <v>49</v>
      </c>
      <c r="AT330" s="6" t="s">
        <v>49</v>
      </c>
      <c r="AU330" s="6" t="s">
        <v>49</v>
      </c>
      <c r="AV330" s="1" t="s">
        <v>49</v>
      </c>
      <c r="AW330" s="30" t="s">
        <v>49</v>
      </c>
    </row>
    <row r="331" spans="1:49">
      <c r="A331" s="1">
        <v>16</v>
      </c>
      <c r="B331" s="1" t="s">
        <v>38</v>
      </c>
      <c r="C331" s="1" t="s">
        <v>38</v>
      </c>
      <c r="D331" s="3" t="s">
        <v>176</v>
      </c>
      <c r="E331" s="3" t="s">
        <v>40</v>
      </c>
      <c r="F331" s="3">
        <v>1996</v>
      </c>
      <c r="G331" s="3" t="s">
        <v>177</v>
      </c>
      <c r="H331" s="3" t="s">
        <v>178</v>
      </c>
      <c r="I331" s="3" t="s">
        <v>179</v>
      </c>
      <c r="J331" s="3" t="s">
        <v>180</v>
      </c>
      <c r="K331" s="3" t="s">
        <v>45</v>
      </c>
      <c r="L331" s="3" t="s">
        <v>46</v>
      </c>
      <c r="M331" s="1" t="s">
        <v>115</v>
      </c>
      <c r="N331" s="1" t="s">
        <v>116</v>
      </c>
      <c r="O331" s="1">
        <v>1</v>
      </c>
      <c r="P331" s="1">
        <v>1</v>
      </c>
      <c r="Q331" s="1" t="s">
        <v>49</v>
      </c>
      <c r="R331" s="1">
        <v>1</v>
      </c>
      <c r="S331" s="1" t="s">
        <v>181</v>
      </c>
      <c r="T331" s="1" t="s">
        <v>181</v>
      </c>
      <c r="U331" s="1" t="s">
        <v>119</v>
      </c>
      <c r="V331" s="3" t="s">
        <v>182</v>
      </c>
      <c r="W331" s="3">
        <v>38.96</v>
      </c>
      <c r="X331" s="3">
        <v>-106.99</v>
      </c>
      <c r="Y331" s="3" t="s">
        <v>141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187</v>
      </c>
      <c r="AE331" s="1" t="s">
        <v>188</v>
      </c>
      <c r="AF331" s="1" t="s">
        <v>49</v>
      </c>
      <c r="AG331" s="1" t="s">
        <v>49</v>
      </c>
      <c r="AH331" s="1" t="s">
        <v>183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>
        <v>-0.6</v>
      </c>
      <c r="AS331" s="6" t="s">
        <v>49</v>
      </c>
      <c r="AT331" s="6" t="s">
        <v>49</v>
      </c>
      <c r="AU331" s="6" t="s">
        <v>49</v>
      </c>
      <c r="AV331" s="1" t="s">
        <v>49</v>
      </c>
      <c r="AW331" s="30" t="s">
        <v>49</v>
      </c>
    </row>
    <row r="332" spans="1:49">
      <c r="A332" s="1">
        <v>20</v>
      </c>
      <c r="B332" s="1" t="s">
        <v>38</v>
      </c>
      <c r="C332" s="1" t="s">
        <v>38</v>
      </c>
      <c r="D332" s="3" t="s">
        <v>549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201</v>
      </c>
      <c r="AC332" s="1" t="s">
        <v>202</v>
      </c>
      <c r="AD332" s="1" t="s">
        <v>203</v>
      </c>
      <c r="AE332" s="1" t="s">
        <v>203</v>
      </c>
      <c r="AF332" s="1" t="s">
        <v>53</v>
      </c>
      <c r="AG332" s="1" t="s">
        <v>53</v>
      </c>
      <c r="AH332" s="1" t="s">
        <v>199</v>
      </c>
      <c r="AI332" s="1" t="s">
        <v>200</v>
      </c>
      <c r="AJ332" s="1">
        <v>15</v>
      </c>
      <c r="AK332" s="1">
        <v>60</v>
      </c>
      <c r="AL332" s="2">
        <v>0.70599999999999996</v>
      </c>
      <c r="AM332" s="3">
        <v>105.9</v>
      </c>
      <c r="AN332" s="3">
        <f>14.23^2</f>
        <v>202.49290000000002</v>
      </c>
      <c r="AO332" s="1" t="s">
        <v>49</v>
      </c>
      <c r="AP332" s="6">
        <v>1</v>
      </c>
      <c r="AQ332" s="6" t="s">
        <v>49</v>
      </c>
      <c r="AR332" s="6" t="s">
        <v>49</v>
      </c>
      <c r="AS332" s="1">
        <f t="shared" ref="AS332:AS337" si="23">AL332*AN332</f>
        <v>142.95998740000002</v>
      </c>
      <c r="AT332" s="4">
        <f t="shared" ref="AT332:AT337" si="24">AS332/(AM332^2)*100</f>
        <v>1.274742839156437</v>
      </c>
      <c r="AU332" s="5">
        <v>0</v>
      </c>
      <c r="AV332" s="4">
        <f t="shared" ref="AV332:AV337" si="25">AT332*(1-AL332)/AL332</f>
        <v>0.53084191885551357</v>
      </c>
      <c r="AW332" s="29" t="s">
        <v>215</v>
      </c>
    </row>
    <row r="333" spans="1:49">
      <c r="A333" s="1">
        <v>20</v>
      </c>
      <c r="B333" s="1" t="s">
        <v>38</v>
      </c>
      <c r="C333" s="1" t="s">
        <v>38</v>
      </c>
      <c r="D333" s="3" t="s">
        <v>549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208</v>
      </c>
      <c r="AC333" s="1" t="s">
        <v>209</v>
      </c>
      <c r="AD333" s="1" t="s">
        <v>210</v>
      </c>
      <c r="AE333" s="1" t="s">
        <v>210</v>
      </c>
      <c r="AF333" s="1" t="s">
        <v>53</v>
      </c>
      <c r="AG333" s="1" t="s">
        <v>53</v>
      </c>
      <c r="AH333" s="1" t="s">
        <v>199</v>
      </c>
      <c r="AI333" s="1" t="s">
        <v>200</v>
      </c>
      <c r="AJ333" s="1">
        <v>15</v>
      </c>
      <c r="AK333" s="1">
        <v>60</v>
      </c>
      <c r="AL333" s="2">
        <v>0.66300000000000003</v>
      </c>
      <c r="AM333" s="3">
        <v>93.7</v>
      </c>
      <c r="AN333" s="3">
        <f>18.24^2</f>
        <v>332.69759999999997</v>
      </c>
      <c r="AO333" s="1" t="s">
        <v>49</v>
      </c>
      <c r="AP333" s="6">
        <v>1</v>
      </c>
      <c r="AQ333" s="6" t="s">
        <v>49</v>
      </c>
      <c r="AR333" s="6" t="s">
        <v>49</v>
      </c>
      <c r="AS333" s="1">
        <f t="shared" si="23"/>
        <v>220.57850879999998</v>
      </c>
      <c r="AT333" s="4">
        <f t="shared" si="24"/>
        <v>2.5123724049482381</v>
      </c>
      <c r="AU333" s="5">
        <v>0</v>
      </c>
      <c r="AV333" s="4">
        <f t="shared" si="25"/>
        <v>1.2770279041742929</v>
      </c>
      <c r="AW333" s="29" t="s">
        <v>215</v>
      </c>
    </row>
    <row r="334" spans="1:49">
      <c r="A334" s="1">
        <v>20</v>
      </c>
      <c r="B334" s="1" t="s">
        <v>38</v>
      </c>
      <c r="C334" s="1" t="s">
        <v>38</v>
      </c>
      <c r="D334" s="3" t="s">
        <v>549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208</v>
      </c>
      <c r="AC334" s="1" t="s">
        <v>211</v>
      </c>
      <c r="AD334" s="1" t="s">
        <v>212</v>
      </c>
      <c r="AE334" s="1" t="s">
        <v>212</v>
      </c>
      <c r="AF334" s="1" t="s">
        <v>60</v>
      </c>
      <c r="AG334" s="1" t="s">
        <v>173</v>
      </c>
      <c r="AH334" s="1" t="s">
        <v>199</v>
      </c>
      <c r="AI334" s="1" t="s">
        <v>200</v>
      </c>
      <c r="AJ334" s="1">
        <v>15</v>
      </c>
      <c r="AK334" s="1">
        <v>60</v>
      </c>
      <c r="AL334" s="2">
        <v>0.53900000000000003</v>
      </c>
      <c r="AM334" s="3">
        <v>35</v>
      </c>
      <c r="AN334" s="3">
        <f>21^2</f>
        <v>441</v>
      </c>
      <c r="AO334" s="1" t="s">
        <v>49</v>
      </c>
      <c r="AP334" s="6">
        <v>1</v>
      </c>
      <c r="AQ334" s="6" t="s">
        <v>49</v>
      </c>
      <c r="AR334" s="6" t="s">
        <v>49</v>
      </c>
      <c r="AS334" s="1">
        <f t="shared" si="23"/>
        <v>237.69900000000001</v>
      </c>
      <c r="AT334" s="4">
        <f t="shared" si="24"/>
        <v>19.404000000000003</v>
      </c>
      <c r="AU334" s="5">
        <v>0</v>
      </c>
      <c r="AV334" s="4">
        <f t="shared" si="25"/>
        <v>16.596</v>
      </c>
      <c r="AW334" s="29" t="s">
        <v>215</v>
      </c>
    </row>
    <row r="335" spans="1:49">
      <c r="A335" s="1">
        <v>20</v>
      </c>
      <c r="B335" s="1" t="s">
        <v>38</v>
      </c>
      <c r="C335" s="1" t="s">
        <v>38</v>
      </c>
      <c r="D335" s="3" t="s">
        <v>549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201</v>
      </c>
      <c r="AC335" s="1" t="s">
        <v>204</v>
      </c>
      <c r="AD335" s="1" t="s">
        <v>205</v>
      </c>
      <c r="AE335" s="1" t="s">
        <v>205</v>
      </c>
      <c r="AF335" s="1" t="s">
        <v>53</v>
      </c>
      <c r="AG335" s="1" t="s">
        <v>53</v>
      </c>
      <c r="AH335" s="1" t="s">
        <v>199</v>
      </c>
      <c r="AI335" s="1" t="s">
        <v>200</v>
      </c>
      <c r="AJ335" s="1">
        <v>15</v>
      </c>
      <c r="AK335" s="1">
        <v>60</v>
      </c>
      <c r="AL335" s="2">
        <v>0.60599999999999998</v>
      </c>
      <c r="AM335" s="3">
        <v>3.6</v>
      </c>
      <c r="AN335" s="3">
        <f>0.6^2</f>
        <v>0.36</v>
      </c>
      <c r="AO335" s="1" t="s">
        <v>49</v>
      </c>
      <c r="AP335" s="6">
        <v>1</v>
      </c>
      <c r="AQ335" s="6" t="s">
        <v>49</v>
      </c>
      <c r="AR335" s="6" t="s">
        <v>49</v>
      </c>
      <c r="AS335" s="1">
        <f t="shared" si="23"/>
        <v>0.21815999999999999</v>
      </c>
      <c r="AT335" s="4">
        <f t="shared" si="24"/>
        <v>1.6833333333333331</v>
      </c>
      <c r="AU335" s="5">
        <v>0</v>
      </c>
      <c r="AV335" s="4">
        <f t="shared" si="25"/>
        <v>1.0944444444444443</v>
      </c>
      <c r="AW335" s="29" t="s">
        <v>215</v>
      </c>
    </row>
    <row r="336" spans="1:49">
      <c r="A336" s="1">
        <v>20</v>
      </c>
      <c r="B336" s="1" t="s">
        <v>38</v>
      </c>
      <c r="C336" s="1" t="s">
        <v>38</v>
      </c>
      <c r="D336" s="3" t="s">
        <v>549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201</v>
      </c>
      <c r="AC336" s="1" t="s">
        <v>204</v>
      </c>
      <c r="AD336" s="1" t="s">
        <v>206</v>
      </c>
      <c r="AE336" s="1" t="s">
        <v>206</v>
      </c>
      <c r="AF336" s="1" t="s">
        <v>53</v>
      </c>
      <c r="AG336" s="1" t="s">
        <v>53</v>
      </c>
      <c r="AH336" s="1" t="s">
        <v>199</v>
      </c>
      <c r="AI336" s="1" t="s">
        <v>200</v>
      </c>
      <c r="AJ336" s="1">
        <v>15</v>
      </c>
      <c r="AK336" s="1">
        <v>60</v>
      </c>
      <c r="AL336" s="2">
        <v>0.56499999999999995</v>
      </c>
      <c r="AM336" s="3">
        <v>5589</v>
      </c>
      <c r="AN336" s="3">
        <f>1376^2</f>
        <v>1893376</v>
      </c>
      <c r="AO336" s="1" t="s">
        <v>49</v>
      </c>
      <c r="AP336" s="6">
        <v>1</v>
      </c>
      <c r="AQ336" s="6" t="s">
        <v>49</v>
      </c>
      <c r="AR336" s="6" t="s">
        <v>49</v>
      </c>
      <c r="AS336" s="1">
        <f t="shared" si="23"/>
        <v>1069757.4399999999</v>
      </c>
      <c r="AT336" s="4">
        <f t="shared" si="24"/>
        <v>3.4246571228963316</v>
      </c>
      <c r="AU336" s="5">
        <v>0</v>
      </c>
      <c r="AV336" s="4">
        <f t="shared" si="25"/>
        <v>2.6366829176281499</v>
      </c>
      <c r="AW336" s="29" t="s">
        <v>215</v>
      </c>
    </row>
    <row r="337" spans="1:49">
      <c r="A337" s="1">
        <v>20</v>
      </c>
      <c r="B337" s="1" t="s">
        <v>38</v>
      </c>
      <c r="C337" s="1" t="s">
        <v>38</v>
      </c>
      <c r="D337" s="3" t="s">
        <v>549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201</v>
      </c>
      <c r="AC337" s="1" t="s">
        <v>204</v>
      </c>
      <c r="AD337" s="1" t="s">
        <v>207</v>
      </c>
      <c r="AE337" s="1" t="s">
        <v>207</v>
      </c>
      <c r="AF337" s="1" t="s">
        <v>60</v>
      </c>
      <c r="AG337" s="1" t="s">
        <v>173</v>
      </c>
      <c r="AH337" s="1" t="s">
        <v>199</v>
      </c>
      <c r="AI337" s="1" t="s">
        <v>200</v>
      </c>
      <c r="AJ337" s="1">
        <v>15</v>
      </c>
      <c r="AK337" s="1">
        <v>60</v>
      </c>
      <c r="AL337" s="2">
        <v>0.51</v>
      </c>
      <c r="AM337" s="3">
        <v>3598</v>
      </c>
      <c r="AN337" s="3">
        <f>234^2</f>
        <v>54756</v>
      </c>
      <c r="AO337" s="1" t="s">
        <v>49</v>
      </c>
      <c r="AP337" s="6">
        <v>1</v>
      </c>
      <c r="AQ337" s="6" t="s">
        <v>49</v>
      </c>
      <c r="AR337" s="6" t="s">
        <v>49</v>
      </c>
      <c r="AS337" s="1">
        <f t="shared" si="23"/>
        <v>27925.56</v>
      </c>
      <c r="AT337" s="4">
        <f t="shared" si="24"/>
        <v>0.21571461632844632</v>
      </c>
      <c r="AU337" s="5">
        <v>0</v>
      </c>
      <c r="AV337" s="4">
        <f t="shared" si="25"/>
        <v>0.20725521960968371</v>
      </c>
      <c r="AW337" s="29" t="s">
        <v>215</v>
      </c>
    </row>
    <row r="338" spans="1:49">
      <c r="A338" s="1">
        <v>20</v>
      </c>
      <c r="B338" s="1" t="s">
        <v>38</v>
      </c>
      <c r="C338" s="1" t="s">
        <v>38</v>
      </c>
      <c r="D338" s="3" t="s">
        <v>549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196</v>
      </c>
      <c r="AC338" s="1" t="s">
        <v>197</v>
      </c>
      <c r="AD338" s="1" t="s">
        <v>198</v>
      </c>
      <c r="AE338" s="1" t="s">
        <v>198</v>
      </c>
      <c r="AF338" s="1" t="s">
        <v>60</v>
      </c>
      <c r="AG338" s="1" t="s">
        <v>60</v>
      </c>
      <c r="AH338" s="1" t="s">
        <v>199</v>
      </c>
      <c r="AI338" s="1" t="s">
        <v>200</v>
      </c>
      <c r="AJ338" s="1">
        <v>15</v>
      </c>
      <c r="AK338" s="1">
        <v>60</v>
      </c>
      <c r="AL338" s="2">
        <v>0.76800000000000002</v>
      </c>
      <c r="AM338" s="3">
        <v>34</v>
      </c>
      <c r="AN338" s="3">
        <f>7^2</f>
        <v>49</v>
      </c>
      <c r="AO338" s="1" t="s">
        <v>49</v>
      </c>
      <c r="AP338" s="6">
        <v>1</v>
      </c>
      <c r="AQ338" s="6" t="s">
        <v>49</v>
      </c>
      <c r="AR338" s="6" t="s">
        <v>49</v>
      </c>
      <c r="AS338" s="1">
        <f t="shared" ref="AS338:AS340" si="26">AL338*AN338</f>
        <v>37.631999999999998</v>
      </c>
      <c r="AT338" s="4">
        <f t="shared" ref="AT338:AT340" si="27">AS338/(AM338^2)*100</f>
        <v>3.2553633217993081</v>
      </c>
      <c r="AU338" s="5">
        <v>0</v>
      </c>
      <c r="AV338" s="4">
        <f t="shared" ref="AV338:AV340" si="28">AT338*(1-AL338)/AL338</f>
        <v>0.98339100346020758</v>
      </c>
      <c r="AW338" s="29" t="s">
        <v>215</v>
      </c>
    </row>
    <row r="339" spans="1:49">
      <c r="A339" s="1">
        <v>20</v>
      </c>
      <c r="B339" s="1" t="s">
        <v>38</v>
      </c>
      <c r="C339" s="1" t="s">
        <v>38</v>
      </c>
      <c r="D339" s="3" t="s">
        <v>549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124</v>
      </c>
      <c r="AD339" s="1" t="s">
        <v>214</v>
      </c>
      <c r="AE339" s="1" t="s">
        <v>214</v>
      </c>
      <c r="AF339" s="1" t="s">
        <v>53</v>
      </c>
      <c r="AG339" s="1" t="s">
        <v>53</v>
      </c>
      <c r="AH339" s="1" t="s">
        <v>199</v>
      </c>
      <c r="AI339" s="1" t="s">
        <v>200</v>
      </c>
      <c r="AJ339" s="1">
        <v>15</v>
      </c>
      <c r="AK339" s="1">
        <v>60</v>
      </c>
      <c r="AL339" s="2">
        <v>0.83699999999999997</v>
      </c>
      <c r="AM339" s="3">
        <v>3.2</v>
      </c>
      <c r="AN339" s="3">
        <f>0.95^2</f>
        <v>0.90249999999999997</v>
      </c>
      <c r="AO339" s="1" t="s">
        <v>49</v>
      </c>
      <c r="AP339" s="6">
        <v>1</v>
      </c>
      <c r="AQ339" s="6" t="s">
        <v>49</v>
      </c>
      <c r="AR339" s="6" t="s">
        <v>49</v>
      </c>
      <c r="AS339" s="1">
        <f>AL339*AN339</f>
        <v>0.75539249999999991</v>
      </c>
      <c r="AT339" s="4">
        <f>AS339/(AM339^2)*100</f>
        <v>7.3768798828124984</v>
      </c>
      <c r="AU339" s="5">
        <v>0</v>
      </c>
      <c r="AV339" s="4">
        <f>AT339*(1-AL339)/AL339</f>
        <v>1.4365966796875</v>
      </c>
      <c r="AW339" s="29" t="s">
        <v>215</v>
      </c>
    </row>
    <row r="340" spans="1:49">
      <c r="A340" s="1">
        <v>20</v>
      </c>
      <c r="B340" s="1" t="s">
        <v>38</v>
      </c>
      <c r="C340" s="1" t="s">
        <v>38</v>
      </c>
      <c r="D340" s="3" t="s">
        <v>549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124</v>
      </c>
      <c r="AD340" s="1" t="s">
        <v>213</v>
      </c>
      <c r="AE340" s="1" t="s">
        <v>213</v>
      </c>
      <c r="AF340" s="1" t="s">
        <v>60</v>
      </c>
      <c r="AG340" s="1" t="s">
        <v>129</v>
      </c>
      <c r="AH340" s="1" t="s">
        <v>199</v>
      </c>
      <c r="AI340" s="1" t="s">
        <v>200</v>
      </c>
      <c r="AJ340" s="1">
        <v>15</v>
      </c>
      <c r="AK340" s="1">
        <v>60</v>
      </c>
      <c r="AL340" s="2">
        <v>0.67300000000000004</v>
      </c>
      <c r="AM340" s="3">
        <v>4.5</v>
      </c>
      <c r="AN340" s="3">
        <f>1^2</f>
        <v>1</v>
      </c>
      <c r="AO340" s="1" t="s">
        <v>49</v>
      </c>
      <c r="AP340" s="6">
        <v>1</v>
      </c>
      <c r="AQ340" s="6" t="s">
        <v>49</v>
      </c>
      <c r="AR340" s="6" t="s">
        <v>49</v>
      </c>
      <c r="AS340" s="1">
        <f t="shared" si="26"/>
        <v>0.67300000000000004</v>
      </c>
      <c r="AT340" s="4">
        <f t="shared" si="27"/>
        <v>3.3234567901234571</v>
      </c>
      <c r="AU340" s="5">
        <v>0</v>
      </c>
      <c r="AV340" s="4">
        <f t="shared" si="28"/>
        <v>1.6148148148148147</v>
      </c>
      <c r="AW340" s="29" t="s">
        <v>215</v>
      </c>
    </row>
    <row r="341" spans="1:49">
      <c r="A341" s="1">
        <v>20</v>
      </c>
      <c r="B341" s="1" t="s">
        <v>38</v>
      </c>
      <c r="C341" s="1" t="s">
        <v>38</v>
      </c>
      <c r="D341" s="3" t="s">
        <v>549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195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203</v>
      </c>
      <c r="AE341" s="1" t="s">
        <v>210</v>
      </c>
      <c r="AF341" s="1" t="s">
        <v>49</v>
      </c>
      <c r="AG341" s="1" t="s">
        <v>49</v>
      </c>
      <c r="AH341" s="1" t="s">
        <v>199</v>
      </c>
      <c r="AI341" s="1" t="s">
        <v>200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>
        <v>0.35799999999999998</v>
      </c>
      <c r="AS341" s="6" t="s">
        <v>49</v>
      </c>
      <c r="AT341" s="6" t="s">
        <v>49</v>
      </c>
      <c r="AU341" s="6" t="s">
        <v>49</v>
      </c>
      <c r="AV341" s="1" t="s">
        <v>49</v>
      </c>
      <c r="AW341" s="30" t="s">
        <v>49</v>
      </c>
    </row>
    <row r="342" spans="1:49">
      <c r="A342" s="1">
        <v>20</v>
      </c>
      <c r="B342" s="1" t="s">
        <v>38</v>
      </c>
      <c r="C342" s="1" t="s">
        <v>38</v>
      </c>
      <c r="D342" s="3" t="s">
        <v>549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195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203</v>
      </c>
      <c r="AE342" s="1" t="s">
        <v>212</v>
      </c>
      <c r="AF342" s="1" t="s">
        <v>49</v>
      </c>
      <c r="AG342" s="1" t="s">
        <v>49</v>
      </c>
      <c r="AH342" s="1" t="s">
        <v>199</v>
      </c>
      <c r="AI342" s="1" t="s">
        <v>200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>
        <v>-8.5000000000000006E-2</v>
      </c>
      <c r="AS342" s="6" t="s">
        <v>49</v>
      </c>
      <c r="AT342" s="6" t="s">
        <v>49</v>
      </c>
      <c r="AU342" s="6" t="s">
        <v>49</v>
      </c>
      <c r="AV342" s="1" t="s">
        <v>49</v>
      </c>
      <c r="AW342" s="30" t="s">
        <v>49</v>
      </c>
    </row>
    <row r="343" spans="1:49">
      <c r="A343" s="1">
        <v>20</v>
      </c>
      <c r="B343" s="1" t="s">
        <v>38</v>
      </c>
      <c r="C343" s="1" t="s">
        <v>38</v>
      </c>
      <c r="D343" s="3" t="s">
        <v>549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195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203</v>
      </c>
      <c r="AE343" s="1" t="s">
        <v>205</v>
      </c>
      <c r="AF343" s="1" t="s">
        <v>49</v>
      </c>
      <c r="AG343" s="1" t="s">
        <v>49</v>
      </c>
      <c r="AH343" s="1" t="s">
        <v>199</v>
      </c>
      <c r="AI343" s="1" t="s">
        <v>200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>
        <v>5.1999999999999998E-2</v>
      </c>
      <c r="AS343" s="6" t="s">
        <v>49</v>
      </c>
      <c r="AT343" s="6" t="s">
        <v>49</v>
      </c>
      <c r="AU343" s="6" t="s">
        <v>49</v>
      </c>
      <c r="AV343" s="1" t="s">
        <v>49</v>
      </c>
      <c r="AW343" s="30" t="s">
        <v>49</v>
      </c>
    </row>
    <row r="344" spans="1:49">
      <c r="A344" s="1">
        <v>20</v>
      </c>
      <c r="B344" s="1" t="s">
        <v>38</v>
      </c>
      <c r="C344" s="1" t="s">
        <v>38</v>
      </c>
      <c r="D344" s="3" t="s">
        <v>549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195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203</v>
      </c>
      <c r="AE344" s="1" t="s">
        <v>206</v>
      </c>
      <c r="AF344" s="1" t="s">
        <v>49</v>
      </c>
      <c r="AG344" s="1" t="s">
        <v>49</v>
      </c>
      <c r="AH344" s="1" t="s">
        <v>199</v>
      </c>
      <c r="AI344" s="1" t="s">
        <v>200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>
        <v>0.157</v>
      </c>
      <c r="AS344" s="6" t="s">
        <v>49</v>
      </c>
      <c r="AT344" s="6" t="s">
        <v>49</v>
      </c>
      <c r="AU344" s="6" t="s">
        <v>49</v>
      </c>
      <c r="AV344" s="1" t="s">
        <v>49</v>
      </c>
      <c r="AW344" s="30" t="s">
        <v>49</v>
      </c>
    </row>
    <row r="345" spans="1:49">
      <c r="A345" s="1">
        <v>20</v>
      </c>
      <c r="B345" s="1" t="s">
        <v>38</v>
      </c>
      <c r="C345" s="1" t="s">
        <v>38</v>
      </c>
      <c r="D345" s="3" t="s">
        <v>549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195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203</v>
      </c>
      <c r="AE345" s="1" t="s">
        <v>207</v>
      </c>
      <c r="AF345" s="1" t="s">
        <v>49</v>
      </c>
      <c r="AG345" s="1" t="s">
        <v>49</v>
      </c>
      <c r="AH345" s="1" t="s">
        <v>199</v>
      </c>
      <c r="AI345" s="1" t="s">
        <v>200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>
        <v>-5.6000000000000001E-2</v>
      </c>
      <c r="AS345" s="6" t="s">
        <v>49</v>
      </c>
      <c r="AT345" s="6" t="s">
        <v>49</v>
      </c>
      <c r="AU345" s="6" t="s">
        <v>49</v>
      </c>
      <c r="AV345" s="1" t="s">
        <v>49</v>
      </c>
      <c r="AW345" s="30" t="s">
        <v>49</v>
      </c>
    </row>
    <row r="346" spans="1:49">
      <c r="A346" s="1">
        <v>20</v>
      </c>
      <c r="B346" s="1" t="s">
        <v>38</v>
      </c>
      <c r="C346" s="1" t="s">
        <v>38</v>
      </c>
      <c r="D346" s="3" t="s">
        <v>549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195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203</v>
      </c>
      <c r="AE346" s="1" t="s">
        <v>198</v>
      </c>
      <c r="AF346" s="1" t="s">
        <v>49</v>
      </c>
      <c r="AG346" s="1" t="s">
        <v>49</v>
      </c>
      <c r="AH346" s="1" t="s">
        <v>199</v>
      </c>
      <c r="AI346" s="1" t="s">
        <v>200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6" t="s">
        <v>49</v>
      </c>
      <c r="AV346" s="1" t="s">
        <v>49</v>
      </c>
      <c r="AW346" s="30" t="s">
        <v>49</v>
      </c>
    </row>
    <row r="347" spans="1:49">
      <c r="A347" s="1">
        <v>20</v>
      </c>
      <c r="B347" s="1" t="s">
        <v>38</v>
      </c>
      <c r="C347" s="1" t="s">
        <v>38</v>
      </c>
      <c r="D347" s="3" t="s">
        <v>549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195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203</v>
      </c>
      <c r="AE347" s="1" t="s">
        <v>214</v>
      </c>
      <c r="AF347" s="1" t="s">
        <v>49</v>
      </c>
      <c r="AG347" s="1" t="s">
        <v>49</v>
      </c>
      <c r="AH347" s="1" t="s">
        <v>199</v>
      </c>
      <c r="AI347" s="1" t="s">
        <v>200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>
        <v>0.442</v>
      </c>
      <c r="AS347" s="6" t="s">
        <v>49</v>
      </c>
      <c r="AT347" s="6" t="s">
        <v>49</v>
      </c>
      <c r="AU347" s="6" t="s">
        <v>49</v>
      </c>
      <c r="AV347" s="1" t="s">
        <v>49</v>
      </c>
      <c r="AW347" s="30" t="s">
        <v>49</v>
      </c>
    </row>
    <row r="348" spans="1:49">
      <c r="A348" s="1">
        <v>20</v>
      </c>
      <c r="B348" s="1" t="s">
        <v>38</v>
      </c>
      <c r="C348" s="1" t="s">
        <v>38</v>
      </c>
      <c r="D348" s="3" t="s">
        <v>549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195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203</v>
      </c>
      <c r="AE348" s="1" t="s">
        <v>213</v>
      </c>
      <c r="AF348" s="1" t="s">
        <v>49</v>
      </c>
      <c r="AG348" s="1" t="s">
        <v>49</v>
      </c>
      <c r="AH348" s="1" t="s">
        <v>199</v>
      </c>
      <c r="AI348" s="1" t="s">
        <v>200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>
        <v>0.42</v>
      </c>
      <c r="AS348" s="6" t="s">
        <v>49</v>
      </c>
      <c r="AT348" s="6" t="s">
        <v>49</v>
      </c>
      <c r="AU348" s="6" t="s">
        <v>49</v>
      </c>
      <c r="AV348" s="1" t="s">
        <v>49</v>
      </c>
      <c r="AW348" s="30" t="s">
        <v>49</v>
      </c>
    </row>
    <row r="349" spans="1:49">
      <c r="A349" s="1">
        <v>20</v>
      </c>
      <c r="B349" s="1" t="s">
        <v>38</v>
      </c>
      <c r="C349" s="1" t="s">
        <v>38</v>
      </c>
      <c r="D349" s="3" t="s">
        <v>549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195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210</v>
      </c>
      <c r="AE349" s="1" t="s">
        <v>212</v>
      </c>
      <c r="AF349" s="1" t="s">
        <v>49</v>
      </c>
      <c r="AG349" s="1" t="s">
        <v>49</v>
      </c>
      <c r="AH349" s="1" t="s">
        <v>199</v>
      </c>
      <c r="AI349" s="1" t="s">
        <v>200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>
        <v>-0.14699999999999999</v>
      </c>
      <c r="AS349" s="6" t="s">
        <v>49</v>
      </c>
      <c r="AT349" s="6" t="s">
        <v>49</v>
      </c>
      <c r="AU349" s="6" t="s">
        <v>49</v>
      </c>
      <c r="AV349" s="1" t="s">
        <v>49</v>
      </c>
      <c r="AW349" s="30" t="s">
        <v>49</v>
      </c>
    </row>
    <row r="350" spans="1:49">
      <c r="A350" s="1">
        <v>20</v>
      </c>
      <c r="B350" s="1" t="s">
        <v>38</v>
      </c>
      <c r="C350" s="1" t="s">
        <v>38</v>
      </c>
      <c r="D350" s="3" t="s">
        <v>549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195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210</v>
      </c>
      <c r="AE350" s="1" t="s">
        <v>205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>
        <v>-8.9999999999999993E-3</v>
      </c>
      <c r="AS350" s="6" t="s">
        <v>49</v>
      </c>
      <c r="AT350" s="6" t="s">
        <v>49</v>
      </c>
      <c r="AU350" s="6" t="s">
        <v>49</v>
      </c>
      <c r="AV350" s="1" t="s">
        <v>49</v>
      </c>
      <c r="AW350" s="30" t="s">
        <v>49</v>
      </c>
    </row>
    <row r="351" spans="1:49">
      <c r="A351" s="1">
        <v>20</v>
      </c>
      <c r="B351" s="1" t="s">
        <v>38</v>
      </c>
      <c r="C351" s="1" t="s">
        <v>38</v>
      </c>
      <c r="D351" s="3" t="s">
        <v>549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195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210</v>
      </c>
      <c r="AE351" s="1" t="s">
        <v>206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>
        <v>0.125</v>
      </c>
      <c r="AS351" s="6" t="s">
        <v>49</v>
      </c>
      <c r="AT351" s="6" t="s">
        <v>49</v>
      </c>
      <c r="AU351" s="6" t="s">
        <v>49</v>
      </c>
      <c r="AV351" s="1" t="s">
        <v>49</v>
      </c>
      <c r="AW351" s="30" t="s">
        <v>49</v>
      </c>
    </row>
    <row r="352" spans="1:49">
      <c r="A352" s="1">
        <v>20</v>
      </c>
      <c r="B352" s="1" t="s">
        <v>38</v>
      </c>
      <c r="C352" s="1" t="s">
        <v>38</v>
      </c>
      <c r="D352" s="3" t="s">
        <v>549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195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210</v>
      </c>
      <c r="AE352" s="1" t="s">
        <v>207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>
        <v>-0.22700000000000001</v>
      </c>
      <c r="AS352" s="6" t="s">
        <v>49</v>
      </c>
      <c r="AT352" s="6" t="s">
        <v>49</v>
      </c>
      <c r="AU352" s="6" t="s">
        <v>49</v>
      </c>
      <c r="AV352" s="1" t="s">
        <v>49</v>
      </c>
      <c r="AW352" s="30" t="s">
        <v>49</v>
      </c>
    </row>
    <row r="353" spans="1:49">
      <c r="A353" s="1">
        <v>20</v>
      </c>
      <c r="B353" s="1" t="s">
        <v>38</v>
      </c>
      <c r="C353" s="1" t="s">
        <v>38</v>
      </c>
      <c r="D353" s="3" t="s">
        <v>549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195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210</v>
      </c>
      <c r="AE353" s="1" t="s">
        <v>198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>
        <v>-0.23400000000000001</v>
      </c>
      <c r="AS353" s="6" t="s">
        <v>49</v>
      </c>
      <c r="AT353" s="6" t="s">
        <v>49</v>
      </c>
      <c r="AU353" s="6" t="s">
        <v>49</v>
      </c>
      <c r="AV353" s="1" t="s">
        <v>49</v>
      </c>
      <c r="AW353" s="30" t="s">
        <v>49</v>
      </c>
    </row>
    <row r="354" spans="1:49">
      <c r="A354" s="1">
        <v>20</v>
      </c>
      <c r="B354" s="1" t="s">
        <v>38</v>
      </c>
      <c r="C354" s="1" t="s">
        <v>38</v>
      </c>
      <c r="D354" s="3" t="s">
        <v>549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195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210</v>
      </c>
      <c r="AE354" s="1" t="s">
        <v>214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>
        <v>0.28699999999999998</v>
      </c>
      <c r="AS354" s="6" t="s">
        <v>49</v>
      </c>
      <c r="AT354" s="6" t="s">
        <v>49</v>
      </c>
      <c r="AU354" s="6" t="s">
        <v>49</v>
      </c>
      <c r="AV354" s="1" t="s">
        <v>49</v>
      </c>
      <c r="AW354" s="30" t="s">
        <v>49</v>
      </c>
    </row>
    <row r="355" spans="1:49">
      <c r="A355" s="1">
        <v>20</v>
      </c>
      <c r="B355" s="1" t="s">
        <v>38</v>
      </c>
      <c r="C355" s="1" t="s">
        <v>38</v>
      </c>
      <c r="D355" s="3" t="s">
        <v>549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195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210</v>
      </c>
      <c r="AE355" s="1" t="s">
        <v>213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>
        <v>9.6000000000000002E-2</v>
      </c>
      <c r="AS355" s="6" t="s">
        <v>49</v>
      </c>
      <c r="AT355" s="6" t="s">
        <v>49</v>
      </c>
      <c r="AU355" s="6" t="s">
        <v>49</v>
      </c>
      <c r="AV355" s="1" t="s">
        <v>49</v>
      </c>
      <c r="AW355" s="30" t="s">
        <v>49</v>
      </c>
    </row>
    <row r="356" spans="1:49">
      <c r="A356" s="1">
        <v>20</v>
      </c>
      <c r="B356" s="1" t="s">
        <v>38</v>
      </c>
      <c r="C356" s="1" t="s">
        <v>38</v>
      </c>
      <c r="D356" s="3" t="s">
        <v>549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195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212</v>
      </c>
      <c r="AE356" s="1" t="s">
        <v>205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>
        <v>2.4E-2</v>
      </c>
      <c r="AS356" s="6" t="s">
        <v>49</v>
      </c>
      <c r="AT356" s="6" t="s">
        <v>49</v>
      </c>
      <c r="AU356" s="6" t="s">
        <v>49</v>
      </c>
      <c r="AV356" s="1" t="s">
        <v>49</v>
      </c>
      <c r="AW356" s="30" t="s">
        <v>49</v>
      </c>
    </row>
    <row r="357" spans="1:49">
      <c r="A357" s="1">
        <v>20</v>
      </c>
      <c r="B357" s="1" t="s">
        <v>38</v>
      </c>
      <c r="C357" s="1" t="s">
        <v>38</v>
      </c>
      <c r="D357" s="3" t="s">
        <v>549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195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212</v>
      </c>
      <c r="AE357" s="1" t="s">
        <v>206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>
        <v>-0.35199999999999998</v>
      </c>
      <c r="AS357" s="6" t="s">
        <v>49</v>
      </c>
      <c r="AT357" s="6" t="s">
        <v>49</v>
      </c>
      <c r="AU357" s="6" t="s">
        <v>49</v>
      </c>
      <c r="AV357" s="1" t="s">
        <v>49</v>
      </c>
      <c r="AW357" s="30" t="s">
        <v>49</v>
      </c>
    </row>
    <row r="358" spans="1:49">
      <c r="A358" s="1">
        <v>20</v>
      </c>
      <c r="B358" s="1" t="s">
        <v>38</v>
      </c>
      <c r="C358" s="1" t="s">
        <v>38</v>
      </c>
      <c r="D358" s="3" t="s">
        <v>549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195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212</v>
      </c>
      <c r="AE358" s="1" t="s">
        <v>207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>
        <v>5.2999999999999999E-2</v>
      </c>
      <c r="AS358" s="6" t="s">
        <v>49</v>
      </c>
      <c r="AT358" s="6" t="s">
        <v>49</v>
      </c>
      <c r="AU358" s="6" t="s">
        <v>49</v>
      </c>
      <c r="AV358" s="1" t="s">
        <v>49</v>
      </c>
      <c r="AW358" s="30" t="s">
        <v>49</v>
      </c>
    </row>
    <row r="359" spans="1:49">
      <c r="A359" s="1">
        <v>20</v>
      </c>
      <c r="B359" s="1" t="s">
        <v>38</v>
      </c>
      <c r="C359" s="1" t="s">
        <v>38</v>
      </c>
      <c r="D359" s="3" t="s">
        <v>549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195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212</v>
      </c>
      <c r="AE359" s="1" t="s">
        <v>198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>
        <v>3.2000000000000001E-2</v>
      </c>
      <c r="AS359" s="6" t="s">
        <v>49</v>
      </c>
      <c r="AT359" s="6" t="s">
        <v>49</v>
      </c>
      <c r="AU359" s="6" t="s">
        <v>49</v>
      </c>
      <c r="AV359" s="1" t="s">
        <v>49</v>
      </c>
      <c r="AW359" s="30" t="s">
        <v>49</v>
      </c>
    </row>
    <row r="360" spans="1:49">
      <c r="A360" s="1">
        <v>20</v>
      </c>
      <c r="B360" s="1" t="s">
        <v>38</v>
      </c>
      <c r="C360" s="1" t="s">
        <v>38</v>
      </c>
      <c r="D360" s="3" t="s">
        <v>549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195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212</v>
      </c>
      <c r="AE360" s="1" t="s">
        <v>214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>
        <v>7.0000000000000007E-2</v>
      </c>
      <c r="AS360" s="6" t="s">
        <v>49</v>
      </c>
      <c r="AT360" s="6" t="s">
        <v>49</v>
      </c>
      <c r="AU360" s="6" t="s">
        <v>49</v>
      </c>
      <c r="AV360" s="1" t="s">
        <v>49</v>
      </c>
      <c r="AW360" s="30" t="s">
        <v>49</v>
      </c>
    </row>
    <row r="361" spans="1:49">
      <c r="A361" s="1">
        <v>20</v>
      </c>
      <c r="B361" s="1" t="s">
        <v>38</v>
      </c>
      <c r="C361" s="1" t="s">
        <v>38</v>
      </c>
      <c r="D361" s="3" t="s">
        <v>549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195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212</v>
      </c>
      <c r="AE361" s="1" t="s">
        <v>213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>
        <v>-0.188</v>
      </c>
      <c r="AS361" s="6" t="s">
        <v>49</v>
      </c>
      <c r="AT361" s="6" t="s">
        <v>49</v>
      </c>
      <c r="AU361" s="6" t="s">
        <v>49</v>
      </c>
      <c r="AV361" s="1" t="s">
        <v>49</v>
      </c>
      <c r="AW361" s="30" t="s">
        <v>49</v>
      </c>
    </row>
    <row r="362" spans="1:49">
      <c r="A362" s="1">
        <v>20</v>
      </c>
      <c r="B362" s="1" t="s">
        <v>38</v>
      </c>
      <c r="C362" s="1" t="s">
        <v>38</v>
      </c>
      <c r="D362" s="3" t="s">
        <v>549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195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205</v>
      </c>
      <c r="AE362" s="1" t="s">
        <v>206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>
        <v>0.14099999999999999</v>
      </c>
      <c r="AS362" s="6" t="s">
        <v>49</v>
      </c>
      <c r="AT362" s="6" t="s">
        <v>49</v>
      </c>
      <c r="AU362" s="6" t="s">
        <v>49</v>
      </c>
      <c r="AV362" s="1" t="s">
        <v>49</v>
      </c>
      <c r="AW362" s="30" t="s">
        <v>49</v>
      </c>
    </row>
    <row r="363" spans="1:49">
      <c r="A363" s="1">
        <v>20</v>
      </c>
      <c r="B363" s="1" t="s">
        <v>38</v>
      </c>
      <c r="C363" s="1" t="s">
        <v>38</v>
      </c>
      <c r="D363" s="3" t="s">
        <v>549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195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205</v>
      </c>
      <c r="AE363" s="1" t="s">
        <v>207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>
        <v>0.01</v>
      </c>
      <c r="AS363" s="6" t="s">
        <v>49</v>
      </c>
      <c r="AT363" s="6" t="s">
        <v>49</v>
      </c>
      <c r="AU363" s="6" t="s">
        <v>49</v>
      </c>
      <c r="AV363" s="1" t="s">
        <v>49</v>
      </c>
      <c r="AW363" s="30" t="s">
        <v>49</v>
      </c>
    </row>
    <row r="364" spans="1:49">
      <c r="A364" s="1">
        <v>20</v>
      </c>
      <c r="B364" s="1" t="s">
        <v>38</v>
      </c>
      <c r="C364" s="1" t="s">
        <v>38</v>
      </c>
      <c r="D364" s="3" t="s">
        <v>549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195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205</v>
      </c>
      <c r="AE364" s="1" t="s">
        <v>198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6" t="s">
        <v>49</v>
      </c>
      <c r="AV364" s="1" t="s">
        <v>49</v>
      </c>
      <c r="AW364" s="30" t="s">
        <v>49</v>
      </c>
    </row>
    <row r="365" spans="1:49">
      <c r="A365" s="1">
        <v>20</v>
      </c>
      <c r="B365" s="1" t="s">
        <v>38</v>
      </c>
      <c r="C365" s="1" t="s">
        <v>38</v>
      </c>
      <c r="D365" s="3" t="s">
        <v>549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195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205</v>
      </c>
      <c r="AE365" s="1" t="s">
        <v>214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>
        <v>-0.14499999999999999</v>
      </c>
      <c r="AS365" s="6" t="s">
        <v>49</v>
      </c>
      <c r="AT365" s="6" t="s">
        <v>49</v>
      </c>
      <c r="AU365" s="6" t="s">
        <v>49</v>
      </c>
      <c r="AV365" s="1" t="s">
        <v>49</v>
      </c>
      <c r="AW365" s="30" t="s">
        <v>49</v>
      </c>
    </row>
    <row r="366" spans="1:49">
      <c r="A366" s="1">
        <v>20</v>
      </c>
      <c r="B366" s="1" t="s">
        <v>38</v>
      </c>
      <c r="C366" s="1" t="s">
        <v>38</v>
      </c>
      <c r="D366" s="3" t="s">
        <v>549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195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205</v>
      </c>
      <c r="AE366" s="1" t="s">
        <v>213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>
        <v>5.5E-2</v>
      </c>
      <c r="AS366" s="6" t="s">
        <v>49</v>
      </c>
      <c r="AT366" s="6" t="s">
        <v>49</v>
      </c>
      <c r="AU366" s="6" t="s">
        <v>49</v>
      </c>
      <c r="AV366" s="1" t="s">
        <v>49</v>
      </c>
      <c r="AW366" s="30" t="s">
        <v>49</v>
      </c>
    </row>
    <row r="367" spans="1:49">
      <c r="A367" s="1">
        <v>20</v>
      </c>
      <c r="B367" s="1" t="s">
        <v>38</v>
      </c>
      <c r="C367" s="1" t="s">
        <v>38</v>
      </c>
      <c r="D367" s="3" t="s">
        <v>549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195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206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>
        <v>-7.2999999999999995E-2</v>
      </c>
      <c r="AS367" s="6" t="s">
        <v>49</v>
      </c>
      <c r="AT367" s="6" t="s">
        <v>49</v>
      </c>
      <c r="AU367" s="6" t="s">
        <v>49</v>
      </c>
      <c r="AV367" s="1" t="s">
        <v>49</v>
      </c>
      <c r="AW367" s="30" t="s">
        <v>49</v>
      </c>
    </row>
    <row r="368" spans="1:49">
      <c r="A368" s="1">
        <v>20</v>
      </c>
      <c r="B368" s="1" t="s">
        <v>38</v>
      </c>
      <c r="C368" s="1" t="s">
        <v>38</v>
      </c>
      <c r="D368" s="3" t="s">
        <v>549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195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206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>
        <v>0.10299999999999999</v>
      </c>
      <c r="AS368" s="6" t="s">
        <v>49</v>
      </c>
      <c r="AT368" s="6" t="s">
        <v>49</v>
      </c>
      <c r="AU368" s="6" t="s">
        <v>49</v>
      </c>
      <c r="AV368" s="1" t="s">
        <v>49</v>
      </c>
      <c r="AW368" s="30" t="s">
        <v>49</v>
      </c>
    </row>
    <row r="369" spans="1:49">
      <c r="A369" s="1">
        <v>20</v>
      </c>
      <c r="B369" s="1" t="s">
        <v>38</v>
      </c>
      <c r="C369" s="1" t="s">
        <v>38</v>
      </c>
      <c r="D369" s="3" t="s">
        <v>549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195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206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>
        <v>-0.224</v>
      </c>
      <c r="AS369" s="6" t="s">
        <v>49</v>
      </c>
      <c r="AT369" s="6" t="s">
        <v>49</v>
      </c>
      <c r="AU369" s="6" t="s">
        <v>49</v>
      </c>
      <c r="AV369" s="1" t="s">
        <v>49</v>
      </c>
      <c r="AW369" s="30" t="s">
        <v>49</v>
      </c>
    </row>
    <row r="370" spans="1:49">
      <c r="A370" s="1">
        <v>20</v>
      </c>
      <c r="B370" s="1" t="s">
        <v>38</v>
      </c>
      <c r="C370" s="1" t="s">
        <v>38</v>
      </c>
      <c r="D370" s="3" t="s">
        <v>549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195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206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>
        <v>0.14899999999999999</v>
      </c>
      <c r="AS370" s="6" t="s">
        <v>49</v>
      </c>
      <c r="AT370" s="6" t="s">
        <v>49</v>
      </c>
      <c r="AU370" s="6" t="s">
        <v>49</v>
      </c>
      <c r="AV370" s="1" t="s">
        <v>49</v>
      </c>
      <c r="AW370" s="30" t="s">
        <v>49</v>
      </c>
    </row>
    <row r="371" spans="1:49">
      <c r="A371" s="1">
        <v>20</v>
      </c>
      <c r="B371" s="1" t="s">
        <v>38</v>
      </c>
      <c r="C371" s="1" t="s">
        <v>38</v>
      </c>
      <c r="D371" s="3" t="s">
        <v>549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195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207</v>
      </c>
      <c r="AE371" s="1" t="s">
        <v>198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>
        <v>-4.1000000000000002E-2</v>
      </c>
      <c r="AS371" s="6" t="s">
        <v>49</v>
      </c>
      <c r="AT371" s="6" t="s">
        <v>49</v>
      </c>
      <c r="AU371" s="6" t="s">
        <v>49</v>
      </c>
      <c r="AV371" s="1" t="s">
        <v>49</v>
      </c>
      <c r="AW371" s="30" t="s">
        <v>49</v>
      </c>
    </row>
    <row r="372" spans="1:49">
      <c r="A372" s="1">
        <v>20</v>
      </c>
      <c r="B372" s="1" t="s">
        <v>38</v>
      </c>
      <c r="C372" s="1" t="s">
        <v>38</v>
      </c>
      <c r="D372" s="3" t="s">
        <v>549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195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207</v>
      </c>
      <c r="AE372" s="1" t="s">
        <v>214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>
        <v>-0.158</v>
      </c>
      <c r="AS372" s="6" t="s">
        <v>49</v>
      </c>
      <c r="AT372" s="6" t="s">
        <v>49</v>
      </c>
      <c r="AU372" s="6" t="s">
        <v>49</v>
      </c>
      <c r="AV372" s="1" t="s">
        <v>49</v>
      </c>
      <c r="AW372" s="30" t="s">
        <v>49</v>
      </c>
    </row>
    <row r="373" spans="1:49">
      <c r="A373" s="1">
        <v>20</v>
      </c>
      <c r="B373" s="1" t="s">
        <v>38</v>
      </c>
      <c r="C373" s="1" t="s">
        <v>38</v>
      </c>
      <c r="D373" s="3" t="s">
        <v>549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195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207</v>
      </c>
      <c r="AE373" s="1" t="s">
        <v>213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>
        <v>-0.13700000000000001</v>
      </c>
      <c r="AS373" s="6" t="s">
        <v>49</v>
      </c>
      <c r="AT373" s="6" t="s">
        <v>49</v>
      </c>
      <c r="AU373" s="6" t="s">
        <v>49</v>
      </c>
      <c r="AV373" s="1" t="s">
        <v>49</v>
      </c>
      <c r="AW373" s="30" t="s">
        <v>49</v>
      </c>
    </row>
    <row r="374" spans="1:49">
      <c r="A374" s="1">
        <v>20</v>
      </c>
      <c r="B374" s="1" t="s">
        <v>38</v>
      </c>
      <c r="C374" s="1" t="s">
        <v>38</v>
      </c>
      <c r="D374" s="3" t="s">
        <v>549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195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198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>
        <v>-0.42899999999999999</v>
      </c>
      <c r="AS374" s="6" t="s">
        <v>49</v>
      </c>
      <c r="AT374" s="6" t="s">
        <v>49</v>
      </c>
      <c r="AU374" s="6" t="s">
        <v>49</v>
      </c>
      <c r="AV374" s="1" t="s">
        <v>49</v>
      </c>
      <c r="AW374" s="30" t="s">
        <v>49</v>
      </c>
    </row>
    <row r="375" spans="1:49">
      <c r="A375" s="1">
        <v>20</v>
      </c>
      <c r="B375" s="1" t="s">
        <v>38</v>
      </c>
      <c r="C375" s="1" t="s">
        <v>38</v>
      </c>
      <c r="D375" s="3" t="s">
        <v>549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195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198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>
        <v>-0.193</v>
      </c>
      <c r="AS375" s="6" t="s">
        <v>49</v>
      </c>
      <c r="AT375" s="6" t="s">
        <v>49</v>
      </c>
      <c r="AU375" s="6" t="s">
        <v>49</v>
      </c>
      <c r="AV375" s="1" t="s">
        <v>49</v>
      </c>
      <c r="AW375" s="30" t="s">
        <v>49</v>
      </c>
    </row>
    <row r="376" spans="1:49">
      <c r="A376" s="1">
        <v>20</v>
      </c>
      <c r="B376" s="1" t="s">
        <v>38</v>
      </c>
      <c r="C376" s="1" t="s">
        <v>38</v>
      </c>
      <c r="D376" s="3" t="s">
        <v>549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195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214</v>
      </c>
      <c r="AE376" s="1" t="s">
        <v>213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>
        <v>0.36699999999999999</v>
      </c>
      <c r="AS376" s="6" t="s">
        <v>49</v>
      </c>
      <c r="AT376" s="6" t="s">
        <v>49</v>
      </c>
      <c r="AU376" s="6" t="s">
        <v>49</v>
      </c>
      <c r="AV376" s="1" t="s">
        <v>49</v>
      </c>
      <c r="AW376" s="30" t="s">
        <v>49</v>
      </c>
    </row>
    <row r="377" spans="1:49">
      <c r="A377" s="1">
        <v>20</v>
      </c>
      <c r="B377" s="1" t="s">
        <v>38</v>
      </c>
      <c r="C377" s="1" t="s">
        <v>38</v>
      </c>
      <c r="D377" s="3" t="s">
        <v>549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201</v>
      </c>
      <c r="AC377" s="1" t="s">
        <v>202</v>
      </c>
      <c r="AD377" s="1" t="s">
        <v>203</v>
      </c>
      <c r="AE377" s="1" t="s">
        <v>203</v>
      </c>
      <c r="AF377" s="1" t="s">
        <v>53</v>
      </c>
      <c r="AG377" s="1" t="s">
        <v>53</v>
      </c>
      <c r="AH377" s="1" t="s">
        <v>199</v>
      </c>
      <c r="AI377" s="1" t="s">
        <v>200</v>
      </c>
      <c r="AJ377" s="1">
        <v>15</v>
      </c>
      <c r="AK377" s="1">
        <v>60</v>
      </c>
      <c r="AL377" s="2">
        <v>0.52100000000000002</v>
      </c>
      <c r="AM377" s="3">
        <v>107.8</v>
      </c>
      <c r="AN377" s="3">
        <f>10.39^2</f>
        <v>107.95210000000002</v>
      </c>
      <c r="AO377" s="1" t="s">
        <v>49</v>
      </c>
      <c r="AP377" s="6">
        <v>1</v>
      </c>
      <c r="AQ377" s="6" t="s">
        <v>49</v>
      </c>
      <c r="AR377" s="6" t="s">
        <v>49</v>
      </c>
      <c r="AS377" s="1">
        <f t="shared" ref="AS377:AS382" si="29">AL377*AN377</f>
        <v>56.243044100000013</v>
      </c>
      <c r="AT377" s="4">
        <f t="shared" ref="AT377:AT382" si="30">AS377/(AM377^2)*100</f>
        <v>0.48398432557371074</v>
      </c>
      <c r="AU377" s="5">
        <v>0</v>
      </c>
      <c r="AV377" s="4">
        <f t="shared" ref="AV377:AV382" si="31">AT377*(1-AL377)/AL377</f>
        <v>0.44496831468293169</v>
      </c>
      <c r="AW377" s="29" t="s">
        <v>215</v>
      </c>
    </row>
    <row r="378" spans="1:49">
      <c r="A378" s="1">
        <v>20</v>
      </c>
      <c r="B378" s="1" t="s">
        <v>38</v>
      </c>
      <c r="C378" s="1" t="s">
        <v>38</v>
      </c>
      <c r="D378" s="3" t="s">
        <v>549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208</v>
      </c>
      <c r="AC378" s="1" t="s">
        <v>209</v>
      </c>
      <c r="AD378" s="1" t="s">
        <v>210</v>
      </c>
      <c r="AE378" s="1" t="s">
        <v>210</v>
      </c>
      <c r="AF378" s="1" t="s">
        <v>53</v>
      </c>
      <c r="AG378" s="1" t="s">
        <v>53</v>
      </c>
      <c r="AH378" s="1" t="s">
        <v>199</v>
      </c>
      <c r="AI378" s="1" t="s">
        <v>200</v>
      </c>
      <c r="AJ378" s="1">
        <v>15</v>
      </c>
      <c r="AK378" s="1">
        <v>60</v>
      </c>
      <c r="AL378" s="2">
        <v>0.71499999999999997</v>
      </c>
      <c r="AM378" s="3">
        <v>93.4</v>
      </c>
      <c r="AN378" s="3">
        <f>13.32^2</f>
        <v>177.42240000000001</v>
      </c>
      <c r="AO378" s="1" t="s">
        <v>49</v>
      </c>
      <c r="AP378" s="6">
        <v>1</v>
      </c>
      <c r="AQ378" s="6" t="s">
        <v>49</v>
      </c>
      <c r="AR378" s="6" t="s">
        <v>49</v>
      </c>
      <c r="AS378" s="1">
        <f t="shared" si="29"/>
        <v>126.857016</v>
      </c>
      <c r="AT378" s="4">
        <f t="shared" si="30"/>
        <v>1.4541886110716264</v>
      </c>
      <c r="AU378" s="5">
        <v>0</v>
      </c>
      <c r="AV378" s="4">
        <f t="shared" si="31"/>
        <v>0.57964161420337568</v>
      </c>
      <c r="AW378" s="29" t="s">
        <v>215</v>
      </c>
    </row>
    <row r="379" spans="1:49">
      <c r="A379" s="1">
        <v>20</v>
      </c>
      <c r="B379" s="1" t="s">
        <v>38</v>
      </c>
      <c r="C379" s="1" t="s">
        <v>38</v>
      </c>
      <c r="D379" s="3" t="s">
        <v>549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208</v>
      </c>
      <c r="AC379" s="1" t="s">
        <v>211</v>
      </c>
      <c r="AD379" s="1" t="s">
        <v>212</v>
      </c>
      <c r="AE379" s="1" t="s">
        <v>212</v>
      </c>
      <c r="AF379" s="1" t="s">
        <v>60</v>
      </c>
      <c r="AG379" s="1" t="s">
        <v>173</v>
      </c>
      <c r="AH379" s="1" t="s">
        <v>199</v>
      </c>
      <c r="AI379" s="1" t="s">
        <v>200</v>
      </c>
      <c r="AJ379" s="1">
        <v>15</v>
      </c>
      <c r="AK379" s="1">
        <v>60</v>
      </c>
      <c r="AL379" s="2">
        <v>0.68400000000000005</v>
      </c>
      <c r="AM379" s="3">
        <v>33</v>
      </c>
      <c r="AN379" s="3">
        <f>5^2</f>
        <v>25</v>
      </c>
      <c r="AO379" s="1" t="s">
        <v>49</v>
      </c>
      <c r="AP379" s="6">
        <v>1</v>
      </c>
      <c r="AQ379" s="6" t="s">
        <v>49</v>
      </c>
      <c r="AR379" s="6" t="s">
        <v>49</v>
      </c>
      <c r="AS379" s="1">
        <f t="shared" si="29"/>
        <v>17.100000000000001</v>
      </c>
      <c r="AT379" s="4">
        <f t="shared" si="30"/>
        <v>1.5702479338842976</v>
      </c>
      <c r="AU379" s="5">
        <v>0</v>
      </c>
      <c r="AV379" s="4">
        <f t="shared" si="31"/>
        <v>0.72543617998163445</v>
      </c>
      <c r="AW379" s="29" t="s">
        <v>215</v>
      </c>
    </row>
    <row r="380" spans="1:49">
      <c r="A380" s="1">
        <v>20</v>
      </c>
      <c r="B380" s="1" t="s">
        <v>38</v>
      </c>
      <c r="C380" s="1" t="s">
        <v>38</v>
      </c>
      <c r="D380" s="3" t="s">
        <v>549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201</v>
      </c>
      <c r="AC380" s="1" t="s">
        <v>204</v>
      </c>
      <c r="AD380" s="1" t="s">
        <v>205</v>
      </c>
      <c r="AE380" s="1" t="s">
        <v>205</v>
      </c>
      <c r="AF380" s="1" t="s">
        <v>53</v>
      </c>
      <c r="AG380" s="1" t="s">
        <v>53</v>
      </c>
      <c r="AH380" s="1" t="s">
        <v>199</v>
      </c>
      <c r="AI380" s="1" t="s">
        <v>200</v>
      </c>
      <c r="AJ380" s="1">
        <v>15</v>
      </c>
      <c r="AK380" s="1">
        <v>60</v>
      </c>
      <c r="AL380" s="2">
        <v>0.80400000000000005</v>
      </c>
      <c r="AM380" s="3">
        <v>4.4000000000000004</v>
      </c>
      <c r="AN380" s="3">
        <f>0.89^2</f>
        <v>0.79210000000000003</v>
      </c>
      <c r="AO380" s="1" t="s">
        <v>49</v>
      </c>
      <c r="AP380" s="6">
        <v>1</v>
      </c>
      <c r="AQ380" s="6" t="s">
        <v>49</v>
      </c>
      <c r="AR380" s="6" t="s">
        <v>49</v>
      </c>
      <c r="AS380" s="1">
        <f t="shared" si="29"/>
        <v>0.63684840000000009</v>
      </c>
      <c r="AT380" s="4">
        <f t="shared" si="30"/>
        <v>3.289506198347107</v>
      </c>
      <c r="AU380" s="5">
        <v>0</v>
      </c>
      <c r="AV380" s="4">
        <f t="shared" si="31"/>
        <v>0.80191942148760298</v>
      </c>
      <c r="AW380" s="29" t="s">
        <v>215</v>
      </c>
    </row>
    <row r="381" spans="1:49">
      <c r="A381" s="1">
        <v>20</v>
      </c>
      <c r="B381" s="1" t="s">
        <v>38</v>
      </c>
      <c r="C381" s="1" t="s">
        <v>38</v>
      </c>
      <c r="D381" s="3" t="s">
        <v>549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201</v>
      </c>
      <c r="AC381" s="1" t="s">
        <v>204</v>
      </c>
      <c r="AD381" s="1" t="s">
        <v>206</v>
      </c>
      <c r="AE381" s="1" t="s">
        <v>206</v>
      </c>
      <c r="AF381" s="1" t="s">
        <v>53</v>
      </c>
      <c r="AG381" s="1" t="s">
        <v>53</v>
      </c>
      <c r="AH381" s="1" t="s">
        <v>199</v>
      </c>
      <c r="AI381" s="1" t="s">
        <v>200</v>
      </c>
      <c r="AJ381" s="1">
        <v>15</v>
      </c>
      <c r="AK381" s="1">
        <v>60</v>
      </c>
      <c r="AL381" s="2">
        <v>0.55600000000000005</v>
      </c>
      <c r="AM381" s="3">
        <v>5924</v>
      </c>
      <c r="AN381" s="3">
        <f>1544^2</f>
        <v>2383936</v>
      </c>
      <c r="AO381" s="1" t="s">
        <v>49</v>
      </c>
      <c r="AP381" s="6">
        <v>1</v>
      </c>
      <c r="AQ381" s="6" t="s">
        <v>49</v>
      </c>
      <c r="AR381" s="6" t="s">
        <v>49</v>
      </c>
      <c r="AS381" s="1">
        <f t="shared" si="29"/>
        <v>1325468.4160000002</v>
      </c>
      <c r="AT381" s="4">
        <f t="shared" si="30"/>
        <v>3.7769330265286936</v>
      </c>
      <c r="AU381" s="5">
        <v>0</v>
      </c>
      <c r="AV381" s="4">
        <f t="shared" si="31"/>
        <v>3.0161119852135605</v>
      </c>
      <c r="AW381" s="29" t="s">
        <v>215</v>
      </c>
    </row>
    <row r="382" spans="1:49">
      <c r="A382" s="1">
        <v>20</v>
      </c>
      <c r="B382" s="1" t="s">
        <v>38</v>
      </c>
      <c r="C382" s="1" t="s">
        <v>38</v>
      </c>
      <c r="D382" s="3" t="s">
        <v>549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201</v>
      </c>
      <c r="AC382" s="1" t="s">
        <v>204</v>
      </c>
      <c r="AD382" s="1" t="s">
        <v>207</v>
      </c>
      <c r="AE382" s="1" t="s">
        <v>207</v>
      </c>
      <c r="AF382" s="1" t="s">
        <v>60</v>
      </c>
      <c r="AG382" s="1" t="s">
        <v>173</v>
      </c>
      <c r="AH382" s="1" t="s">
        <v>199</v>
      </c>
      <c r="AI382" s="1" t="s">
        <v>200</v>
      </c>
      <c r="AJ382" s="1">
        <v>15</v>
      </c>
      <c r="AK382" s="1">
        <v>60</v>
      </c>
      <c r="AL382" s="2">
        <v>0.752</v>
      </c>
      <c r="AM382" s="3">
        <v>3269</v>
      </c>
      <c r="AN382" s="3">
        <f>427^2</f>
        <v>182329</v>
      </c>
      <c r="AO382" s="1" t="s">
        <v>49</v>
      </c>
      <c r="AP382" s="6">
        <v>1</v>
      </c>
      <c r="AQ382" s="6" t="s">
        <v>49</v>
      </c>
      <c r="AR382" s="6" t="s">
        <v>49</v>
      </c>
      <c r="AS382" s="1">
        <f t="shared" si="29"/>
        <v>137111.408</v>
      </c>
      <c r="AT382" s="4">
        <f t="shared" si="30"/>
        <v>1.283050497732577</v>
      </c>
      <c r="AU382" s="5">
        <v>0</v>
      </c>
      <c r="AV382" s="4">
        <f t="shared" si="31"/>
        <v>0.42313367478414771</v>
      </c>
      <c r="AW382" s="29" t="s">
        <v>215</v>
      </c>
    </row>
    <row r="383" spans="1:49">
      <c r="A383" s="1">
        <v>20</v>
      </c>
      <c r="B383" s="1" t="s">
        <v>38</v>
      </c>
      <c r="C383" s="1" t="s">
        <v>38</v>
      </c>
      <c r="D383" s="3" t="s">
        <v>549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196</v>
      </c>
      <c r="AC383" s="1" t="s">
        <v>197</v>
      </c>
      <c r="AD383" s="1" t="s">
        <v>198</v>
      </c>
      <c r="AE383" s="1" t="s">
        <v>198</v>
      </c>
      <c r="AF383" s="1" t="s">
        <v>60</v>
      </c>
      <c r="AG383" s="1" t="s">
        <v>60</v>
      </c>
      <c r="AH383" s="1" t="s">
        <v>199</v>
      </c>
      <c r="AI383" s="1" t="s">
        <v>200</v>
      </c>
      <c r="AJ383" s="1">
        <v>15</v>
      </c>
      <c r="AK383" s="1">
        <v>60</v>
      </c>
      <c r="AL383" s="2">
        <v>0.76800000000000002</v>
      </c>
      <c r="AM383" s="3">
        <v>41</v>
      </c>
      <c r="AN383" s="3">
        <f>9^2</f>
        <v>81</v>
      </c>
      <c r="AO383" s="1" t="s">
        <v>49</v>
      </c>
      <c r="AP383" s="6">
        <v>1</v>
      </c>
      <c r="AQ383" s="6" t="s">
        <v>49</v>
      </c>
      <c r="AR383" s="6" t="s">
        <v>49</v>
      </c>
      <c r="AS383" s="1">
        <f t="shared" ref="AS383" si="32">AL383*AN383</f>
        <v>62.207999999999998</v>
      </c>
      <c r="AT383" s="4">
        <f t="shared" ref="AT383" si="33">AS383/(AM383^2)*100</f>
        <v>3.7006543723973819</v>
      </c>
      <c r="AU383" s="5">
        <v>0</v>
      </c>
      <c r="AV383" s="4">
        <f t="shared" ref="AV383" si="34">AT383*(1-AL383)/AL383</f>
        <v>1.1179060083283756</v>
      </c>
      <c r="AW383" s="29" t="s">
        <v>215</v>
      </c>
    </row>
    <row r="384" spans="1:49">
      <c r="A384" s="1">
        <v>20</v>
      </c>
      <c r="B384" s="1" t="s">
        <v>38</v>
      </c>
      <c r="C384" s="1" t="s">
        <v>38</v>
      </c>
      <c r="D384" s="3" t="s">
        <v>549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124</v>
      </c>
      <c r="AD384" s="1" t="s">
        <v>214</v>
      </c>
      <c r="AE384" s="1" t="s">
        <v>214</v>
      </c>
      <c r="AF384" s="1" t="s">
        <v>53</v>
      </c>
      <c r="AG384" s="1" t="s">
        <v>53</v>
      </c>
      <c r="AH384" s="1" t="s">
        <v>199</v>
      </c>
      <c r="AI384" s="1" t="s">
        <v>200</v>
      </c>
      <c r="AJ384" s="1">
        <v>15</v>
      </c>
      <c r="AK384" s="1">
        <v>60</v>
      </c>
      <c r="AL384" s="2">
        <v>0.77500000000000002</v>
      </c>
      <c r="AM384" s="3">
        <v>3.9</v>
      </c>
      <c r="AN384" s="3">
        <f>0.77^2</f>
        <v>0.59289999999999998</v>
      </c>
      <c r="AO384" s="1" t="s">
        <v>49</v>
      </c>
      <c r="AP384" s="6">
        <v>1</v>
      </c>
      <c r="AQ384" s="6" t="s">
        <v>49</v>
      </c>
      <c r="AR384" s="6" t="s">
        <v>49</v>
      </c>
      <c r="AS384" s="1">
        <f>AL384*AN384</f>
        <v>0.4594975</v>
      </c>
      <c r="AT384" s="4">
        <f>AS384/(AM384^2)*100</f>
        <v>3.0210223537146619</v>
      </c>
      <c r="AU384" s="5">
        <v>0</v>
      </c>
      <c r="AV384" s="4">
        <f>AT384*(1-AL384)/AL384</f>
        <v>0.87707100591715981</v>
      </c>
      <c r="AW384" s="29" t="s">
        <v>215</v>
      </c>
    </row>
    <row r="385" spans="1:49">
      <c r="A385" s="1">
        <v>20</v>
      </c>
      <c r="B385" s="1" t="s">
        <v>38</v>
      </c>
      <c r="C385" s="1" t="s">
        <v>38</v>
      </c>
      <c r="D385" s="3" t="s">
        <v>549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124</v>
      </c>
      <c r="AD385" s="1" t="s">
        <v>213</v>
      </c>
      <c r="AE385" s="1" t="s">
        <v>213</v>
      </c>
      <c r="AF385" s="1" t="s">
        <v>60</v>
      </c>
      <c r="AG385" s="1" t="s">
        <v>129</v>
      </c>
      <c r="AH385" s="1" t="s">
        <v>199</v>
      </c>
      <c r="AI385" s="1" t="s">
        <v>200</v>
      </c>
      <c r="AJ385" s="1">
        <v>15</v>
      </c>
      <c r="AK385" s="1">
        <v>60</v>
      </c>
      <c r="AL385" s="2">
        <v>0.436</v>
      </c>
      <c r="AM385" s="3">
        <v>5.0999999999999996</v>
      </c>
      <c r="AN385" s="3">
        <f>0.72^2</f>
        <v>0.51839999999999997</v>
      </c>
      <c r="AO385" s="1" t="s">
        <v>49</v>
      </c>
      <c r="AP385" s="6">
        <v>1</v>
      </c>
      <c r="AQ385" s="6" t="s">
        <v>49</v>
      </c>
      <c r="AR385" s="6" t="s">
        <v>49</v>
      </c>
      <c r="AS385" s="1">
        <f>AL385*AN385</f>
        <v>0.22602239999999998</v>
      </c>
      <c r="AT385" s="4">
        <f>AS385/(AM385^2)*100</f>
        <v>0.86898269896193769</v>
      </c>
      <c r="AU385" s="5">
        <v>0</v>
      </c>
      <c r="AV385" s="4">
        <f>AT385*(1-AL385)/AL385</f>
        <v>1.1240968858131488</v>
      </c>
      <c r="AW385" s="29" t="s">
        <v>215</v>
      </c>
    </row>
    <row r="386" spans="1:49">
      <c r="A386" s="1">
        <v>20</v>
      </c>
      <c r="B386" s="1" t="s">
        <v>38</v>
      </c>
      <c r="C386" s="1" t="s">
        <v>38</v>
      </c>
      <c r="D386" s="3" t="s">
        <v>549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216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203</v>
      </c>
      <c r="AE386" s="1" t="s">
        <v>210</v>
      </c>
      <c r="AF386" s="1" t="s">
        <v>49</v>
      </c>
      <c r="AG386" s="1" t="s">
        <v>49</v>
      </c>
      <c r="AH386" s="1" t="s">
        <v>199</v>
      </c>
      <c r="AI386" s="1" t="s">
        <v>200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>
        <v>-0.11799999999999999</v>
      </c>
      <c r="AS386" s="6" t="s">
        <v>49</v>
      </c>
      <c r="AT386" s="6" t="s">
        <v>49</v>
      </c>
      <c r="AU386" s="6" t="s">
        <v>49</v>
      </c>
      <c r="AV386" s="1" t="s">
        <v>49</v>
      </c>
      <c r="AW386" s="30" t="s">
        <v>49</v>
      </c>
    </row>
    <row r="387" spans="1:49">
      <c r="A387" s="1">
        <v>20</v>
      </c>
      <c r="B387" s="1" t="s">
        <v>38</v>
      </c>
      <c r="C387" s="1" t="s">
        <v>38</v>
      </c>
      <c r="D387" s="3" t="s">
        <v>549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216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203</v>
      </c>
      <c r="AE387" s="1" t="s">
        <v>212</v>
      </c>
      <c r="AF387" s="1" t="s">
        <v>49</v>
      </c>
      <c r="AG387" s="1" t="s">
        <v>49</v>
      </c>
      <c r="AH387" s="1" t="s">
        <v>199</v>
      </c>
      <c r="AI387" s="1" t="s">
        <v>200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>
        <v>-4.9000000000000002E-2</v>
      </c>
      <c r="AS387" s="6" t="s">
        <v>49</v>
      </c>
      <c r="AT387" s="6" t="s">
        <v>49</v>
      </c>
      <c r="AU387" s="6" t="s">
        <v>49</v>
      </c>
      <c r="AV387" s="1" t="s">
        <v>49</v>
      </c>
      <c r="AW387" s="30" t="s">
        <v>49</v>
      </c>
    </row>
    <row r="388" spans="1:49">
      <c r="A388" s="1">
        <v>20</v>
      </c>
      <c r="B388" s="1" t="s">
        <v>38</v>
      </c>
      <c r="C388" s="1" t="s">
        <v>38</v>
      </c>
      <c r="D388" s="3" t="s">
        <v>549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216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203</v>
      </c>
      <c r="AE388" s="1" t="s">
        <v>205</v>
      </c>
      <c r="AF388" s="1" t="s">
        <v>49</v>
      </c>
      <c r="AG388" s="1" t="s">
        <v>49</v>
      </c>
      <c r="AH388" s="1" t="s">
        <v>199</v>
      </c>
      <c r="AI388" s="1" t="s">
        <v>200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>
        <v>2.3E-2</v>
      </c>
      <c r="AS388" s="6" t="s">
        <v>49</v>
      </c>
      <c r="AT388" s="6" t="s">
        <v>49</v>
      </c>
      <c r="AU388" s="6" t="s">
        <v>49</v>
      </c>
      <c r="AV388" s="1" t="s">
        <v>49</v>
      </c>
      <c r="AW388" s="30" t="s">
        <v>49</v>
      </c>
    </row>
    <row r="389" spans="1:49">
      <c r="A389" s="1">
        <v>20</v>
      </c>
      <c r="B389" s="1" t="s">
        <v>38</v>
      </c>
      <c r="C389" s="1" t="s">
        <v>38</v>
      </c>
      <c r="D389" s="3" t="s">
        <v>549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216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203</v>
      </c>
      <c r="AE389" s="1" t="s">
        <v>206</v>
      </c>
      <c r="AF389" s="1" t="s">
        <v>49</v>
      </c>
      <c r="AG389" s="1" t="s">
        <v>49</v>
      </c>
      <c r="AH389" s="1" t="s">
        <v>199</v>
      </c>
      <c r="AI389" s="1" t="s">
        <v>200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>
        <v>0.25700000000000001</v>
      </c>
      <c r="AS389" s="6" t="s">
        <v>49</v>
      </c>
      <c r="AT389" s="6" t="s">
        <v>49</v>
      </c>
      <c r="AU389" s="6" t="s">
        <v>49</v>
      </c>
      <c r="AV389" s="1" t="s">
        <v>49</v>
      </c>
      <c r="AW389" s="30" t="s">
        <v>49</v>
      </c>
    </row>
    <row r="390" spans="1:49">
      <c r="A390" s="1">
        <v>20</v>
      </c>
      <c r="B390" s="1" t="s">
        <v>38</v>
      </c>
      <c r="C390" s="1" t="s">
        <v>38</v>
      </c>
      <c r="D390" s="3" t="s">
        <v>549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216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203</v>
      </c>
      <c r="AE390" s="1" t="s">
        <v>207</v>
      </c>
      <c r="AF390" s="1" t="s">
        <v>49</v>
      </c>
      <c r="AG390" s="1" t="s">
        <v>49</v>
      </c>
      <c r="AH390" s="1" t="s">
        <v>199</v>
      </c>
      <c r="AI390" s="1" t="s">
        <v>200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>
        <v>-0.217</v>
      </c>
      <c r="AS390" s="6" t="s">
        <v>49</v>
      </c>
      <c r="AT390" s="6" t="s">
        <v>49</v>
      </c>
      <c r="AU390" s="6" t="s">
        <v>49</v>
      </c>
      <c r="AV390" s="1" t="s">
        <v>49</v>
      </c>
      <c r="AW390" s="30" t="s">
        <v>49</v>
      </c>
    </row>
    <row r="391" spans="1:49">
      <c r="A391" s="1">
        <v>20</v>
      </c>
      <c r="B391" s="1" t="s">
        <v>38</v>
      </c>
      <c r="C391" s="1" t="s">
        <v>38</v>
      </c>
      <c r="D391" s="3" t="s">
        <v>549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216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203</v>
      </c>
      <c r="AE391" s="1" t="s">
        <v>198</v>
      </c>
      <c r="AF391" s="1" t="s">
        <v>49</v>
      </c>
      <c r="AG391" s="1" t="s">
        <v>49</v>
      </c>
      <c r="AH391" s="1" t="s">
        <v>199</v>
      </c>
      <c r="AI391" s="1" t="s">
        <v>200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6" t="s">
        <v>49</v>
      </c>
      <c r="AV391" s="1" t="s">
        <v>49</v>
      </c>
      <c r="AW391" s="30" t="s">
        <v>49</v>
      </c>
    </row>
    <row r="392" spans="1:49">
      <c r="A392" s="1">
        <v>20</v>
      </c>
      <c r="B392" s="1" t="s">
        <v>38</v>
      </c>
      <c r="C392" s="1" t="s">
        <v>38</v>
      </c>
      <c r="D392" s="3" t="s">
        <v>549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216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203</v>
      </c>
      <c r="AE392" s="1" t="s">
        <v>214</v>
      </c>
      <c r="AF392" s="1" t="s">
        <v>49</v>
      </c>
      <c r="AG392" s="1" t="s">
        <v>49</v>
      </c>
      <c r="AH392" s="1" t="s">
        <v>199</v>
      </c>
      <c r="AI392" s="1" t="s">
        <v>200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>
        <v>-2E-3</v>
      </c>
      <c r="AS392" s="6" t="s">
        <v>49</v>
      </c>
      <c r="AT392" s="6" t="s">
        <v>49</v>
      </c>
      <c r="AU392" s="6" t="s">
        <v>49</v>
      </c>
      <c r="AV392" s="1" t="s">
        <v>49</v>
      </c>
      <c r="AW392" s="30" t="s">
        <v>49</v>
      </c>
    </row>
    <row r="393" spans="1:49">
      <c r="A393" s="1">
        <v>20</v>
      </c>
      <c r="B393" s="1" t="s">
        <v>38</v>
      </c>
      <c r="C393" s="1" t="s">
        <v>38</v>
      </c>
      <c r="D393" s="3" t="s">
        <v>549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216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203</v>
      </c>
      <c r="AE393" s="1" t="s">
        <v>213</v>
      </c>
      <c r="AF393" s="1" t="s">
        <v>49</v>
      </c>
      <c r="AG393" s="1" t="s">
        <v>49</v>
      </c>
      <c r="AH393" s="1" t="s">
        <v>199</v>
      </c>
      <c r="AI393" s="1" t="s">
        <v>200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>
        <v>0.20399999999999999</v>
      </c>
      <c r="AS393" s="6" t="s">
        <v>49</v>
      </c>
      <c r="AT393" s="6" t="s">
        <v>49</v>
      </c>
      <c r="AU393" s="6" t="s">
        <v>49</v>
      </c>
      <c r="AV393" s="1" t="s">
        <v>49</v>
      </c>
      <c r="AW393" s="30" t="s">
        <v>49</v>
      </c>
    </row>
    <row r="394" spans="1:49">
      <c r="A394" s="1">
        <v>20</v>
      </c>
      <c r="B394" s="1" t="s">
        <v>38</v>
      </c>
      <c r="C394" s="1" t="s">
        <v>38</v>
      </c>
      <c r="D394" s="3" t="s">
        <v>549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216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210</v>
      </c>
      <c r="AE394" s="1" t="s">
        <v>212</v>
      </c>
      <c r="AF394" s="1" t="s">
        <v>49</v>
      </c>
      <c r="AG394" s="1" t="s">
        <v>49</v>
      </c>
      <c r="AH394" s="1" t="s">
        <v>199</v>
      </c>
      <c r="AI394" s="1" t="s">
        <v>200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>
        <v>4.4999999999999998E-2</v>
      </c>
      <c r="AS394" s="6" t="s">
        <v>49</v>
      </c>
      <c r="AT394" s="6" t="s">
        <v>49</v>
      </c>
      <c r="AU394" s="6" t="s">
        <v>49</v>
      </c>
      <c r="AV394" s="1" t="s">
        <v>49</v>
      </c>
      <c r="AW394" s="30" t="s">
        <v>49</v>
      </c>
    </row>
    <row r="395" spans="1:49">
      <c r="A395" s="1">
        <v>20</v>
      </c>
      <c r="B395" s="1" t="s">
        <v>38</v>
      </c>
      <c r="C395" s="1" t="s">
        <v>38</v>
      </c>
      <c r="D395" s="3" t="s">
        <v>549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216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210</v>
      </c>
      <c r="AE395" s="1" t="s">
        <v>205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>
        <v>0.20899999999999999</v>
      </c>
      <c r="AS395" s="6" t="s">
        <v>49</v>
      </c>
      <c r="AT395" s="6" t="s">
        <v>49</v>
      </c>
      <c r="AU395" s="6" t="s">
        <v>49</v>
      </c>
      <c r="AV395" s="1" t="s">
        <v>49</v>
      </c>
      <c r="AW395" s="30" t="s">
        <v>49</v>
      </c>
    </row>
    <row r="396" spans="1:49">
      <c r="A396" s="1">
        <v>20</v>
      </c>
      <c r="B396" s="1" t="s">
        <v>38</v>
      </c>
      <c r="C396" s="1" t="s">
        <v>38</v>
      </c>
      <c r="D396" s="3" t="s">
        <v>549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216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210</v>
      </c>
      <c r="AE396" s="1" t="s">
        <v>206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>
        <v>6.0000000000000001E-3</v>
      </c>
      <c r="AS396" s="6" t="s">
        <v>49</v>
      </c>
      <c r="AT396" s="6" t="s">
        <v>49</v>
      </c>
      <c r="AU396" s="6" t="s">
        <v>49</v>
      </c>
      <c r="AV396" s="1" t="s">
        <v>49</v>
      </c>
      <c r="AW396" s="30" t="s">
        <v>49</v>
      </c>
    </row>
    <row r="397" spans="1:49">
      <c r="A397" s="1">
        <v>20</v>
      </c>
      <c r="B397" s="1" t="s">
        <v>38</v>
      </c>
      <c r="C397" s="1" t="s">
        <v>38</v>
      </c>
      <c r="D397" s="3" t="s">
        <v>549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216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210</v>
      </c>
      <c r="AE397" s="1" t="s">
        <v>207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>
        <v>0.17499999999999999</v>
      </c>
      <c r="AS397" s="6" t="s">
        <v>49</v>
      </c>
      <c r="AT397" s="6" t="s">
        <v>49</v>
      </c>
      <c r="AU397" s="6" t="s">
        <v>49</v>
      </c>
      <c r="AV397" s="1" t="s">
        <v>49</v>
      </c>
      <c r="AW397" s="30" t="s">
        <v>49</v>
      </c>
    </row>
    <row r="398" spans="1:49">
      <c r="A398" s="1">
        <v>20</v>
      </c>
      <c r="B398" s="1" t="s">
        <v>38</v>
      </c>
      <c r="C398" s="1" t="s">
        <v>38</v>
      </c>
      <c r="D398" s="3" t="s">
        <v>549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216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210</v>
      </c>
      <c r="AE398" s="1" t="s">
        <v>198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>
        <v>0.22500000000000001</v>
      </c>
      <c r="AS398" s="6" t="s">
        <v>49</v>
      </c>
      <c r="AT398" s="6" t="s">
        <v>49</v>
      </c>
      <c r="AU398" s="6" t="s">
        <v>49</v>
      </c>
      <c r="AV398" s="1" t="s">
        <v>49</v>
      </c>
      <c r="AW398" s="30" t="s">
        <v>49</v>
      </c>
    </row>
    <row r="399" spans="1:49">
      <c r="A399" s="1">
        <v>20</v>
      </c>
      <c r="B399" s="1" t="s">
        <v>38</v>
      </c>
      <c r="C399" s="1" t="s">
        <v>38</v>
      </c>
      <c r="D399" s="3" t="s">
        <v>549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216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210</v>
      </c>
      <c r="AE399" s="1" t="s">
        <v>214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>
        <v>9.0999999999999998E-2</v>
      </c>
      <c r="AS399" s="6" t="s">
        <v>49</v>
      </c>
      <c r="AT399" s="6" t="s">
        <v>49</v>
      </c>
      <c r="AU399" s="6" t="s">
        <v>49</v>
      </c>
      <c r="AV399" s="1" t="s">
        <v>49</v>
      </c>
      <c r="AW399" s="30" t="s">
        <v>49</v>
      </c>
    </row>
    <row r="400" spans="1:49">
      <c r="A400" s="1">
        <v>20</v>
      </c>
      <c r="B400" s="1" t="s">
        <v>38</v>
      </c>
      <c r="C400" s="1" t="s">
        <v>38</v>
      </c>
      <c r="D400" s="3" t="s">
        <v>549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216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210</v>
      </c>
      <c r="AE400" s="1" t="s">
        <v>213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>
        <v>6.5000000000000002E-2</v>
      </c>
      <c r="AS400" s="6" t="s">
        <v>49</v>
      </c>
      <c r="AT400" s="6" t="s">
        <v>49</v>
      </c>
      <c r="AU400" s="6" t="s">
        <v>49</v>
      </c>
      <c r="AV400" s="1" t="s">
        <v>49</v>
      </c>
      <c r="AW400" s="30" t="s">
        <v>49</v>
      </c>
    </row>
    <row r="401" spans="1:49">
      <c r="A401" s="1">
        <v>20</v>
      </c>
      <c r="B401" s="1" t="s">
        <v>38</v>
      </c>
      <c r="C401" s="1" t="s">
        <v>38</v>
      </c>
      <c r="D401" s="3" t="s">
        <v>549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216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212</v>
      </c>
      <c r="AE401" s="1" t="s">
        <v>205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>
        <v>0.158</v>
      </c>
      <c r="AS401" s="6" t="s">
        <v>49</v>
      </c>
      <c r="AT401" s="6" t="s">
        <v>49</v>
      </c>
      <c r="AU401" s="6" t="s">
        <v>49</v>
      </c>
      <c r="AV401" s="1" t="s">
        <v>49</v>
      </c>
      <c r="AW401" s="30" t="s">
        <v>49</v>
      </c>
    </row>
    <row r="402" spans="1:49">
      <c r="A402" s="1">
        <v>20</v>
      </c>
      <c r="B402" s="1" t="s">
        <v>38</v>
      </c>
      <c r="C402" s="1" t="s">
        <v>38</v>
      </c>
      <c r="D402" s="3" t="s">
        <v>549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216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212</v>
      </c>
      <c r="AE402" s="1" t="s">
        <v>206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>
        <v>4.2000000000000003E-2</v>
      </c>
      <c r="AS402" s="6" t="s">
        <v>49</v>
      </c>
      <c r="AT402" s="6" t="s">
        <v>49</v>
      </c>
      <c r="AU402" s="6" t="s">
        <v>49</v>
      </c>
      <c r="AV402" s="1" t="s">
        <v>49</v>
      </c>
      <c r="AW402" s="30" t="s">
        <v>49</v>
      </c>
    </row>
    <row r="403" spans="1:49">
      <c r="A403" s="1">
        <v>20</v>
      </c>
      <c r="B403" s="1" t="s">
        <v>38</v>
      </c>
      <c r="C403" s="1" t="s">
        <v>38</v>
      </c>
      <c r="D403" s="3" t="s">
        <v>549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216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212</v>
      </c>
      <c r="AE403" s="1" t="s">
        <v>207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>
        <v>0.154</v>
      </c>
      <c r="AS403" s="6" t="s">
        <v>49</v>
      </c>
      <c r="AT403" s="6" t="s">
        <v>49</v>
      </c>
      <c r="AU403" s="6" t="s">
        <v>49</v>
      </c>
      <c r="AV403" s="1" t="s">
        <v>49</v>
      </c>
      <c r="AW403" s="30" t="s">
        <v>49</v>
      </c>
    </row>
    <row r="404" spans="1:49">
      <c r="A404" s="1">
        <v>20</v>
      </c>
      <c r="B404" s="1" t="s">
        <v>38</v>
      </c>
      <c r="C404" s="1" t="s">
        <v>38</v>
      </c>
      <c r="D404" s="3" t="s">
        <v>549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216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212</v>
      </c>
      <c r="AE404" s="1" t="s">
        <v>198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>
        <v>0.18</v>
      </c>
      <c r="AS404" s="6" t="s">
        <v>49</v>
      </c>
      <c r="AT404" s="6" t="s">
        <v>49</v>
      </c>
      <c r="AU404" s="6" t="s">
        <v>49</v>
      </c>
      <c r="AV404" s="1" t="s">
        <v>49</v>
      </c>
      <c r="AW404" s="30" t="s">
        <v>49</v>
      </c>
    </row>
    <row r="405" spans="1:49">
      <c r="A405" s="1">
        <v>20</v>
      </c>
      <c r="B405" s="1" t="s">
        <v>38</v>
      </c>
      <c r="C405" s="1" t="s">
        <v>38</v>
      </c>
      <c r="D405" s="3" t="s">
        <v>549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216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212</v>
      </c>
      <c r="AE405" s="1" t="s">
        <v>214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>
        <v>0.08</v>
      </c>
      <c r="AS405" s="6" t="s">
        <v>49</v>
      </c>
      <c r="AT405" s="6" t="s">
        <v>49</v>
      </c>
      <c r="AU405" s="6" t="s">
        <v>49</v>
      </c>
      <c r="AV405" s="1" t="s">
        <v>49</v>
      </c>
      <c r="AW405" s="30" t="s">
        <v>49</v>
      </c>
    </row>
    <row r="406" spans="1:49">
      <c r="A406" s="1">
        <v>20</v>
      </c>
      <c r="B406" s="1" t="s">
        <v>38</v>
      </c>
      <c r="C406" s="1" t="s">
        <v>38</v>
      </c>
      <c r="D406" s="3" t="s">
        <v>549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216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212</v>
      </c>
      <c r="AE406" s="1" t="s">
        <v>213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>
        <v>-0.1</v>
      </c>
      <c r="AS406" s="6" t="s">
        <v>49</v>
      </c>
      <c r="AT406" s="6" t="s">
        <v>49</v>
      </c>
      <c r="AU406" s="6" t="s">
        <v>49</v>
      </c>
      <c r="AV406" s="1" t="s">
        <v>49</v>
      </c>
      <c r="AW406" s="30" t="s">
        <v>49</v>
      </c>
    </row>
    <row r="407" spans="1:49">
      <c r="A407" s="1">
        <v>20</v>
      </c>
      <c r="B407" s="1" t="s">
        <v>38</v>
      </c>
      <c r="C407" s="1" t="s">
        <v>38</v>
      </c>
      <c r="D407" s="3" t="s">
        <v>549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216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205</v>
      </c>
      <c r="AE407" s="1" t="s">
        <v>206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>
        <v>0.23899999999999999</v>
      </c>
      <c r="AS407" s="6" t="s">
        <v>49</v>
      </c>
      <c r="AT407" s="6" t="s">
        <v>49</v>
      </c>
      <c r="AU407" s="6" t="s">
        <v>49</v>
      </c>
      <c r="AV407" s="1" t="s">
        <v>49</v>
      </c>
      <c r="AW407" s="30" t="s">
        <v>49</v>
      </c>
    </row>
    <row r="408" spans="1:49">
      <c r="A408" s="1">
        <v>20</v>
      </c>
      <c r="B408" s="1" t="s">
        <v>38</v>
      </c>
      <c r="C408" s="1" t="s">
        <v>38</v>
      </c>
      <c r="D408" s="3" t="s">
        <v>549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216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205</v>
      </c>
      <c r="AE408" s="1" t="s">
        <v>207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>
        <v>-0.153</v>
      </c>
      <c r="AS408" s="6" t="s">
        <v>49</v>
      </c>
      <c r="AT408" s="6" t="s">
        <v>49</v>
      </c>
      <c r="AU408" s="6" t="s">
        <v>49</v>
      </c>
      <c r="AV408" s="1" t="s">
        <v>49</v>
      </c>
      <c r="AW408" s="30" t="s">
        <v>49</v>
      </c>
    </row>
    <row r="409" spans="1:49">
      <c r="A409" s="1">
        <v>20</v>
      </c>
      <c r="B409" s="1" t="s">
        <v>38</v>
      </c>
      <c r="C409" s="1" t="s">
        <v>38</v>
      </c>
      <c r="D409" s="3" t="s">
        <v>549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216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205</v>
      </c>
      <c r="AE409" s="1" t="s">
        <v>198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6" t="s">
        <v>49</v>
      </c>
      <c r="AV409" s="1" t="s">
        <v>49</v>
      </c>
      <c r="AW409" s="30" t="s">
        <v>49</v>
      </c>
    </row>
    <row r="410" spans="1:49">
      <c r="A410" s="1">
        <v>20</v>
      </c>
      <c r="B410" s="1" t="s">
        <v>38</v>
      </c>
      <c r="C410" s="1" t="s">
        <v>38</v>
      </c>
      <c r="D410" s="3" t="s">
        <v>549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216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205</v>
      </c>
      <c r="AE410" s="1" t="s">
        <v>214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>
        <v>0.45200000000000001</v>
      </c>
      <c r="AS410" s="6" t="s">
        <v>49</v>
      </c>
      <c r="AT410" s="6" t="s">
        <v>49</v>
      </c>
      <c r="AU410" s="6" t="s">
        <v>49</v>
      </c>
      <c r="AV410" s="1" t="s">
        <v>49</v>
      </c>
      <c r="AW410" s="30" t="s">
        <v>49</v>
      </c>
    </row>
    <row r="411" spans="1:49">
      <c r="A411" s="1">
        <v>20</v>
      </c>
      <c r="B411" s="1" t="s">
        <v>38</v>
      </c>
      <c r="C411" s="1" t="s">
        <v>38</v>
      </c>
      <c r="D411" s="3" t="s">
        <v>549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216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205</v>
      </c>
      <c r="AE411" s="1" t="s">
        <v>213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>
        <v>0.123</v>
      </c>
      <c r="AS411" s="6" t="s">
        <v>49</v>
      </c>
      <c r="AT411" s="6" t="s">
        <v>49</v>
      </c>
      <c r="AU411" s="6" t="s">
        <v>49</v>
      </c>
      <c r="AV411" s="1" t="s">
        <v>49</v>
      </c>
      <c r="AW411" s="30" t="s">
        <v>49</v>
      </c>
    </row>
    <row r="412" spans="1:49">
      <c r="A412" s="1">
        <v>20</v>
      </c>
      <c r="B412" s="1" t="s">
        <v>38</v>
      </c>
      <c r="C412" s="1" t="s">
        <v>38</v>
      </c>
      <c r="D412" s="3" t="s">
        <v>549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216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206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>
        <v>0.183</v>
      </c>
      <c r="AS412" s="6" t="s">
        <v>49</v>
      </c>
      <c r="AT412" s="6" t="s">
        <v>49</v>
      </c>
      <c r="AU412" s="6" t="s">
        <v>49</v>
      </c>
      <c r="AV412" s="1" t="s">
        <v>49</v>
      </c>
      <c r="AW412" s="30" t="s">
        <v>49</v>
      </c>
    </row>
    <row r="413" spans="1:49">
      <c r="A413" s="1">
        <v>20</v>
      </c>
      <c r="B413" s="1" t="s">
        <v>38</v>
      </c>
      <c r="C413" s="1" t="s">
        <v>38</v>
      </c>
      <c r="D413" s="3" t="s">
        <v>549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216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206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>
        <v>9.4E-2</v>
      </c>
      <c r="AS413" s="6" t="s">
        <v>49</v>
      </c>
      <c r="AT413" s="6" t="s">
        <v>49</v>
      </c>
      <c r="AU413" s="6" t="s">
        <v>49</v>
      </c>
      <c r="AV413" s="1" t="s">
        <v>49</v>
      </c>
      <c r="AW413" s="30" t="s">
        <v>49</v>
      </c>
    </row>
    <row r="414" spans="1:49">
      <c r="A414" s="1">
        <v>20</v>
      </c>
      <c r="B414" s="1" t="s">
        <v>38</v>
      </c>
      <c r="C414" s="1" t="s">
        <v>38</v>
      </c>
      <c r="D414" s="3" t="s">
        <v>549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216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206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>
        <v>0.251</v>
      </c>
      <c r="AS414" s="6" t="s">
        <v>49</v>
      </c>
      <c r="AT414" s="6" t="s">
        <v>49</v>
      </c>
      <c r="AU414" s="6" t="s">
        <v>49</v>
      </c>
      <c r="AV414" s="1" t="s">
        <v>49</v>
      </c>
      <c r="AW414" s="30" t="s">
        <v>49</v>
      </c>
    </row>
    <row r="415" spans="1:49">
      <c r="A415" s="1">
        <v>20</v>
      </c>
      <c r="B415" s="1" t="s">
        <v>38</v>
      </c>
      <c r="C415" s="1" t="s">
        <v>38</v>
      </c>
      <c r="D415" s="3" t="s">
        <v>549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216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206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>
        <v>-0.04</v>
      </c>
      <c r="AS415" s="6" t="s">
        <v>49</v>
      </c>
      <c r="AT415" s="6" t="s">
        <v>49</v>
      </c>
      <c r="AU415" s="6" t="s">
        <v>49</v>
      </c>
      <c r="AV415" s="1" t="s">
        <v>49</v>
      </c>
      <c r="AW415" s="30" t="s">
        <v>49</v>
      </c>
    </row>
    <row r="416" spans="1:49">
      <c r="A416" s="1">
        <v>20</v>
      </c>
      <c r="B416" s="1" t="s">
        <v>38</v>
      </c>
      <c r="C416" s="1" t="s">
        <v>38</v>
      </c>
      <c r="D416" s="3" t="s">
        <v>549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216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207</v>
      </c>
      <c r="AE416" s="1" t="s">
        <v>198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>
        <v>-4.1000000000000002E-2</v>
      </c>
      <c r="AS416" s="6" t="s">
        <v>49</v>
      </c>
      <c r="AT416" s="6" t="s">
        <v>49</v>
      </c>
      <c r="AU416" s="6" t="s">
        <v>49</v>
      </c>
      <c r="AV416" s="1" t="s">
        <v>49</v>
      </c>
      <c r="AW416" s="30" t="s">
        <v>49</v>
      </c>
    </row>
    <row r="417" spans="1:49">
      <c r="A417" s="1">
        <v>20</v>
      </c>
      <c r="B417" s="1" t="s">
        <v>38</v>
      </c>
      <c r="C417" s="1" t="s">
        <v>38</v>
      </c>
      <c r="D417" s="3" t="s">
        <v>549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216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207</v>
      </c>
      <c r="AE417" s="1" t="s">
        <v>214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>
        <v>-0.153</v>
      </c>
      <c r="AS417" s="6" t="s">
        <v>49</v>
      </c>
      <c r="AT417" s="6" t="s">
        <v>49</v>
      </c>
      <c r="AU417" s="6" t="s">
        <v>49</v>
      </c>
      <c r="AV417" s="1" t="s">
        <v>49</v>
      </c>
      <c r="AW417" s="30" t="s">
        <v>49</v>
      </c>
    </row>
    <row r="418" spans="1:49">
      <c r="A418" s="1">
        <v>20</v>
      </c>
      <c r="B418" s="1" t="s">
        <v>38</v>
      </c>
      <c r="C418" s="1" t="s">
        <v>38</v>
      </c>
      <c r="D418" s="3" t="s">
        <v>549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216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207</v>
      </c>
      <c r="AE418" s="1" t="s">
        <v>213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>
        <v>-0.20200000000000001</v>
      </c>
      <c r="AS418" s="6" t="s">
        <v>49</v>
      </c>
      <c r="AT418" s="6" t="s">
        <v>49</v>
      </c>
      <c r="AU418" s="6" t="s">
        <v>49</v>
      </c>
      <c r="AV418" s="1" t="s">
        <v>49</v>
      </c>
      <c r="AW418" s="30" t="s">
        <v>49</v>
      </c>
    </row>
    <row r="419" spans="1:49">
      <c r="A419" s="1">
        <v>20</v>
      </c>
      <c r="B419" s="1" t="s">
        <v>38</v>
      </c>
      <c r="C419" s="1" t="s">
        <v>38</v>
      </c>
      <c r="D419" s="3" t="s">
        <v>549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216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198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>
        <v>0.39100000000000001</v>
      </c>
      <c r="AS419" s="6" t="s">
        <v>49</v>
      </c>
      <c r="AT419" s="6" t="s">
        <v>49</v>
      </c>
      <c r="AU419" s="6" t="s">
        <v>49</v>
      </c>
      <c r="AV419" s="1" t="s">
        <v>49</v>
      </c>
      <c r="AW419" s="30" t="s">
        <v>49</v>
      </c>
    </row>
    <row r="420" spans="1:49">
      <c r="A420" s="1">
        <v>20</v>
      </c>
      <c r="B420" s="1" t="s">
        <v>38</v>
      </c>
      <c r="C420" s="1" t="s">
        <v>38</v>
      </c>
      <c r="D420" s="3" t="s">
        <v>549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216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198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>
        <v>7.2999999999999995E-2</v>
      </c>
      <c r="AS420" s="6" t="s">
        <v>49</v>
      </c>
      <c r="AT420" s="6" t="s">
        <v>49</v>
      </c>
      <c r="AU420" s="6" t="s">
        <v>49</v>
      </c>
      <c r="AV420" s="1" t="s">
        <v>49</v>
      </c>
      <c r="AW420" s="30" t="s">
        <v>49</v>
      </c>
    </row>
    <row r="421" spans="1:49">
      <c r="A421" s="1">
        <v>20</v>
      </c>
      <c r="B421" s="1" t="s">
        <v>38</v>
      </c>
      <c r="C421" s="1" t="s">
        <v>38</v>
      </c>
      <c r="D421" s="3" t="s">
        <v>549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216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214</v>
      </c>
      <c r="AE421" s="1" t="s">
        <v>213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>
        <v>0.111</v>
      </c>
      <c r="AS421" s="6" t="s">
        <v>49</v>
      </c>
      <c r="AT421" s="6" t="s">
        <v>49</v>
      </c>
      <c r="AU421" s="6" t="s">
        <v>49</v>
      </c>
      <c r="AV421" s="1" t="s">
        <v>49</v>
      </c>
      <c r="AW421" s="30" t="s">
        <v>49</v>
      </c>
    </row>
    <row r="422" spans="1:49">
      <c r="A422" s="1">
        <v>20</v>
      </c>
      <c r="B422" s="1" t="s">
        <v>38</v>
      </c>
      <c r="C422" s="1" t="s">
        <v>38</v>
      </c>
      <c r="D422" s="3" t="s">
        <v>549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201</v>
      </c>
      <c r="AC422" s="1" t="s">
        <v>202</v>
      </c>
      <c r="AD422" s="1" t="s">
        <v>203</v>
      </c>
      <c r="AE422" s="1" t="s">
        <v>203</v>
      </c>
      <c r="AF422" s="1" t="s">
        <v>53</v>
      </c>
      <c r="AG422" s="1" t="s">
        <v>53</v>
      </c>
      <c r="AH422" s="1" t="s">
        <v>199</v>
      </c>
      <c r="AI422" s="1" t="s">
        <v>200</v>
      </c>
      <c r="AJ422" s="1">
        <v>15</v>
      </c>
      <c r="AK422" s="1">
        <v>60</v>
      </c>
      <c r="AL422" s="2">
        <v>0.57299999999999995</v>
      </c>
      <c r="AM422" s="3">
        <v>102.2</v>
      </c>
      <c r="AN422" s="3">
        <f>11.13^2</f>
        <v>123.87690000000002</v>
      </c>
      <c r="AO422" s="1" t="s">
        <v>49</v>
      </c>
      <c r="AP422" s="6">
        <v>1</v>
      </c>
      <c r="AQ422" s="6" t="s">
        <v>49</v>
      </c>
      <c r="AR422" s="6" t="s">
        <v>49</v>
      </c>
      <c r="AS422" s="1">
        <f t="shared" ref="AS422:AS427" si="35">AL422*AN422</f>
        <v>70.981463700000006</v>
      </c>
      <c r="AT422" s="4">
        <f t="shared" ref="AT422:AT427" si="36">AS422/(AM422^2)*100</f>
        <v>0.67958402139238139</v>
      </c>
      <c r="AU422" s="5">
        <v>0</v>
      </c>
      <c r="AV422" s="4">
        <f t="shared" ref="AV422:AV427" si="37">AT422*(1-AL422)/AL422</f>
        <v>0.50642648714580607</v>
      </c>
      <c r="AW422" s="29" t="s">
        <v>215</v>
      </c>
    </row>
    <row r="423" spans="1:49">
      <c r="A423" s="1">
        <v>20</v>
      </c>
      <c r="B423" s="1" t="s">
        <v>38</v>
      </c>
      <c r="C423" s="1" t="s">
        <v>38</v>
      </c>
      <c r="D423" s="3" t="s">
        <v>549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208</v>
      </c>
      <c r="AC423" s="1" t="s">
        <v>209</v>
      </c>
      <c r="AD423" s="1" t="s">
        <v>210</v>
      </c>
      <c r="AE423" s="1" t="s">
        <v>210</v>
      </c>
      <c r="AF423" s="1" t="s">
        <v>53</v>
      </c>
      <c r="AG423" s="1" t="s">
        <v>53</v>
      </c>
      <c r="AH423" s="1" t="s">
        <v>199</v>
      </c>
      <c r="AI423" s="1" t="s">
        <v>200</v>
      </c>
      <c r="AJ423" s="1">
        <v>15</v>
      </c>
      <c r="AK423" s="1">
        <v>60</v>
      </c>
      <c r="AL423" s="2">
        <v>0.58499999999999996</v>
      </c>
      <c r="AM423" s="3">
        <v>92.4</v>
      </c>
      <c r="AN423" s="3">
        <f>20.69^2</f>
        <v>428.07610000000005</v>
      </c>
      <c r="AO423" s="1" t="s">
        <v>49</v>
      </c>
      <c r="AP423" s="6">
        <v>1</v>
      </c>
      <c r="AQ423" s="6" t="s">
        <v>49</v>
      </c>
      <c r="AR423" s="6" t="s">
        <v>49</v>
      </c>
      <c r="AS423" s="1">
        <f t="shared" si="35"/>
        <v>250.4245185</v>
      </c>
      <c r="AT423" s="4">
        <f t="shared" si="36"/>
        <v>2.9331407594029346</v>
      </c>
      <c r="AU423" s="5">
        <v>0</v>
      </c>
      <c r="AV423" s="4">
        <f t="shared" si="37"/>
        <v>2.0807750686362705</v>
      </c>
      <c r="AW423" s="29" t="s">
        <v>215</v>
      </c>
    </row>
    <row r="424" spans="1:49">
      <c r="A424" s="1">
        <v>20</v>
      </c>
      <c r="B424" s="1" t="s">
        <v>38</v>
      </c>
      <c r="C424" s="1" t="s">
        <v>38</v>
      </c>
      <c r="D424" s="3" t="s">
        <v>549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208</v>
      </c>
      <c r="AC424" s="1" t="s">
        <v>211</v>
      </c>
      <c r="AD424" s="1" t="s">
        <v>212</v>
      </c>
      <c r="AE424" s="1" t="s">
        <v>212</v>
      </c>
      <c r="AF424" s="1" t="s">
        <v>60</v>
      </c>
      <c r="AG424" s="1" t="s">
        <v>173</v>
      </c>
      <c r="AH424" s="1" t="s">
        <v>199</v>
      </c>
      <c r="AI424" s="1" t="s">
        <v>200</v>
      </c>
      <c r="AJ424" s="1">
        <v>15</v>
      </c>
      <c r="AK424" s="1">
        <v>60</v>
      </c>
      <c r="AL424" s="2">
        <v>0.435</v>
      </c>
      <c r="AM424" s="3">
        <v>38</v>
      </c>
      <c r="AN424" s="3">
        <f>7^2</f>
        <v>49</v>
      </c>
      <c r="AO424" s="1" t="s">
        <v>49</v>
      </c>
      <c r="AP424" s="6">
        <v>1</v>
      </c>
      <c r="AQ424" s="6" t="s">
        <v>49</v>
      </c>
      <c r="AR424" s="6" t="s">
        <v>49</v>
      </c>
      <c r="AS424" s="1">
        <f t="shared" si="35"/>
        <v>21.315000000000001</v>
      </c>
      <c r="AT424" s="4">
        <f t="shared" si="36"/>
        <v>1.4761080332409975</v>
      </c>
      <c r="AU424" s="5">
        <v>0</v>
      </c>
      <c r="AV424" s="4">
        <f t="shared" si="37"/>
        <v>1.9172437673130196</v>
      </c>
      <c r="AW424" s="29" t="s">
        <v>215</v>
      </c>
    </row>
    <row r="425" spans="1:49">
      <c r="A425" s="1">
        <v>20</v>
      </c>
      <c r="B425" s="1" t="s">
        <v>38</v>
      </c>
      <c r="C425" s="1" t="s">
        <v>38</v>
      </c>
      <c r="D425" s="3" t="s">
        <v>549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201</v>
      </c>
      <c r="AC425" s="1" t="s">
        <v>204</v>
      </c>
      <c r="AD425" s="1" t="s">
        <v>205</v>
      </c>
      <c r="AE425" s="1" t="s">
        <v>205</v>
      </c>
      <c r="AF425" s="1" t="s">
        <v>53</v>
      </c>
      <c r="AG425" s="1" t="s">
        <v>53</v>
      </c>
      <c r="AH425" s="1" t="s">
        <v>199</v>
      </c>
      <c r="AI425" s="1" t="s">
        <v>200</v>
      </c>
      <c r="AJ425" s="1">
        <v>15</v>
      </c>
      <c r="AK425" s="1">
        <v>60</v>
      </c>
      <c r="AL425" s="2">
        <v>0.4</v>
      </c>
      <c r="AM425" s="3">
        <v>3.9</v>
      </c>
      <c r="AN425" s="3">
        <f>0.83^2</f>
        <v>0.68889999999999996</v>
      </c>
      <c r="AO425" s="1" t="s">
        <v>49</v>
      </c>
      <c r="AP425" s="6">
        <v>1</v>
      </c>
      <c r="AQ425" s="6" t="s">
        <v>49</v>
      </c>
      <c r="AR425" s="6" t="s">
        <v>49</v>
      </c>
      <c r="AS425" s="1">
        <f t="shared" si="35"/>
        <v>0.27555999999999997</v>
      </c>
      <c r="AT425" s="4">
        <f t="shared" si="36"/>
        <v>1.8117028270874425</v>
      </c>
      <c r="AU425" s="5">
        <v>0</v>
      </c>
      <c r="AV425" s="4">
        <f t="shared" si="37"/>
        <v>2.7175542406311637</v>
      </c>
      <c r="AW425" s="29" t="s">
        <v>215</v>
      </c>
    </row>
    <row r="426" spans="1:49">
      <c r="A426" s="1">
        <v>20</v>
      </c>
      <c r="B426" s="1" t="s">
        <v>38</v>
      </c>
      <c r="C426" s="1" t="s">
        <v>38</v>
      </c>
      <c r="D426" s="3" t="s">
        <v>549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201</v>
      </c>
      <c r="AC426" s="1" t="s">
        <v>204</v>
      </c>
      <c r="AD426" s="1" t="s">
        <v>206</v>
      </c>
      <c r="AE426" s="1" t="s">
        <v>206</v>
      </c>
      <c r="AF426" s="1" t="s">
        <v>53</v>
      </c>
      <c r="AG426" s="1" t="s">
        <v>53</v>
      </c>
      <c r="AH426" s="1" t="s">
        <v>199</v>
      </c>
      <c r="AI426" s="1" t="s">
        <v>200</v>
      </c>
      <c r="AJ426" s="1">
        <v>15</v>
      </c>
      <c r="AK426" s="1">
        <v>60</v>
      </c>
      <c r="AL426" s="2">
        <v>0.746</v>
      </c>
      <c r="AM426" s="3">
        <v>5025</v>
      </c>
      <c r="AN426" s="3">
        <f>1564^2</f>
        <v>2446096</v>
      </c>
      <c r="AO426" s="1" t="s">
        <v>49</v>
      </c>
      <c r="AP426" s="6">
        <v>1</v>
      </c>
      <c r="AQ426" s="6" t="s">
        <v>49</v>
      </c>
      <c r="AR426" s="6" t="s">
        <v>49</v>
      </c>
      <c r="AS426" s="1">
        <f t="shared" si="35"/>
        <v>1824787.6159999999</v>
      </c>
      <c r="AT426" s="4">
        <f t="shared" si="36"/>
        <v>7.2267027687433485</v>
      </c>
      <c r="AU426" s="5">
        <v>0</v>
      </c>
      <c r="AV426" s="4">
        <f t="shared" si="37"/>
        <v>2.4605663582584594</v>
      </c>
      <c r="AW426" s="29" t="s">
        <v>215</v>
      </c>
    </row>
    <row r="427" spans="1:49">
      <c r="A427" s="1">
        <v>20</v>
      </c>
      <c r="B427" s="1" t="s">
        <v>38</v>
      </c>
      <c r="C427" s="1" t="s">
        <v>38</v>
      </c>
      <c r="D427" s="3" t="s">
        <v>549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201</v>
      </c>
      <c r="AC427" s="1" t="s">
        <v>204</v>
      </c>
      <c r="AD427" s="1" t="s">
        <v>207</v>
      </c>
      <c r="AE427" s="1" t="s">
        <v>207</v>
      </c>
      <c r="AF427" s="1" t="s">
        <v>60</v>
      </c>
      <c r="AG427" s="1" t="s">
        <v>173</v>
      </c>
      <c r="AH427" s="1" t="s">
        <v>199</v>
      </c>
      <c r="AI427" s="1" t="s">
        <v>200</v>
      </c>
      <c r="AJ427" s="1">
        <v>15</v>
      </c>
      <c r="AK427" s="1">
        <v>60</v>
      </c>
      <c r="AL427" s="2">
        <v>0.40100000000000002</v>
      </c>
      <c r="AM427" s="3">
        <v>3592</v>
      </c>
      <c r="AN427" s="3">
        <f>382^2</f>
        <v>145924</v>
      </c>
      <c r="AO427" s="1" t="s">
        <v>49</v>
      </c>
      <c r="AP427" s="6">
        <v>1</v>
      </c>
      <c r="AQ427" s="6" t="s">
        <v>49</v>
      </c>
      <c r="AR427" s="6" t="s">
        <v>49</v>
      </c>
      <c r="AS427" s="1">
        <f t="shared" si="35"/>
        <v>58515.524000000005</v>
      </c>
      <c r="AT427" s="4">
        <f t="shared" si="36"/>
        <v>0.45352208694401325</v>
      </c>
      <c r="AU427" s="5">
        <v>0</v>
      </c>
      <c r="AV427" s="4">
        <f t="shared" si="37"/>
        <v>0.67745568598370054</v>
      </c>
      <c r="AW427" s="29" t="s">
        <v>215</v>
      </c>
    </row>
    <row r="428" spans="1:49">
      <c r="A428" s="1">
        <v>20</v>
      </c>
      <c r="B428" s="1" t="s">
        <v>38</v>
      </c>
      <c r="C428" s="1" t="s">
        <v>38</v>
      </c>
      <c r="D428" s="3" t="s">
        <v>549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196</v>
      </c>
      <c r="AC428" s="1" t="s">
        <v>197</v>
      </c>
      <c r="AD428" s="1" t="s">
        <v>198</v>
      </c>
      <c r="AE428" s="1" t="s">
        <v>198</v>
      </c>
      <c r="AF428" s="1" t="s">
        <v>60</v>
      </c>
      <c r="AG428" s="1" t="s">
        <v>60</v>
      </c>
      <c r="AH428" s="1" t="s">
        <v>199</v>
      </c>
      <c r="AI428" s="1" t="s">
        <v>200</v>
      </c>
      <c r="AJ428" s="1">
        <v>15</v>
      </c>
      <c r="AK428" s="1">
        <v>60</v>
      </c>
      <c r="AL428" s="2">
        <v>0.44800000000000001</v>
      </c>
      <c r="AM428" s="3">
        <v>38</v>
      </c>
      <c r="AN428" s="3">
        <f>9^2</f>
        <v>81</v>
      </c>
      <c r="AO428" s="1" t="s">
        <v>49</v>
      </c>
      <c r="AP428" s="6">
        <v>1</v>
      </c>
      <c r="AQ428" s="6" t="s">
        <v>49</v>
      </c>
      <c r="AR428" s="6" t="s">
        <v>49</v>
      </c>
      <c r="AS428" s="1">
        <f t="shared" ref="AS428:AS430" si="38">AL428*AN428</f>
        <v>36.288000000000004</v>
      </c>
      <c r="AT428" s="4">
        <f t="shared" ref="AT428:AT430" si="39">AS428/(AM428^2)*100</f>
        <v>2.5130193905817175</v>
      </c>
      <c r="AU428" s="5">
        <v>0</v>
      </c>
      <c r="AV428" s="4">
        <f t="shared" ref="AV428:AV430" si="40">AT428*(1-AL428)/AL428</f>
        <v>3.0963988919667593</v>
      </c>
      <c r="AW428" s="29" t="s">
        <v>215</v>
      </c>
    </row>
    <row r="429" spans="1:49">
      <c r="A429" s="1">
        <v>20</v>
      </c>
      <c r="B429" s="1" t="s">
        <v>38</v>
      </c>
      <c r="C429" s="1" t="s">
        <v>38</v>
      </c>
      <c r="D429" s="3" t="s">
        <v>549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124</v>
      </c>
      <c r="AD429" s="1" t="s">
        <v>214</v>
      </c>
      <c r="AE429" s="1" t="s">
        <v>214</v>
      </c>
      <c r="AF429" s="1" t="s">
        <v>53</v>
      </c>
      <c r="AG429" s="1" t="s">
        <v>53</v>
      </c>
      <c r="AH429" s="1" t="s">
        <v>199</v>
      </c>
      <c r="AI429" s="1" t="s">
        <v>200</v>
      </c>
      <c r="AJ429" s="1">
        <v>15</v>
      </c>
      <c r="AK429" s="1">
        <v>60</v>
      </c>
      <c r="AL429" s="2">
        <v>0.87</v>
      </c>
      <c r="AM429" s="3">
        <v>2.9</v>
      </c>
      <c r="AN429" s="3">
        <f>1.07^2</f>
        <v>1.1449</v>
      </c>
      <c r="AO429" s="1" t="s">
        <v>49</v>
      </c>
      <c r="AP429" s="6">
        <v>1</v>
      </c>
      <c r="AQ429" s="6" t="s">
        <v>49</v>
      </c>
      <c r="AR429" s="6" t="s">
        <v>49</v>
      </c>
      <c r="AS429" s="1">
        <f>AL429*AN429</f>
        <v>0.99606300000000003</v>
      </c>
      <c r="AT429" s="4">
        <f>AS429/(AM429^2)*100</f>
        <v>11.843793103448276</v>
      </c>
      <c r="AU429" s="5">
        <v>0</v>
      </c>
      <c r="AV429" s="4">
        <f>AT429*(1-AL429)/AL429</f>
        <v>1.7697621878715815</v>
      </c>
      <c r="AW429" s="29" t="s">
        <v>215</v>
      </c>
    </row>
    <row r="430" spans="1:49">
      <c r="A430" s="1">
        <v>20</v>
      </c>
      <c r="B430" s="1" t="s">
        <v>38</v>
      </c>
      <c r="C430" s="1" t="s">
        <v>38</v>
      </c>
      <c r="D430" s="3" t="s">
        <v>549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124</v>
      </c>
      <c r="AD430" s="1" t="s">
        <v>213</v>
      </c>
      <c r="AE430" s="1" t="s">
        <v>213</v>
      </c>
      <c r="AF430" s="1" t="s">
        <v>60</v>
      </c>
      <c r="AG430" s="1" t="s">
        <v>129</v>
      </c>
      <c r="AH430" s="1" t="s">
        <v>199</v>
      </c>
      <c r="AI430" s="1" t="s">
        <v>200</v>
      </c>
      <c r="AJ430" s="1">
        <v>15</v>
      </c>
      <c r="AK430" s="1">
        <v>60</v>
      </c>
      <c r="AL430" s="2">
        <v>0.71499999999999997</v>
      </c>
      <c r="AM430" s="3">
        <v>4.9000000000000004</v>
      </c>
      <c r="AN430" s="3">
        <f>1.11^2</f>
        <v>1.2321000000000002</v>
      </c>
      <c r="AO430" s="1" t="s">
        <v>49</v>
      </c>
      <c r="AP430" s="6">
        <v>1</v>
      </c>
      <c r="AQ430" s="6" t="s">
        <v>49</v>
      </c>
      <c r="AR430" s="6" t="s">
        <v>49</v>
      </c>
      <c r="AS430" s="1">
        <f t="shared" si="38"/>
        <v>0.88095150000000011</v>
      </c>
      <c r="AT430" s="4">
        <f t="shared" si="39"/>
        <v>3.6691024573094539</v>
      </c>
      <c r="AU430" s="5">
        <v>0</v>
      </c>
      <c r="AV430" s="4">
        <f t="shared" si="40"/>
        <v>1.4625093710953767</v>
      </c>
      <c r="AW430" s="29" t="s">
        <v>215</v>
      </c>
    </row>
    <row r="431" spans="1:49">
      <c r="A431" s="1">
        <v>20</v>
      </c>
      <c r="B431" s="1" t="s">
        <v>38</v>
      </c>
      <c r="C431" s="1" t="s">
        <v>38</v>
      </c>
      <c r="D431" s="3" t="s">
        <v>549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217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203</v>
      </c>
      <c r="AE431" s="1" t="s">
        <v>210</v>
      </c>
      <c r="AF431" s="1" t="s">
        <v>49</v>
      </c>
      <c r="AG431" s="1" t="s">
        <v>49</v>
      </c>
      <c r="AH431" s="1" t="s">
        <v>199</v>
      </c>
      <c r="AI431" s="1" t="s">
        <v>200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>
        <v>0.33600000000000002</v>
      </c>
      <c r="AS431" s="6" t="s">
        <v>49</v>
      </c>
      <c r="AT431" s="6" t="s">
        <v>49</v>
      </c>
      <c r="AU431" s="6" t="s">
        <v>49</v>
      </c>
      <c r="AV431" s="1" t="s">
        <v>49</v>
      </c>
      <c r="AW431" s="30" t="s">
        <v>49</v>
      </c>
    </row>
    <row r="432" spans="1:49">
      <c r="A432" s="1">
        <v>20</v>
      </c>
      <c r="B432" s="1" t="s">
        <v>38</v>
      </c>
      <c r="C432" s="1" t="s">
        <v>38</v>
      </c>
      <c r="D432" s="3" t="s">
        <v>549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217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203</v>
      </c>
      <c r="AE432" s="1" t="s">
        <v>212</v>
      </c>
      <c r="AF432" s="1" t="s">
        <v>49</v>
      </c>
      <c r="AG432" s="1" t="s">
        <v>49</v>
      </c>
      <c r="AH432" s="1" t="s">
        <v>199</v>
      </c>
      <c r="AI432" s="1" t="s">
        <v>200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>
        <v>5.7000000000000002E-2</v>
      </c>
      <c r="AS432" s="6" t="s">
        <v>49</v>
      </c>
      <c r="AT432" s="6" t="s">
        <v>49</v>
      </c>
      <c r="AU432" s="6" t="s">
        <v>49</v>
      </c>
      <c r="AV432" s="1" t="s">
        <v>49</v>
      </c>
      <c r="AW432" s="30" t="s">
        <v>49</v>
      </c>
    </row>
    <row r="433" spans="1:49">
      <c r="A433" s="1">
        <v>20</v>
      </c>
      <c r="B433" s="1" t="s">
        <v>38</v>
      </c>
      <c r="C433" s="1" t="s">
        <v>38</v>
      </c>
      <c r="D433" s="3" t="s">
        <v>549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217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203</v>
      </c>
      <c r="AE433" s="1" t="s">
        <v>205</v>
      </c>
      <c r="AF433" s="1" t="s">
        <v>49</v>
      </c>
      <c r="AG433" s="1" t="s">
        <v>49</v>
      </c>
      <c r="AH433" s="1" t="s">
        <v>199</v>
      </c>
      <c r="AI433" s="1" t="s">
        <v>200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>
        <v>-6.3E-2</v>
      </c>
      <c r="AS433" s="6" t="s">
        <v>49</v>
      </c>
      <c r="AT433" s="6" t="s">
        <v>49</v>
      </c>
      <c r="AU433" s="6" t="s">
        <v>49</v>
      </c>
      <c r="AV433" s="1" t="s">
        <v>49</v>
      </c>
      <c r="AW433" s="30" t="s">
        <v>49</v>
      </c>
    </row>
    <row r="434" spans="1:49">
      <c r="A434" s="1">
        <v>20</v>
      </c>
      <c r="B434" s="1" t="s">
        <v>38</v>
      </c>
      <c r="C434" s="1" t="s">
        <v>38</v>
      </c>
      <c r="D434" s="3" t="s">
        <v>549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217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203</v>
      </c>
      <c r="AE434" s="1" t="s">
        <v>206</v>
      </c>
      <c r="AF434" s="1" t="s">
        <v>49</v>
      </c>
      <c r="AG434" s="1" t="s">
        <v>49</v>
      </c>
      <c r="AH434" s="1" t="s">
        <v>199</v>
      </c>
      <c r="AI434" s="1" t="s">
        <v>200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>
        <v>0.11799999999999999</v>
      </c>
      <c r="AS434" s="6" t="s">
        <v>49</v>
      </c>
      <c r="AT434" s="6" t="s">
        <v>49</v>
      </c>
      <c r="AU434" s="6" t="s">
        <v>49</v>
      </c>
      <c r="AV434" s="1" t="s">
        <v>49</v>
      </c>
      <c r="AW434" s="30" t="s">
        <v>49</v>
      </c>
    </row>
    <row r="435" spans="1:49">
      <c r="A435" s="1">
        <v>20</v>
      </c>
      <c r="B435" s="1" t="s">
        <v>38</v>
      </c>
      <c r="C435" s="1" t="s">
        <v>38</v>
      </c>
      <c r="D435" s="3" t="s">
        <v>549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217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203</v>
      </c>
      <c r="AE435" s="1" t="s">
        <v>207</v>
      </c>
      <c r="AF435" s="1" t="s">
        <v>49</v>
      </c>
      <c r="AG435" s="1" t="s">
        <v>49</v>
      </c>
      <c r="AH435" s="1" t="s">
        <v>199</v>
      </c>
      <c r="AI435" s="1" t="s">
        <v>200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>
        <v>6.0999999999999999E-2</v>
      </c>
      <c r="AS435" s="6" t="s">
        <v>49</v>
      </c>
      <c r="AT435" s="6" t="s">
        <v>49</v>
      </c>
      <c r="AU435" s="6" t="s">
        <v>49</v>
      </c>
      <c r="AV435" s="1" t="s">
        <v>49</v>
      </c>
      <c r="AW435" s="30" t="s">
        <v>49</v>
      </c>
    </row>
    <row r="436" spans="1:49">
      <c r="A436" s="1">
        <v>20</v>
      </c>
      <c r="B436" s="1" t="s">
        <v>38</v>
      </c>
      <c r="C436" s="1" t="s">
        <v>38</v>
      </c>
      <c r="D436" s="3" t="s">
        <v>549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217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203</v>
      </c>
      <c r="AE436" s="1" t="s">
        <v>198</v>
      </c>
      <c r="AF436" s="1" t="s">
        <v>49</v>
      </c>
      <c r="AG436" s="1" t="s">
        <v>49</v>
      </c>
      <c r="AH436" s="1" t="s">
        <v>199</v>
      </c>
      <c r="AI436" s="1" t="s">
        <v>200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6" t="s">
        <v>49</v>
      </c>
      <c r="AV436" s="1" t="s">
        <v>49</v>
      </c>
      <c r="AW436" s="30" t="s">
        <v>49</v>
      </c>
    </row>
    <row r="437" spans="1:49">
      <c r="A437" s="1">
        <v>20</v>
      </c>
      <c r="B437" s="1" t="s">
        <v>38</v>
      </c>
      <c r="C437" s="1" t="s">
        <v>38</v>
      </c>
      <c r="D437" s="3" t="s">
        <v>549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217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203</v>
      </c>
      <c r="AE437" s="1" t="s">
        <v>214</v>
      </c>
      <c r="AF437" s="1" t="s">
        <v>49</v>
      </c>
      <c r="AG437" s="1" t="s">
        <v>49</v>
      </c>
      <c r="AH437" s="1" t="s">
        <v>199</v>
      </c>
      <c r="AI437" s="1" t="s">
        <v>200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>
        <v>3.4000000000000002E-2</v>
      </c>
      <c r="AS437" s="6" t="s">
        <v>49</v>
      </c>
      <c r="AT437" s="6" t="s">
        <v>49</v>
      </c>
      <c r="AU437" s="6" t="s">
        <v>49</v>
      </c>
      <c r="AV437" s="1" t="s">
        <v>49</v>
      </c>
      <c r="AW437" s="30" t="s">
        <v>49</v>
      </c>
    </row>
    <row r="438" spans="1:49">
      <c r="A438" s="1">
        <v>20</v>
      </c>
      <c r="B438" s="1" t="s">
        <v>38</v>
      </c>
      <c r="C438" s="1" t="s">
        <v>38</v>
      </c>
      <c r="D438" s="3" t="s">
        <v>549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217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203</v>
      </c>
      <c r="AE438" s="1" t="s">
        <v>213</v>
      </c>
      <c r="AF438" s="1" t="s">
        <v>49</v>
      </c>
      <c r="AG438" s="1" t="s">
        <v>49</v>
      </c>
      <c r="AH438" s="1" t="s">
        <v>199</v>
      </c>
      <c r="AI438" s="1" t="s">
        <v>200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>
        <v>0.32900000000000001</v>
      </c>
      <c r="AS438" s="6" t="s">
        <v>49</v>
      </c>
      <c r="AT438" s="6" t="s">
        <v>49</v>
      </c>
      <c r="AU438" s="6" t="s">
        <v>49</v>
      </c>
      <c r="AV438" s="1" t="s">
        <v>49</v>
      </c>
      <c r="AW438" s="30" t="s">
        <v>49</v>
      </c>
    </row>
    <row r="439" spans="1:49">
      <c r="A439" s="1">
        <v>20</v>
      </c>
      <c r="B439" s="1" t="s">
        <v>38</v>
      </c>
      <c r="C439" s="1" t="s">
        <v>38</v>
      </c>
      <c r="D439" s="3" t="s">
        <v>549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217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210</v>
      </c>
      <c r="AE439" s="1" t="s">
        <v>212</v>
      </c>
      <c r="AF439" s="1" t="s">
        <v>49</v>
      </c>
      <c r="AG439" s="1" t="s">
        <v>49</v>
      </c>
      <c r="AH439" s="1" t="s">
        <v>199</v>
      </c>
      <c r="AI439" s="1" t="s">
        <v>200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>
        <v>-0.152</v>
      </c>
      <c r="AS439" s="6" t="s">
        <v>49</v>
      </c>
      <c r="AT439" s="6" t="s">
        <v>49</v>
      </c>
      <c r="AU439" s="6" t="s">
        <v>49</v>
      </c>
      <c r="AV439" s="1" t="s">
        <v>49</v>
      </c>
      <c r="AW439" s="30" t="s">
        <v>49</v>
      </c>
    </row>
    <row r="440" spans="1:49">
      <c r="A440" s="1">
        <v>20</v>
      </c>
      <c r="B440" s="1" t="s">
        <v>38</v>
      </c>
      <c r="C440" s="1" t="s">
        <v>38</v>
      </c>
      <c r="D440" s="3" t="s">
        <v>549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217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210</v>
      </c>
      <c r="AE440" s="1" t="s">
        <v>205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>
        <v>-0.308</v>
      </c>
      <c r="AS440" s="6" t="s">
        <v>49</v>
      </c>
      <c r="AT440" s="6" t="s">
        <v>49</v>
      </c>
      <c r="AU440" s="6" t="s">
        <v>49</v>
      </c>
      <c r="AV440" s="1" t="s">
        <v>49</v>
      </c>
      <c r="AW440" s="30" t="s">
        <v>49</v>
      </c>
    </row>
    <row r="441" spans="1:49">
      <c r="A441" s="1">
        <v>20</v>
      </c>
      <c r="B441" s="1" t="s">
        <v>38</v>
      </c>
      <c r="C441" s="1" t="s">
        <v>38</v>
      </c>
      <c r="D441" s="3" t="s">
        <v>549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217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210</v>
      </c>
      <c r="AE441" s="1" t="s">
        <v>206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>
        <v>4.9000000000000002E-2</v>
      </c>
      <c r="AS441" s="6" t="s">
        <v>49</v>
      </c>
      <c r="AT441" s="6" t="s">
        <v>49</v>
      </c>
      <c r="AU441" s="6" t="s">
        <v>49</v>
      </c>
      <c r="AV441" s="1" t="s">
        <v>49</v>
      </c>
      <c r="AW441" s="30" t="s">
        <v>49</v>
      </c>
    </row>
    <row r="442" spans="1:49">
      <c r="A442" s="1">
        <v>20</v>
      </c>
      <c r="B442" s="1" t="s">
        <v>38</v>
      </c>
      <c r="C442" s="1" t="s">
        <v>38</v>
      </c>
      <c r="D442" s="3" t="s">
        <v>549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217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210</v>
      </c>
      <c r="AE442" s="1" t="s">
        <v>207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>
        <v>-8.7999999999999995E-2</v>
      </c>
      <c r="AS442" s="6" t="s">
        <v>49</v>
      </c>
      <c r="AT442" s="6" t="s">
        <v>49</v>
      </c>
      <c r="AU442" s="6" t="s">
        <v>49</v>
      </c>
      <c r="AV442" s="1" t="s">
        <v>49</v>
      </c>
      <c r="AW442" s="30" t="s">
        <v>49</v>
      </c>
    </row>
    <row r="443" spans="1:49">
      <c r="A443" s="1">
        <v>20</v>
      </c>
      <c r="B443" s="1" t="s">
        <v>38</v>
      </c>
      <c r="C443" s="1" t="s">
        <v>38</v>
      </c>
      <c r="D443" s="3" t="s">
        <v>549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217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210</v>
      </c>
      <c r="AE443" s="1" t="s">
        <v>198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>
        <v>-0.44700000000000001</v>
      </c>
      <c r="AS443" s="6" t="s">
        <v>49</v>
      </c>
      <c r="AT443" s="6" t="s">
        <v>49</v>
      </c>
      <c r="AU443" s="6" t="s">
        <v>49</v>
      </c>
      <c r="AV443" s="1" t="s">
        <v>49</v>
      </c>
      <c r="AW443" s="30" t="s">
        <v>49</v>
      </c>
    </row>
    <row r="444" spans="1:49">
      <c r="A444" s="1">
        <v>20</v>
      </c>
      <c r="B444" s="1" t="s">
        <v>38</v>
      </c>
      <c r="C444" s="1" t="s">
        <v>38</v>
      </c>
      <c r="D444" s="3" t="s">
        <v>549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217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210</v>
      </c>
      <c r="AE444" s="1" t="s">
        <v>214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>
        <v>-0.19700000000000001</v>
      </c>
      <c r="AS444" s="6" t="s">
        <v>49</v>
      </c>
      <c r="AT444" s="6" t="s">
        <v>49</v>
      </c>
      <c r="AU444" s="6" t="s">
        <v>49</v>
      </c>
      <c r="AV444" s="1" t="s">
        <v>49</v>
      </c>
      <c r="AW444" s="30" t="s">
        <v>49</v>
      </c>
    </row>
    <row r="445" spans="1:49">
      <c r="A445" s="1">
        <v>20</v>
      </c>
      <c r="B445" s="1" t="s">
        <v>38</v>
      </c>
      <c r="C445" s="1" t="s">
        <v>38</v>
      </c>
      <c r="D445" s="3" t="s">
        <v>549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217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210</v>
      </c>
      <c r="AE445" s="1" t="s">
        <v>213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>
        <v>8.5000000000000006E-2</v>
      </c>
      <c r="AS445" s="6" t="s">
        <v>49</v>
      </c>
      <c r="AT445" s="6" t="s">
        <v>49</v>
      </c>
      <c r="AU445" s="6" t="s">
        <v>49</v>
      </c>
      <c r="AV445" s="1" t="s">
        <v>49</v>
      </c>
      <c r="AW445" s="30" t="s">
        <v>49</v>
      </c>
    </row>
    <row r="446" spans="1:49">
      <c r="A446" s="1">
        <v>20</v>
      </c>
      <c r="B446" s="1" t="s">
        <v>38</v>
      </c>
      <c r="C446" s="1" t="s">
        <v>38</v>
      </c>
      <c r="D446" s="3" t="s">
        <v>549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217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212</v>
      </c>
      <c r="AE446" s="1" t="s">
        <v>205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>
        <v>0.126</v>
      </c>
      <c r="AS446" s="6" t="s">
        <v>49</v>
      </c>
      <c r="AT446" s="6" t="s">
        <v>49</v>
      </c>
      <c r="AU446" s="6" t="s">
        <v>49</v>
      </c>
      <c r="AV446" s="1" t="s">
        <v>49</v>
      </c>
      <c r="AW446" s="30" t="s">
        <v>49</v>
      </c>
    </row>
    <row r="447" spans="1:49">
      <c r="A447" s="1">
        <v>20</v>
      </c>
      <c r="B447" s="1" t="s">
        <v>38</v>
      </c>
      <c r="C447" s="1" t="s">
        <v>38</v>
      </c>
      <c r="D447" s="3" t="s">
        <v>549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217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212</v>
      </c>
      <c r="AE447" s="1" t="s">
        <v>206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>
        <v>5.0999999999999997E-2</v>
      </c>
      <c r="AS447" s="6" t="s">
        <v>49</v>
      </c>
      <c r="AT447" s="6" t="s">
        <v>49</v>
      </c>
      <c r="AU447" s="6" t="s">
        <v>49</v>
      </c>
      <c r="AV447" s="1" t="s">
        <v>49</v>
      </c>
      <c r="AW447" s="30" t="s">
        <v>49</v>
      </c>
    </row>
    <row r="448" spans="1:49">
      <c r="A448" s="1">
        <v>20</v>
      </c>
      <c r="B448" s="1" t="s">
        <v>38</v>
      </c>
      <c r="C448" s="1" t="s">
        <v>38</v>
      </c>
      <c r="D448" s="3" t="s">
        <v>549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217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212</v>
      </c>
      <c r="AE448" s="1" t="s">
        <v>207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>
        <v>0.13600000000000001</v>
      </c>
      <c r="AS448" s="6" t="s">
        <v>49</v>
      </c>
      <c r="AT448" s="6" t="s">
        <v>49</v>
      </c>
      <c r="AU448" s="6" t="s">
        <v>49</v>
      </c>
      <c r="AV448" s="1" t="s">
        <v>49</v>
      </c>
      <c r="AW448" s="30" t="s">
        <v>49</v>
      </c>
    </row>
    <row r="449" spans="1:49">
      <c r="A449" s="1">
        <v>20</v>
      </c>
      <c r="B449" s="1" t="s">
        <v>38</v>
      </c>
      <c r="C449" s="1" t="s">
        <v>38</v>
      </c>
      <c r="D449" s="3" t="s">
        <v>549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217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212</v>
      </c>
      <c r="AE449" s="1" t="s">
        <v>198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>
        <v>7.5999999999999998E-2</v>
      </c>
      <c r="AS449" s="6" t="s">
        <v>49</v>
      </c>
      <c r="AT449" s="6" t="s">
        <v>49</v>
      </c>
      <c r="AU449" s="6" t="s">
        <v>49</v>
      </c>
      <c r="AV449" s="1" t="s">
        <v>49</v>
      </c>
      <c r="AW449" s="30" t="s">
        <v>49</v>
      </c>
    </row>
    <row r="450" spans="1:49">
      <c r="A450" s="1">
        <v>20</v>
      </c>
      <c r="B450" s="1" t="s">
        <v>38</v>
      </c>
      <c r="C450" s="1" t="s">
        <v>38</v>
      </c>
      <c r="D450" s="3" t="s">
        <v>549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217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212</v>
      </c>
      <c r="AE450" s="1" t="s">
        <v>214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>
        <v>-5.2999999999999999E-2</v>
      </c>
      <c r="AS450" s="6" t="s">
        <v>49</v>
      </c>
      <c r="AT450" s="6" t="s">
        <v>49</v>
      </c>
      <c r="AU450" s="6" t="s">
        <v>49</v>
      </c>
      <c r="AV450" s="1" t="s">
        <v>49</v>
      </c>
      <c r="AW450" s="30" t="s">
        <v>49</v>
      </c>
    </row>
    <row r="451" spans="1:49">
      <c r="A451" s="1">
        <v>20</v>
      </c>
      <c r="B451" s="1" t="s">
        <v>38</v>
      </c>
      <c r="C451" s="1" t="s">
        <v>38</v>
      </c>
      <c r="D451" s="3" t="s">
        <v>549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217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212</v>
      </c>
      <c r="AE451" s="1" t="s">
        <v>213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>
        <v>-5.3999999999999999E-2</v>
      </c>
      <c r="AS451" s="6" t="s">
        <v>49</v>
      </c>
      <c r="AT451" s="6" t="s">
        <v>49</v>
      </c>
      <c r="AU451" s="6" t="s">
        <v>49</v>
      </c>
      <c r="AV451" s="1" t="s">
        <v>49</v>
      </c>
      <c r="AW451" s="30" t="s">
        <v>49</v>
      </c>
    </row>
    <row r="452" spans="1:49">
      <c r="A452" s="1">
        <v>20</v>
      </c>
      <c r="B452" s="1" t="s">
        <v>38</v>
      </c>
      <c r="C452" s="1" t="s">
        <v>38</v>
      </c>
      <c r="D452" s="3" t="s">
        <v>549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217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205</v>
      </c>
      <c r="AE452" s="1" t="s">
        <v>206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>
        <v>0.13200000000000001</v>
      </c>
      <c r="AS452" s="6" t="s">
        <v>49</v>
      </c>
      <c r="AT452" s="6" t="s">
        <v>49</v>
      </c>
      <c r="AU452" s="6" t="s">
        <v>49</v>
      </c>
      <c r="AV452" s="1" t="s">
        <v>49</v>
      </c>
      <c r="AW452" s="30" t="s">
        <v>49</v>
      </c>
    </row>
    <row r="453" spans="1:49">
      <c r="A453" s="1">
        <v>20</v>
      </c>
      <c r="B453" s="1" t="s">
        <v>38</v>
      </c>
      <c r="C453" s="1" t="s">
        <v>38</v>
      </c>
      <c r="D453" s="3" t="s">
        <v>549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217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205</v>
      </c>
      <c r="AE453" s="1" t="s">
        <v>207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>
        <v>-7.0000000000000001E-3</v>
      </c>
      <c r="AS453" s="6" t="s">
        <v>49</v>
      </c>
      <c r="AT453" s="6" t="s">
        <v>49</v>
      </c>
      <c r="AU453" s="6" t="s">
        <v>49</v>
      </c>
      <c r="AV453" s="1" t="s">
        <v>49</v>
      </c>
      <c r="AW453" s="30" t="s">
        <v>49</v>
      </c>
    </row>
    <row r="454" spans="1:49">
      <c r="A454" s="1">
        <v>20</v>
      </c>
      <c r="B454" s="1" t="s">
        <v>38</v>
      </c>
      <c r="C454" s="1" t="s">
        <v>38</v>
      </c>
      <c r="D454" s="3" t="s">
        <v>549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217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205</v>
      </c>
      <c r="AE454" s="1" t="s">
        <v>198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6" t="s">
        <v>49</v>
      </c>
      <c r="AV454" s="1" t="s">
        <v>49</v>
      </c>
      <c r="AW454" s="30" t="s">
        <v>49</v>
      </c>
    </row>
    <row r="455" spans="1:49">
      <c r="A455" s="1">
        <v>20</v>
      </c>
      <c r="B455" s="1" t="s">
        <v>38</v>
      </c>
      <c r="C455" s="1" t="s">
        <v>38</v>
      </c>
      <c r="D455" s="3" t="s">
        <v>549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217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205</v>
      </c>
      <c r="AE455" s="1" t="s">
        <v>214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>
        <v>-6.0000000000000001E-3</v>
      </c>
      <c r="AS455" s="6" t="s">
        <v>49</v>
      </c>
      <c r="AT455" s="6" t="s">
        <v>49</v>
      </c>
      <c r="AU455" s="6" t="s">
        <v>49</v>
      </c>
      <c r="AV455" s="1" t="s">
        <v>49</v>
      </c>
      <c r="AW455" s="30" t="s">
        <v>49</v>
      </c>
    </row>
    <row r="456" spans="1:49">
      <c r="A456" s="1">
        <v>20</v>
      </c>
      <c r="B456" s="1" t="s">
        <v>38</v>
      </c>
      <c r="C456" s="1" t="s">
        <v>38</v>
      </c>
      <c r="D456" s="3" t="s">
        <v>549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217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205</v>
      </c>
      <c r="AE456" s="1" t="s">
        <v>213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>
        <v>-0.05</v>
      </c>
      <c r="AS456" s="6" t="s">
        <v>49</v>
      </c>
      <c r="AT456" s="6" t="s">
        <v>49</v>
      </c>
      <c r="AU456" s="6" t="s">
        <v>49</v>
      </c>
      <c r="AV456" s="1" t="s">
        <v>49</v>
      </c>
      <c r="AW456" s="30" t="s">
        <v>49</v>
      </c>
    </row>
    <row r="457" spans="1:49">
      <c r="A457" s="1">
        <v>20</v>
      </c>
      <c r="B457" s="1" t="s">
        <v>38</v>
      </c>
      <c r="C457" s="1" t="s">
        <v>38</v>
      </c>
      <c r="D457" s="3" t="s">
        <v>549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217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206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>
        <v>-0.10299999999999999</v>
      </c>
      <c r="AS457" s="6" t="s">
        <v>49</v>
      </c>
      <c r="AT457" s="6" t="s">
        <v>49</v>
      </c>
      <c r="AU457" s="6" t="s">
        <v>49</v>
      </c>
      <c r="AV457" s="1" t="s">
        <v>49</v>
      </c>
      <c r="AW457" s="30" t="s">
        <v>49</v>
      </c>
    </row>
    <row r="458" spans="1:49">
      <c r="A458" s="1">
        <v>20</v>
      </c>
      <c r="B458" s="1" t="s">
        <v>38</v>
      </c>
      <c r="C458" s="1" t="s">
        <v>38</v>
      </c>
      <c r="D458" s="3" t="s">
        <v>549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217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206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>
        <v>3.4000000000000002E-2</v>
      </c>
      <c r="AS458" s="6" t="s">
        <v>49</v>
      </c>
      <c r="AT458" s="6" t="s">
        <v>49</v>
      </c>
      <c r="AU458" s="6" t="s">
        <v>49</v>
      </c>
      <c r="AV458" s="1" t="s">
        <v>49</v>
      </c>
      <c r="AW458" s="30" t="s">
        <v>49</v>
      </c>
    </row>
    <row r="459" spans="1:49">
      <c r="A459" s="1">
        <v>20</v>
      </c>
      <c r="B459" s="1" t="s">
        <v>38</v>
      </c>
      <c r="C459" s="1" t="s">
        <v>38</v>
      </c>
      <c r="D459" s="3" t="s">
        <v>549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217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206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>
        <v>0.30599999999999999</v>
      </c>
      <c r="AS459" s="6" t="s">
        <v>49</v>
      </c>
      <c r="AT459" s="6" t="s">
        <v>49</v>
      </c>
      <c r="AU459" s="6" t="s">
        <v>49</v>
      </c>
      <c r="AV459" s="1" t="s">
        <v>49</v>
      </c>
      <c r="AW459" s="30" t="s">
        <v>49</v>
      </c>
    </row>
    <row r="460" spans="1:49">
      <c r="A460" s="1">
        <v>20</v>
      </c>
      <c r="B460" s="1" t="s">
        <v>38</v>
      </c>
      <c r="C460" s="1" t="s">
        <v>38</v>
      </c>
      <c r="D460" s="3" t="s">
        <v>549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217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206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>
        <v>-0.17100000000000001</v>
      </c>
      <c r="AS460" s="6" t="s">
        <v>49</v>
      </c>
      <c r="AT460" s="6" t="s">
        <v>49</v>
      </c>
      <c r="AU460" s="6" t="s">
        <v>49</v>
      </c>
      <c r="AV460" s="1" t="s">
        <v>49</v>
      </c>
      <c r="AW460" s="30" t="s">
        <v>49</v>
      </c>
    </row>
    <row r="461" spans="1:49">
      <c r="A461" s="1">
        <v>20</v>
      </c>
      <c r="B461" s="1" t="s">
        <v>38</v>
      </c>
      <c r="C461" s="1" t="s">
        <v>38</v>
      </c>
      <c r="D461" s="3" t="s">
        <v>549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217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207</v>
      </c>
      <c r="AE461" s="1" t="s">
        <v>198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>
        <v>-3.4000000000000002E-2</v>
      </c>
      <c r="AS461" s="6" t="s">
        <v>49</v>
      </c>
      <c r="AT461" s="6" t="s">
        <v>49</v>
      </c>
      <c r="AU461" s="6" t="s">
        <v>49</v>
      </c>
      <c r="AV461" s="1" t="s">
        <v>49</v>
      </c>
      <c r="AW461" s="30" t="s">
        <v>49</v>
      </c>
    </row>
    <row r="462" spans="1:49">
      <c r="A462" s="1">
        <v>20</v>
      </c>
      <c r="B462" s="1" t="s">
        <v>38</v>
      </c>
      <c r="C462" s="1" t="s">
        <v>38</v>
      </c>
      <c r="D462" s="3" t="s">
        <v>549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217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207</v>
      </c>
      <c r="AE462" s="1" t="s">
        <v>214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>
        <v>7.1999999999999995E-2</v>
      </c>
      <c r="AS462" s="6" t="s">
        <v>49</v>
      </c>
      <c r="AT462" s="6" t="s">
        <v>49</v>
      </c>
      <c r="AU462" s="6" t="s">
        <v>49</v>
      </c>
      <c r="AV462" s="1" t="s">
        <v>49</v>
      </c>
      <c r="AW462" s="30" t="s">
        <v>49</v>
      </c>
    </row>
    <row r="463" spans="1:49">
      <c r="A463" s="1">
        <v>20</v>
      </c>
      <c r="B463" s="1" t="s">
        <v>38</v>
      </c>
      <c r="C463" s="1" t="s">
        <v>38</v>
      </c>
      <c r="D463" s="3" t="s">
        <v>549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217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207</v>
      </c>
      <c r="AE463" s="1" t="s">
        <v>213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>
        <v>4.7E-2</v>
      </c>
      <c r="AS463" s="6" t="s">
        <v>49</v>
      </c>
      <c r="AT463" s="6" t="s">
        <v>49</v>
      </c>
      <c r="AU463" s="6" t="s">
        <v>49</v>
      </c>
      <c r="AV463" s="1" t="s">
        <v>49</v>
      </c>
      <c r="AW463" s="30" t="s">
        <v>49</v>
      </c>
    </row>
    <row r="464" spans="1:49">
      <c r="A464" s="1">
        <v>20</v>
      </c>
      <c r="B464" s="1" t="s">
        <v>38</v>
      </c>
      <c r="C464" s="1" t="s">
        <v>38</v>
      </c>
      <c r="D464" s="3" t="s">
        <v>549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217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198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>
        <v>-1.2E-2</v>
      </c>
      <c r="AS464" s="6" t="s">
        <v>49</v>
      </c>
      <c r="AT464" s="6" t="s">
        <v>49</v>
      </c>
      <c r="AU464" s="6" t="s">
        <v>49</v>
      </c>
      <c r="AV464" s="1" t="s">
        <v>49</v>
      </c>
      <c r="AW464" s="30" t="s">
        <v>49</v>
      </c>
    </row>
    <row r="465" spans="1:49">
      <c r="A465" s="1">
        <v>20</v>
      </c>
      <c r="B465" s="1" t="s">
        <v>38</v>
      </c>
      <c r="C465" s="1" t="s">
        <v>38</v>
      </c>
      <c r="D465" s="3" t="s">
        <v>549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217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198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>
        <v>-0.16600000000000001</v>
      </c>
      <c r="AS465" s="6" t="s">
        <v>49</v>
      </c>
      <c r="AT465" s="6" t="s">
        <v>49</v>
      </c>
      <c r="AU465" s="6" t="s">
        <v>49</v>
      </c>
      <c r="AV465" s="1" t="s">
        <v>49</v>
      </c>
      <c r="AW465" s="30" t="s">
        <v>49</v>
      </c>
    </row>
    <row r="466" spans="1:49">
      <c r="A466" s="1">
        <v>20</v>
      </c>
      <c r="B466" s="1" t="s">
        <v>38</v>
      </c>
      <c r="C466" s="1" t="s">
        <v>38</v>
      </c>
      <c r="D466" s="3" t="s">
        <v>549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217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214</v>
      </c>
      <c r="AE466" s="1" t="s">
        <v>213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>
        <v>0.124</v>
      </c>
      <c r="AS466" s="6" t="s">
        <v>49</v>
      </c>
      <c r="AT466" s="6" t="s">
        <v>49</v>
      </c>
      <c r="AU466" s="6" t="s">
        <v>49</v>
      </c>
      <c r="AV466" s="1" t="s">
        <v>49</v>
      </c>
      <c r="AW466" s="30" t="s">
        <v>49</v>
      </c>
    </row>
    <row r="467" spans="1:49">
      <c r="A467" s="1">
        <v>20</v>
      </c>
      <c r="B467" s="1" t="s">
        <v>38</v>
      </c>
      <c r="C467" s="1" t="s">
        <v>38</v>
      </c>
      <c r="D467" s="3" t="s">
        <v>549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201</v>
      </c>
      <c r="AC467" s="1" t="s">
        <v>202</v>
      </c>
      <c r="AD467" s="1" t="s">
        <v>203</v>
      </c>
      <c r="AE467" s="1" t="s">
        <v>203</v>
      </c>
      <c r="AF467" s="1" t="s">
        <v>53</v>
      </c>
      <c r="AG467" s="1" t="s">
        <v>53</v>
      </c>
      <c r="AH467" s="1" t="s">
        <v>199</v>
      </c>
      <c r="AI467" s="1" t="s">
        <v>200</v>
      </c>
      <c r="AJ467" s="1">
        <v>15</v>
      </c>
      <c r="AK467" s="1">
        <v>60</v>
      </c>
      <c r="AL467" s="2">
        <v>0.52500000000000002</v>
      </c>
      <c r="AM467" s="3">
        <v>108.2</v>
      </c>
      <c r="AN467" s="3">
        <f>9.55^2</f>
        <v>91.202500000000015</v>
      </c>
      <c r="AO467" s="1" t="s">
        <v>49</v>
      </c>
      <c r="AP467" s="6">
        <v>1</v>
      </c>
      <c r="AQ467" s="6" t="s">
        <v>49</v>
      </c>
      <c r="AR467" s="6" t="s">
        <v>49</v>
      </c>
      <c r="AS467" s="1">
        <f t="shared" ref="AS467:AS472" si="41">AL467*AN467</f>
        <v>47.881312500000007</v>
      </c>
      <c r="AT467" s="4">
        <f t="shared" ref="AT467:AT472" si="42">AS467/(AM467^2)*100</f>
        <v>0.40898890344778105</v>
      </c>
      <c r="AU467" s="5">
        <v>0</v>
      </c>
      <c r="AV467" s="4">
        <f t="shared" ref="AV467:AV472" si="43">AT467*(1-AL467)/AL467</f>
        <v>0.37003757930989711</v>
      </c>
      <c r="AW467" s="29" t="s">
        <v>215</v>
      </c>
    </row>
    <row r="468" spans="1:49">
      <c r="A468" s="1">
        <v>20</v>
      </c>
      <c r="B468" s="1" t="s">
        <v>38</v>
      </c>
      <c r="C468" s="1" t="s">
        <v>38</v>
      </c>
      <c r="D468" s="3" t="s">
        <v>549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208</v>
      </c>
      <c r="AC468" s="1" t="s">
        <v>209</v>
      </c>
      <c r="AD468" s="1" t="s">
        <v>210</v>
      </c>
      <c r="AE468" s="1" t="s">
        <v>210</v>
      </c>
      <c r="AF468" s="1" t="s">
        <v>53</v>
      </c>
      <c r="AG468" s="1" t="s">
        <v>53</v>
      </c>
      <c r="AH468" s="1" t="s">
        <v>199</v>
      </c>
      <c r="AI468" s="1" t="s">
        <v>200</v>
      </c>
      <c r="AJ468" s="1">
        <v>15</v>
      </c>
      <c r="AK468" s="1">
        <v>60</v>
      </c>
      <c r="AL468" s="2">
        <v>0.624</v>
      </c>
      <c r="AM468" s="3">
        <v>96.3</v>
      </c>
      <c r="AN468" s="3">
        <f>14.65^2</f>
        <v>214.6225</v>
      </c>
      <c r="AO468" s="1" t="s">
        <v>49</v>
      </c>
      <c r="AP468" s="6">
        <v>1</v>
      </c>
      <c r="AQ468" s="6" t="s">
        <v>49</v>
      </c>
      <c r="AR468" s="6" t="s">
        <v>49</v>
      </c>
      <c r="AS468" s="1">
        <f t="shared" si="41"/>
        <v>133.92444</v>
      </c>
      <c r="AT468" s="4">
        <f t="shared" si="42"/>
        <v>1.4441332414605192</v>
      </c>
      <c r="AU468" s="5">
        <v>0</v>
      </c>
      <c r="AV468" s="4">
        <f t="shared" si="43"/>
        <v>0.87018285062364631</v>
      </c>
      <c r="AW468" s="29" t="s">
        <v>215</v>
      </c>
    </row>
    <row r="469" spans="1:49">
      <c r="A469" s="1">
        <v>20</v>
      </c>
      <c r="B469" s="1" t="s">
        <v>38</v>
      </c>
      <c r="C469" s="1" t="s">
        <v>38</v>
      </c>
      <c r="D469" s="3" t="s">
        <v>549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208</v>
      </c>
      <c r="AC469" s="1" t="s">
        <v>211</v>
      </c>
      <c r="AD469" s="1" t="s">
        <v>212</v>
      </c>
      <c r="AE469" s="1" t="s">
        <v>212</v>
      </c>
      <c r="AF469" s="1" t="s">
        <v>60</v>
      </c>
      <c r="AG469" s="1" t="s">
        <v>173</v>
      </c>
      <c r="AH469" s="1" t="s">
        <v>199</v>
      </c>
      <c r="AI469" s="1" t="s">
        <v>200</v>
      </c>
      <c r="AJ469" s="1">
        <v>15</v>
      </c>
      <c r="AK469" s="1">
        <v>60</v>
      </c>
      <c r="AL469" s="2">
        <v>0.36399999999999999</v>
      </c>
      <c r="AM469" s="3">
        <v>38</v>
      </c>
      <c r="AN469" s="3">
        <f>5^2</f>
        <v>25</v>
      </c>
      <c r="AO469" s="1" t="s">
        <v>49</v>
      </c>
      <c r="AP469" s="6">
        <v>1</v>
      </c>
      <c r="AQ469" s="6" t="s">
        <v>49</v>
      </c>
      <c r="AR469" s="6" t="s">
        <v>49</v>
      </c>
      <c r="AS469" s="1">
        <f t="shared" si="41"/>
        <v>9.1</v>
      </c>
      <c r="AT469" s="4">
        <f t="shared" si="42"/>
        <v>0.63019390581717449</v>
      </c>
      <c r="AU469" s="5">
        <v>0</v>
      </c>
      <c r="AV469" s="4">
        <f t="shared" si="43"/>
        <v>1.1011080332409973</v>
      </c>
      <c r="AW469" s="29" t="s">
        <v>215</v>
      </c>
    </row>
    <row r="470" spans="1:49">
      <c r="A470" s="1">
        <v>20</v>
      </c>
      <c r="B470" s="1" t="s">
        <v>38</v>
      </c>
      <c r="C470" s="1" t="s">
        <v>38</v>
      </c>
      <c r="D470" s="3" t="s">
        <v>549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201</v>
      </c>
      <c r="AC470" s="1" t="s">
        <v>204</v>
      </c>
      <c r="AD470" s="1" t="s">
        <v>205</v>
      </c>
      <c r="AE470" s="1" t="s">
        <v>205</v>
      </c>
      <c r="AF470" s="1" t="s">
        <v>53</v>
      </c>
      <c r="AG470" s="1" t="s">
        <v>53</v>
      </c>
      <c r="AH470" s="1" t="s">
        <v>199</v>
      </c>
      <c r="AI470" s="1" t="s">
        <v>200</v>
      </c>
      <c r="AJ470" s="1">
        <v>15</v>
      </c>
      <c r="AK470" s="1">
        <v>60</v>
      </c>
      <c r="AL470" s="2">
        <v>0.59299999999999997</v>
      </c>
      <c r="AM470" s="3">
        <v>3.7</v>
      </c>
      <c r="AN470" s="3">
        <f>0.74^2</f>
        <v>0.54759999999999998</v>
      </c>
      <c r="AO470" s="1" t="s">
        <v>49</v>
      </c>
      <c r="AP470" s="6">
        <v>1</v>
      </c>
      <c r="AQ470" s="6" t="s">
        <v>49</v>
      </c>
      <c r="AR470" s="6" t="s">
        <v>49</v>
      </c>
      <c r="AS470" s="1">
        <f t="shared" si="41"/>
        <v>0.32472679999999998</v>
      </c>
      <c r="AT470" s="4">
        <f t="shared" si="42"/>
        <v>2.3719999999999999</v>
      </c>
      <c r="AU470" s="5">
        <v>0</v>
      </c>
      <c r="AV470" s="4">
        <f t="shared" si="43"/>
        <v>1.6280000000000001</v>
      </c>
      <c r="AW470" s="29" t="s">
        <v>215</v>
      </c>
    </row>
    <row r="471" spans="1:49">
      <c r="A471" s="1">
        <v>20</v>
      </c>
      <c r="B471" s="1" t="s">
        <v>38</v>
      </c>
      <c r="C471" s="1" t="s">
        <v>38</v>
      </c>
      <c r="D471" s="3" t="s">
        <v>549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201</v>
      </c>
      <c r="AC471" s="1" t="s">
        <v>204</v>
      </c>
      <c r="AD471" s="1" t="s">
        <v>206</v>
      </c>
      <c r="AE471" s="1" t="s">
        <v>206</v>
      </c>
      <c r="AF471" s="1" t="s">
        <v>53</v>
      </c>
      <c r="AG471" s="1" t="s">
        <v>53</v>
      </c>
      <c r="AH471" s="1" t="s">
        <v>199</v>
      </c>
      <c r="AI471" s="1" t="s">
        <v>200</v>
      </c>
      <c r="AJ471" s="1">
        <v>15</v>
      </c>
      <c r="AK471" s="1">
        <v>60</v>
      </c>
      <c r="AL471" s="2">
        <v>0.70499999999999996</v>
      </c>
      <c r="AM471" s="3">
        <v>6321</v>
      </c>
      <c r="AN471" s="3">
        <f>1549^2</f>
        <v>2399401</v>
      </c>
      <c r="AO471" s="1" t="s">
        <v>49</v>
      </c>
      <c r="AP471" s="6">
        <v>1</v>
      </c>
      <c r="AQ471" s="6" t="s">
        <v>49</v>
      </c>
      <c r="AR471" s="6" t="s">
        <v>49</v>
      </c>
      <c r="AS471" s="1">
        <f t="shared" si="41"/>
        <v>1691577.7049999998</v>
      </c>
      <c r="AT471" s="4">
        <f t="shared" si="42"/>
        <v>4.2337028386480693</v>
      </c>
      <c r="AU471" s="5">
        <v>0</v>
      </c>
      <c r="AV471" s="4">
        <f t="shared" si="43"/>
        <v>1.7715494147534476</v>
      </c>
      <c r="AW471" s="29" t="s">
        <v>215</v>
      </c>
    </row>
    <row r="472" spans="1:49">
      <c r="A472" s="1">
        <v>20</v>
      </c>
      <c r="B472" s="1" t="s">
        <v>38</v>
      </c>
      <c r="C472" s="1" t="s">
        <v>38</v>
      </c>
      <c r="D472" s="3" t="s">
        <v>549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201</v>
      </c>
      <c r="AC472" s="1" t="s">
        <v>204</v>
      </c>
      <c r="AD472" s="1" t="s">
        <v>207</v>
      </c>
      <c r="AE472" s="1" t="s">
        <v>207</v>
      </c>
      <c r="AF472" s="1" t="s">
        <v>60</v>
      </c>
      <c r="AG472" s="1" t="s">
        <v>173</v>
      </c>
      <c r="AH472" s="1" t="s">
        <v>199</v>
      </c>
      <c r="AI472" s="1" t="s">
        <v>200</v>
      </c>
      <c r="AJ472" s="1">
        <v>15</v>
      </c>
      <c r="AK472" s="1">
        <v>60</v>
      </c>
      <c r="AL472" s="2">
        <v>0.64</v>
      </c>
      <c r="AM472" s="3">
        <v>3718</v>
      </c>
      <c r="AN472" s="3">
        <f>307^2</f>
        <v>94249</v>
      </c>
      <c r="AO472" s="1" t="s">
        <v>49</v>
      </c>
      <c r="AP472" s="6">
        <v>1</v>
      </c>
      <c r="AQ472" s="6" t="s">
        <v>49</v>
      </c>
      <c r="AR472" s="6" t="s">
        <v>49</v>
      </c>
      <c r="AS472" s="1">
        <f t="shared" si="41"/>
        <v>60319.360000000001</v>
      </c>
      <c r="AT472" s="4">
        <f t="shared" si="42"/>
        <v>0.43635298784882931</v>
      </c>
      <c r="AU472" s="5">
        <v>0</v>
      </c>
      <c r="AV472" s="4">
        <f t="shared" si="43"/>
        <v>0.24544855566496648</v>
      </c>
      <c r="AW472" s="29" t="s">
        <v>215</v>
      </c>
    </row>
    <row r="473" spans="1:49">
      <c r="A473" s="1">
        <v>20</v>
      </c>
      <c r="B473" s="1" t="s">
        <v>38</v>
      </c>
      <c r="C473" s="1" t="s">
        <v>38</v>
      </c>
      <c r="D473" s="3" t="s">
        <v>549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196</v>
      </c>
      <c r="AC473" s="1" t="s">
        <v>197</v>
      </c>
      <c r="AD473" s="1" t="s">
        <v>198</v>
      </c>
      <c r="AE473" s="1" t="s">
        <v>198</v>
      </c>
      <c r="AF473" s="1" t="s">
        <v>60</v>
      </c>
      <c r="AG473" s="1" t="s">
        <v>60</v>
      </c>
      <c r="AH473" s="1" t="s">
        <v>199</v>
      </c>
      <c r="AI473" s="1" t="s">
        <v>200</v>
      </c>
      <c r="AJ473" s="1">
        <v>15</v>
      </c>
      <c r="AK473" s="1">
        <v>60</v>
      </c>
      <c r="AL473" s="2">
        <v>0.6</v>
      </c>
      <c r="AM473" s="3">
        <v>35</v>
      </c>
      <c r="AN473" s="3">
        <f>9^2</f>
        <v>81</v>
      </c>
      <c r="AO473" s="1" t="s">
        <v>49</v>
      </c>
      <c r="AP473" s="6">
        <v>1</v>
      </c>
      <c r="AQ473" s="6" t="s">
        <v>49</v>
      </c>
      <c r="AR473" s="6" t="s">
        <v>49</v>
      </c>
      <c r="AS473" s="1">
        <f t="shared" ref="AS473:AS475" si="44">AL473*AN473</f>
        <v>48.6</v>
      </c>
      <c r="AT473" s="4">
        <f t="shared" ref="AT473:AT475" si="45">AS473/(AM473^2)*100</f>
        <v>3.9673469387755103</v>
      </c>
      <c r="AU473" s="5">
        <v>0</v>
      </c>
      <c r="AV473" s="4">
        <f t="shared" ref="AV473:AV475" si="46">AT473*(1-AL473)/AL473</f>
        <v>2.6448979591836737</v>
      </c>
      <c r="AW473" s="29" t="s">
        <v>215</v>
      </c>
    </row>
    <row r="474" spans="1:49">
      <c r="A474" s="1">
        <v>20</v>
      </c>
      <c r="B474" s="1" t="s">
        <v>38</v>
      </c>
      <c r="C474" s="1" t="s">
        <v>38</v>
      </c>
      <c r="D474" s="3" t="s">
        <v>549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124</v>
      </c>
      <c r="AD474" s="1" t="s">
        <v>214</v>
      </c>
      <c r="AE474" s="1" t="s">
        <v>214</v>
      </c>
      <c r="AF474" s="1" t="s">
        <v>53</v>
      </c>
      <c r="AG474" s="1" t="s">
        <v>53</v>
      </c>
      <c r="AH474" s="1" t="s">
        <v>199</v>
      </c>
      <c r="AI474" s="1" t="s">
        <v>200</v>
      </c>
      <c r="AJ474" s="1">
        <v>15</v>
      </c>
      <c r="AK474" s="1">
        <v>60</v>
      </c>
      <c r="AL474" s="2">
        <v>0.495</v>
      </c>
      <c r="AM474" s="3">
        <v>3</v>
      </c>
      <c r="AN474" s="3">
        <f>0.78^2</f>
        <v>0.60840000000000005</v>
      </c>
      <c r="AO474" s="1" t="s">
        <v>49</v>
      </c>
      <c r="AP474" s="6">
        <v>1</v>
      </c>
      <c r="AQ474" s="6" t="s">
        <v>49</v>
      </c>
      <c r="AR474" s="6" t="s">
        <v>49</v>
      </c>
      <c r="AS474" s="1">
        <f>AL474*AN474</f>
        <v>0.30115800000000004</v>
      </c>
      <c r="AT474" s="4">
        <f>AS474/(AM474^2)*100</f>
        <v>3.3462000000000005</v>
      </c>
      <c r="AU474" s="5">
        <v>0</v>
      </c>
      <c r="AV474" s="4">
        <f>AT474*(1-AL474)/AL474</f>
        <v>3.4138000000000006</v>
      </c>
      <c r="AW474" s="29" t="s">
        <v>215</v>
      </c>
    </row>
    <row r="475" spans="1:49">
      <c r="A475" s="1">
        <v>20</v>
      </c>
      <c r="B475" s="1" t="s">
        <v>38</v>
      </c>
      <c r="C475" s="1" t="s">
        <v>38</v>
      </c>
      <c r="D475" s="3" t="s">
        <v>549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124</v>
      </c>
      <c r="AD475" s="1" t="s">
        <v>213</v>
      </c>
      <c r="AE475" s="1" t="s">
        <v>213</v>
      </c>
      <c r="AF475" s="1" t="s">
        <v>60</v>
      </c>
      <c r="AG475" s="1" t="s">
        <v>129</v>
      </c>
      <c r="AH475" s="1" t="s">
        <v>199</v>
      </c>
      <c r="AI475" s="1" t="s">
        <v>200</v>
      </c>
      <c r="AJ475" s="1">
        <v>15</v>
      </c>
      <c r="AK475" s="1">
        <v>60</v>
      </c>
      <c r="AL475" s="2">
        <v>0.63800000000000001</v>
      </c>
      <c r="AM475" s="3">
        <v>4.9000000000000004</v>
      </c>
      <c r="AN475" s="3">
        <f>0.76^2</f>
        <v>0.5776</v>
      </c>
      <c r="AO475" s="1" t="s">
        <v>49</v>
      </c>
      <c r="AP475" s="6">
        <v>1</v>
      </c>
      <c r="AQ475" s="6" t="s">
        <v>49</v>
      </c>
      <c r="AR475" s="6" t="s">
        <v>49</v>
      </c>
      <c r="AS475" s="1">
        <f t="shared" si="44"/>
        <v>0.36850880000000003</v>
      </c>
      <c r="AT475" s="4">
        <f t="shared" si="45"/>
        <v>1.5348138275718448</v>
      </c>
      <c r="AU475" s="5">
        <v>0</v>
      </c>
      <c r="AV475" s="4">
        <f t="shared" si="46"/>
        <v>0.87085047896709689</v>
      </c>
      <c r="AW475" s="29" t="s">
        <v>215</v>
      </c>
    </row>
    <row r="476" spans="1:49">
      <c r="A476" s="1">
        <v>20</v>
      </c>
      <c r="B476" s="1" t="s">
        <v>38</v>
      </c>
      <c r="C476" s="1" t="s">
        <v>38</v>
      </c>
      <c r="D476" s="3" t="s">
        <v>549</v>
      </c>
      <c r="E476" s="1" t="s">
        <v>190</v>
      </c>
      <c r="F476" s="1">
        <v>1995</v>
      </c>
      <c r="G476" s="1" t="s">
        <v>162</v>
      </c>
      <c r="H476" s="3" t="s">
        <v>191</v>
      </c>
      <c r="I476" s="3" t="s">
        <v>192</v>
      </c>
      <c r="J476" s="1" t="s">
        <v>193</v>
      </c>
      <c r="K476" s="1" t="s">
        <v>45</v>
      </c>
      <c r="L476" s="3" t="s">
        <v>46</v>
      </c>
      <c r="M476" s="1" t="s">
        <v>12</v>
      </c>
      <c r="N476" s="1" t="s">
        <v>80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194</v>
      </c>
      <c r="V476" s="3" t="s">
        <v>218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203</v>
      </c>
      <c r="AE476" s="1" t="s">
        <v>210</v>
      </c>
      <c r="AF476" s="1" t="s">
        <v>49</v>
      </c>
      <c r="AG476" s="1" t="s">
        <v>49</v>
      </c>
      <c r="AH476" s="1" t="s">
        <v>199</v>
      </c>
      <c r="AI476" s="1" t="s">
        <v>200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>
        <v>0.185</v>
      </c>
      <c r="AS476" s="6" t="s">
        <v>49</v>
      </c>
      <c r="AT476" s="6" t="s">
        <v>49</v>
      </c>
      <c r="AU476" s="6" t="s">
        <v>49</v>
      </c>
      <c r="AV476" s="1" t="s">
        <v>49</v>
      </c>
      <c r="AW476" s="30" t="s">
        <v>49</v>
      </c>
    </row>
    <row r="477" spans="1:49">
      <c r="A477" s="1">
        <v>20</v>
      </c>
      <c r="B477" s="1" t="s">
        <v>38</v>
      </c>
      <c r="C477" s="1" t="s">
        <v>38</v>
      </c>
      <c r="D477" s="3" t="s">
        <v>549</v>
      </c>
      <c r="E477" s="1" t="s">
        <v>190</v>
      </c>
      <c r="F477" s="1">
        <v>1995</v>
      </c>
      <c r="G477" s="1" t="s">
        <v>162</v>
      </c>
      <c r="H477" s="3" t="s">
        <v>191</v>
      </c>
      <c r="I477" s="3" t="s">
        <v>192</v>
      </c>
      <c r="J477" s="1" t="s">
        <v>193</v>
      </c>
      <c r="K477" s="1" t="s">
        <v>45</v>
      </c>
      <c r="L477" s="3" t="s">
        <v>46</v>
      </c>
      <c r="M477" s="1" t="s">
        <v>12</v>
      </c>
      <c r="N477" s="1" t="s">
        <v>80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194</v>
      </c>
      <c r="V477" s="3" t="s">
        <v>218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203</v>
      </c>
      <c r="AE477" s="1" t="s">
        <v>212</v>
      </c>
      <c r="AF477" s="1" t="s">
        <v>49</v>
      </c>
      <c r="AG477" s="1" t="s">
        <v>49</v>
      </c>
      <c r="AH477" s="1" t="s">
        <v>199</v>
      </c>
      <c r="AI477" s="1" t="s">
        <v>200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>
        <v>-0.27700000000000002</v>
      </c>
      <c r="AS477" s="6" t="s">
        <v>49</v>
      </c>
      <c r="AT477" s="6" t="s">
        <v>49</v>
      </c>
      <c r="AU477" s="6" t="s">
        <v>49</v>
      </c>
      <c r="AV477" s="1" t="s">
        <v>49</v>
      </c>
      <c r="AW477" s="30" t="s">
        <v>49</v>
      </c>
    </row>
    <row r="478" spans="1:49">
      <c r="A478" s="1">
        <v>20</v>
      </c>
      <c r="B478" s="1" t="s">
        <v>38</v>
      </c>
      <c r="C478" s="1" t="s">
        <v>38</v>
      </c>
      <c r="D478" s="3" t="s">
        <v>549</v>
      </c>
      <c r="E478" s="1" t="s">
        <v>190</v>
      </c>
      <c r="F478" s="1">
        <v>1995</v>
      </c>
      <c r="G478" s="1" t="s">
        <v>162</v>
      </c>
      <c r="H478" s="3" t="s">
        <v>191</v>
      </c>
      <c r="I478" s="3" t="s">
        <v>192</v>
      </c>
      <c r="J478" s="1" t="s">
        <v>193</v>
      </c>
      <c r="K478" s="1" t="s">
        <v>45</v>
      </c>
      <c r="L478" s="3" t="s">
        <v>46</v>
      </c>
      <c r="M478" s="1" t="s">
        <v>12</v>
      </c>
      <c r="N478" s="1" t="s">
        <v>80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194</v>
      </c>
      <c r="V478" s="3" t="s">
        <v>218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203</v>
      </c>
      <c r="AE478" s="1" t="s">
        <v>205</v>
      </c>
      <c r="AF478" s="1" t="s">
        <v>49</v>
      </c>
      <c r="AG478" s="1" t="s">
        <v>49</v>
      </c>
      <c r="AH478" s="1" t="s">
        <v>199</v>
      </c>
      <c r="AI478" s="1" t="s">
        <v>200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>
        <v>-0.193</v>
      </c>
      <c r="AS478" s="6" t="s">
        <v>49</v>
      </c>
      <c r="AT478" s="6" t="s">
        <v>49</v>
      </c>
      <c r="AU478" s="6" t="s">
        <v>49</v>
      </c>
      <c r="AV478" s="1" t="s">
        <v>49</v>
      </c>
      <c r="AW478" s="30" t="s">
        <v>49</v>
      </c>
    </row>
    <row r="479" spans="1:49">
      <c r="A479" s="1">
        <v>20</v>
      </c>
      <c r="B479" s="1" t="s">
        <v>38</v>
      </c>
      <c r="C479" s="1" t="s">
        <v>38</v>
      </c>
      <c r="D479" s="3" t="s">
        <v>549</v>
      </c>
      <c r="E479" s="1" t="s">
        <v>190</v>
      </c>
      <c r="F479" s="1">
        <v>1995</v>
      </c>
      <c r="G479" s="1" t="s">
        <v>162</v>
      </c>
      <c r="H479" s="3" t="s">
        <v>191</v>
      </c>
      <c r="I479" s="3" t="s">
        <v>192</v>
      </c>
      <c r="J479" s="1" t="s">
        <v>193</v>
      </c>
      <c r="K479" s="1" t="s">
        <v>45</v>
      </c>
      <c r="L479" s="3" t="s">
        <v>46</v>
      </c>
      <c r="M479" s="1" t="s">
        <v>12</v>
      </c>
      <c r="N479" s="1" t="s">
        <v>80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194</v>
      </c>
      <c r="V479" s="3" t="s">
        <v>218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203</v>
      </c>
      <c r="AE479" s="1" t="s">
        <v>206</v>
      </c>
      <c r="AF479" s="1" t="s">
        <v>49</v>
      </c>
      <c r="AG479" s="1" t="s">
        <v>49</v>
      </c>
      <c r="AH479" s="1" t="s">
        <v>199</v>
      </c>
      <c r="AI479" s="1" t="s">
        <v>200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>
        <v>4.2000000000000003E-2</v>
      </c>
      <c r="AS479" s="6" t="s">
        <v>49</v>
      </c>
      <c r="AT479" s="6" t="s">
        <v>49</v>
      </c>
      <c r="AU479" s="6" t="s">
        <v>49</v>
      </c>
      <c r="AV479" s="1" t="s">
        <v>49</v>
      </c>
      <c r="AW479" s="30" t="s">
        <v>49</v>
      </c>
    </row>
    <row r="480" spans="1:49">
      <c r="A480" s="1">
        <v>20</v>
      </c>
      <c r="B480" s="1" t="s">
        <v>38</v>
      </c>
      <c r="C480" s="1" t="s">
        <v>38</v>
      </c>
      <c r="D480" s="3" t="s">
        <v>549</v>
      </c>
      <c r="E480" s="1" t="s">
        <v>190</v>
      </c>
      <c r="F480" s="1">
        <v>1995</v>
      </c>
      <c r="G480" s="1" t="s">
        <v>162</v>
      </c>
      <c r="H480" s="3" t="s">
        <v>191</v>
      </c>
      <c r="I480" s="3" t="s">
        <v>192</v>
      </c>
      <c r="J480" s="1" t="s">
        <v>193</v>
      </c>
      <c r="K480" s="1" t="s">
        <v>45</v>
      </c>
      <c r="L480" s="3" t="s">
        <v>46</v>
      </c>
      <c r="M480" s="1" t="s">
        <v>12</v>
      </c>
      <c r="N480" s="1" t="s">
        <v>80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194</v>
      </c>
      <c r="V480" s="3" t="s">
        <v>218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203</v>
      </c>
      <c r="AE480" s="1" t="s">
        <v>207</v>
      </c>
      <c r="AF480" s="1" t="s">
        <v>49</v>
      </c>
      <c r="AG480" s="1" t="s">
        <v>49</v>
      </c>
      <c r="AH480" s="1" t="s">
        <v>199</v>
      </c>
      <c r="AI480" s="1" t="s">
        <v>200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>
        <v>-0.222</v>
      </c>
      <c r="AS480" s="6" t="s">
        <v>49</v>
      </c>
      <c r="AT480" s="6" t="s">
        <v>49</v>
      </c>
      <c r="AU480" s="6" t="s">
        <v>49</v>
      </c>
      <c r="AV480" s="1" t="s">
        <v>49</v>
      </c>
      <c r="AW480" s="30" t="s">
        <v>49</v>
      </c>
    </row>
    <row r="481" spans="1:49">
      <c r="A481" s="1">
        <v>20</v>
      </c>
      <c r="B481" s="1" t="s">
        <v>38</v>
      </c>
      <c r="C481" s="1" t="s">
        <v>38</v>
      </c>
      <c r="D481" s="3" t="s">
        <v>549</v>
      </c>
      <c r="E481" s="1" t="s">
        <v>190</v>
      </c>
      <c r="F481" s="1">
        <v>1995</v>
      </c>
      <c r="G481" s="1" t="s">
        <v>162</v>
      </c>
      <c r="H481" s="3" t="s">
        <v>191</v>
      </c>
      <c r="I481" s="3" t="s">
        <v>192</v>
      </c>
      <c r="J481" s="1" t="s">
        <v>193</v>
      </c>
      <c r="K481" s="1" t="s">
        <v>45</v>
      </c>
      <c r="L481" s="3" t="s">
        <v>46</v>
      </c>
      <c r="M481" s="1" t="s">
        <v>12</v>
      </c>
      <c r="N481" s="1" t="s">
        <v>80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194</v>
      </c>
      <c r="V481" s="3" t="s">
        <v>218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203</v>
      </c>
      <c r="AE481" s="1" t="s">
        <v>198</v>
      </c>
      <c r="AF481" s="1" t="s">
        <v>49</v>
      </c>
      <c r="AG481" s="1" t="s">
        <v>49</v>
      </c>
      <c r="AH481" s="1" t="s">
        <v>199</v>
      </c>
      <c r="AI481" s="1" t="s">
        <v>200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6" t="s">
        <v>49</v>
      </c>
      <c r="AV481" s="1" t="s">
        <v>49</v>
      </c>
      <c r="AW481" s="30" t="s">
        <v>49</v>
      </c>
    </row>
    <row r="482" spans="1:49">
      <c r="A482" s="1">
        <v>20</v>
      </c>
      <c r="B482" s="1" t="s">
        <v>38</v>
      </c>
      <c r="C482" s="1" t="s">
        <v>38</v>
      </c>
      <c r="D482" s="3" t="s">
        <v>549</v>
      </c>
      <c r="E482" s="1" t="s">
        <v>190</v>
      </c>
      <c r="F482" s="1">
        <v>1995</v>
      </c>
      <c r="G482" s="1" t="s">
        <v>162</v>
      </c>
      <c r="H482" s="3" t="s">
        <v>191</v>
      </c>
      <c r="I482" s="3" t="s">
        <v>192</v>
      </c>
      <c r="J482" s="1" t="s">
        <v>193</v>
      </c>
      <c r="K482" s="1" t="s">
        <v>45</v>
      </c>
      <c r="L482" s="3" t="s">
        <v>46</v>
      </c>
      <c r="M482" s="1" t="s">
        <v>12</v>
      </c>
      <c r="N482" s="1" t="s">
        <v>80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194</v>
      </c>
      <c r="V482" s="3" t="s">
        <v>218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203</v>
      </c>
      <c r="AE482" s="1" t="s">
        <v>214</v>
      </c>
      <c r="AF482" s="1" t="s">
        <v>49</v>
      </c>
      <c r="AG482" s="1" t="s">
        <v>49</v>
      </c>
      <c r="AH482" s="1" t="s">
        <v>199</v>
      </c>
      <c r="AI482" s="1" t="s">
        <v>200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>
        <v>-6.5000000000000002E-2</v>
      </c>
      <c r="AS482" s="6" t="s">
        <v>49</v>
      </c>
      <c r="AT482" s="6" t="s">
        <v>49</v>
      </c>
      <c r="AU482" s="6" t="s">
        <v>49</v>
      </c>
      <c r="AV482" s="1" t="s">
        <v>49</v>
      </c>
      <c r="AW482" s="30" t="s">
        <v>49</v>
      </c>
    </row>
    <row r="483" spans="1:49">
      <c r="A483" s="1">
        <v>20</v>
      </c>
      <c r="B483" s="1" t="s">
        <v>38</v>
      </c>
      <c r="C483" s="1" t="s">
        <v>38</v>
      </c>
      <c r="D483" s="3" t="s">
        <v>549</v>
      </c>
      <c r="E483" s="1" t="s">
        <v>190</v>
      </c>
      <c r="F483" s="1">
        <v>1995</v>
      </c>
      <c r="G483" s="1" t="s">
        <v>162</v>
      </c>
      <c r="H483" s="3" t="s">
        <v>191</v>
      </c>
      <c r="I483" s="3" t="s">
        <v>192</v>
      </c>
      <c r="J483" s="1" t="s">
        <v>193</v>
      </c>
      <c r="K483" s="1" t="s">
        <v>45</v>
      </c>
      <c r="L483" s="3" t="s">
        <v>46</v>
      </c>
      <c r="M483" s="1" t="s">
        <v>12</v>
      </c>
      <c r="N483" s="1" t="s">
        <v>80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194</v>
      </c>
      <c r="V483" s="3" t="s">
        <v>218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203</v>
      </c>
      <c r="AE483" s="1" t="s">
        <v>213</v>
      </c>
      <c r="AF483" s="1" t="s">
        <v>49</v>
      </c>
      <c r="AG483" s="1" t="s">
        <v>49</v>
      </c>
      <c r="AH483" s="1" t="s">
        <v>199</v>
      </c>
      <c r="AI483" s="1" t="s">
        <v>200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>
        <v>0.22600000000000001</v>
      </c>
      <c r="AS483" s="6" t="s">
        <v>49</v>
      </c>
      <c r="AT483" s="6" t="s">
        <v>49</v>
      </c>
      <c r="AU483" s="6" t="s">
        <v>49</v>
      </c>
      <c r="AV483" s="1" t="s">
        <v>49</v>
      </c>
      <c r="AW483" s="30" t="s">
        <v>49</v>
      </c>
    </row>
    <row r="484" spans="1:49">
      <c r="A484" s="1">
        <v>20</v>
      </c>
      <c r="B484" s="1" t="s">
        <v>38</v>
      </c>
      <c r="C484" s="1" t="s">
        <v>38</v>
      </c>
      <c r="D484" s="3" t="s">
        <v>549</v>
      </c>
      <c r="E484" s="1" t="s">
        <v>190</v>
      </c>
      <c r="F484" s="1">
        <v>1995</v>
      </c>
      <c r="G484" s="1" t="s">
        <v>162</v>
      </c>
      <c r="H484" s="3" t="s">
        <v>191</v>
      </c>
      <c r="I484" s="3" t="s">
        <v>192</v>
      </c>
      <c r="J484" s="1" t="s">
        <v>193</v>
      </c>
      <c r="K484" s="1" t="s">
        <v>45</v>
      </c>
      <c r="L484" s="3" t="s">
        <v>46</v>
      </c>
      <c r="M484" s="1" t="s">
        <v>12</v>
      </c>
      <c r="N484" s="1" t="s">
        <v>80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194</v>
      </c>
      <c r="V484" s="3" t="s">
        <v>218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210</v>
      </c>
      <c r="AE484" s="1" t="s">
        <v>212</v>
      </c>
      <c r="AF484" s="1" t="s">
        <v>49</v>
      </c>
      <c r="AG484" s="1" t="s">
        <v>49</v>
      </c>
      <c r="AH484" s="1" t="s">
        <v>199</v>
      </c>
      <c r="AI484" s="1" t="s">
        <v>200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>
        <v>-0.34699999999999998</v>
      </c>
      <c r="AS484" s="6" t="s">
        <v>49</v>
      </c>
      <c r="AT484" s="6" t="s">
        <v>49</v>
      </c>
      <c r="AU484" s="6" t="s">
        <v>49</v>
      </c>
      <c r="AV484" s="1" t="s">
        <v>49</v>
      </c>
      <c r="AW484" s="30" t="s">
        <v>49</v>
      </c>
    </row>
    <row r="485" spans="1:49">
      <c r="A485" s="1">
        <v>20</v>
      </c>
      <c r="B485" s="1" t="s">
        <v>38</v>
      </c>
      <c r="C485" s="1" t="s">
        <v>38</v>
      </c>
      <c r="D485" s="3" t="s">
        <v>549</v>
      </c>
      <c r="E485" s="1" t="s">
        <v>190</v>
      </c>
      <c r="F485" s="1">
        <v>1995</v>
      </c>
      <c r="G485" s="1" t="s">
        <v>162</v>
      </c>
      <c r="H485" s="3" t="s">
        <v>191</v>
      </c>
      <c r="I485" s="3" t="s">
        <v>192</v>
      </c>
      <c r="J485" s="1" t="s">
        <v>193</v>
      </c>
      <c r="K485" s="1" t="s">
        <v>45</v>
      </c>
      <c r="L485" s="3" t="s">
        <v>46</v>
      </c>
      <c r="M485" s="1" t="s">
        <v>12</v>
      </c>
      <c r="N485" s="1" t="s">
        <v>80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194</v>
      </c>
      <c r="V485" s="3" t="s">
        <v>218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210</v>
      </c>
      <c r="AE485" s="1" t="s">
        <v>205</v>
      </c>
      <c r="AF485" s="1" t="s">
        <v>49</v>
      </c>
      <c r="AG485" s="1" t="s">
        <v>49</v>
      </c>
      <c r="AH485" s="1" t="s">
        <v>199</v>
      </c>
      <c r="AI485" s="1" t="s">
        <v>200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>
        <v>-1.4E-2</v>
      </c>
      <c r="AS485" s="6" t="s">
        <v>49</v>
      </c>
      <c r="AT485" s="6" t="s">
        <v>49</v>
      </c>
      <c r="AU485" s="6" t="s">
        <v>49</v>
      </c>
      <c r="AV485" s="1" t="s">
        <v>49</v>
      </c>
      <c r="AW485" s="30" t="s">
        <v>49</v>
      </c>
    </row>
    <row r="486" spans="1:49">
      <c r="A486" s="1">
        <v>20</v>
      </c>
      <c r="B486" s="1" t="s">
        <v>38</v>
      </c>
      <c r="C486" s="1" t="s">
        <v>38</v>
      </c>
      <c r="D486" s="3" t="s">
        <v>549</v>
      </c>
      <c r="E486" s="1" t="s">
        <v>190</v>
      </c>
      <c r="F486" s="1">
        <v>1995</v>
      </c>
      <c r="G486" s="1" t="s">
        <v>162</v>
      </c>
      <c r="H486" s="3" t="s">
        <v>191</v>
      </c>
      <c r="I486" s="3" t="s">
        <v>192</v>
      </c>
      <c r="J486" s="1" t="s">
        <v>193</v>
      </c>
      <c r="K486" s="1" t="s">
        <v>45</v>
      </c>
      <c r="L486" s="3" t="s">
        <v>46</v>
      </c>
      <c r="M486" s="1" t="s">
        <v>12</v>
      </c>
      <c r="N486" s="1" t="s">
        <v>80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194</v>
      </c>
      <c r="V486" s="3" t="s">
        <v>218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210</v>
      </c>
      <c r="AE486" s="1" t="s">
        <v>206</v>
      </c>
      <c r="AF486" s="1" t="s">
        <v>49</v>
      </c>
      <c r="AG486" s="1" t="s">
        <v>49</v>
      </c>
      <c r="AH486" s="1" t="s">
        <v>199</v>
      </c>
      <c r="AI486" s="1" t="s">
        <v>200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>
        <v>-0.28100000000000003</v>
      </c>
      <c r="AS486" s="6" t="s">
        <v>49</v>
      </c>
      <c r="AT486" s="6" t="s">
        <v>49</v>
      </c>
      <c r="AU486" s="6" t="s">
        <v>49</v>
      </c>
      <c r="AV486" s="1" t="s">
        <v>49</v>
      </c>
      <c r="AW486" s="30" t="s">
        <v>49</v>
      </c>
    </row>
    <row r="487" spans="1:49">
      <c r="A487" s="1">
        <v>20</v>
      </c>
      <c r="B487" s="1" t="s">
        <v>38</v>
      </c>
      <c r="C487" s="1" t="s">
        <v>38</v>
      </c>
      <c r="D487" s="3" t="s">
        <v>549</v>
      </c>
      <c r="E487" s="1" t="s">
        <v>190</v>
      </c>
      <c r="F487" s="1">
        <v>1995</v>
      </c>
      <c r="G487" s="1" t="s">
        <v>162</v>
      </c>
      <c r="H487" s="3" t="s">
        <v>191</v>
      </c>
      <c r="I487" s="3" t="s">
        <v>192</v>
      </c>
      <c r="J487" s="1" t="s">
        <v>193</v>
      </c>
      <c r="K487" s="1" t="s">
        <v>45</v>
      </c>
      <c r="L487" s="3" t="s">
        <v>46</v>
      </c>
      <c r="M487" s="1" t="s">
        <v>12</v>
      </c>
      <c r="N487" s="1" t="s">
        <v>80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194</v>
      </c>
      <c r="V487" s="3" t="s">
        <v>218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210</v>
      </c>
      <c r="AE487" s="1" t="s">
        <v>207</v>
      </c>
      <c r="AF487" s="1" t="s">
        <v>49</v>
      </c>
      <c r="AG487" s="1" t="s">
        <v>49</v>
      </c>
      <c r="AH487" s="1" t="s">
        <v>199</v>
      </c>
      <c r="AI487" s="1" t="s">
        <v>200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>
        <v>0.112</v>
      </c>
      <c r="AS487" s="6" t="s">
        <v>49</v>
      </c>
      <c r="AT487" s="6" t="s">
        <v>49</v>
      </c>
      <c r="AU487" s="6" t="s">
        <v>49</v>
      </c>
      <c r="AV487" s="1" t="s">
        <v>49</v>
      </c>
      <c r="AW487" s="30" t="s">
        <v>49</v>
      </c>
    </row>
    <row r="488" spans="1:49">
      <c r="A488" s="1">
        <v>20</v>
      </c>
      <c r="B488" s="1" t="s">
        <v>38</v>
      </c>
      <c r="C488" s="1" t="s">
        <v>38</v>
      </c>
      <c r="D488" s="3" t="s">
        <v>549</v>
      </c>
      <c r="E488" s="1" t="s">
        <v>190</v>
      </c>
      <c r="F488" s="1">
        <v>1995</v>
      </c>
      <c r="G488" s="1" t="s">
        <v>162</v>
      </c>
      <c r="H488" s="3" t="s">
        <v>191</v>
      </c>
      <c r="I488" s="3" t="s">
        <v>192</v>
      </c>
      <c r="J488" s="1" t="s">
        <v>193</v>
      </c>
      <c r="K488" s="1" t="s">
        <v>45</v>
      </c>
      <c r="L488" s="3" t="s">
        <v>46</v>
      </c>
      <c r="M488" s="1" t="s">
        <v>12</v>
      </c>
      <c r="N488" s="1" t="s">
        <v>80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194</v>
      </c>
      <c r="V488" s="3" t="s">
        <v>218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210</v>
      </c>
      <c r="AE488" s="1" t="s">
        <v>198</v>
      </c>
      <c r="AF488" s="1" t="s">
        <v>49</v>
      </c>
      <c r="AG488" s="1" t="s">
        <v>49</v>
      </c>
      <c r="AH488" s="1" t="s">
        <v>199</v>
      </c>
      <c r="AI488" s="1" t="s">
        <v>200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>
        <v>-0.11</v>
      </c>
      <c r="AS488" s="6" t="s">
        <v>49</v>
      </c>
      <c r="AT488" s="6" t="s">
        <v>49</v>
      </c>
      <c r="AU488" s="6" t="s">
        <v>49</v>
      </c>
      <c r="AV488" s="1" t="s">
        <v>49</v>
      </c>
      <c r="AW488" s="30" t="s">
        <v>49</v>
      </c>
    </row>
    <row r="489" spans="1:49">
      <c r="A489" s="1">
        <v>20</v>
      </c>
      <c r="B489" s="1" t="s">
        <v>38</v>
      </c>
      <c r="C489" s="1" t="s">
        <v>38</v>
      </c>
      <c r="D489" s="3" t="s">
        <v>549</v>
      </c>
      <c r="E489" s="1" t="s">
        <v>190</v>
      </c>
      <c r="F489" s="1">
        <v>1995</v>
      </c>
      <c r="G489" s="1" t="s">
        <v>162</v>
      </c>
      <c r="H489" s="3" t="s">
        <v>191</v>
      </c>
      <c r="I489" s="3" t="s">
        <v>192</v>
      </c>
      <c r="J489" s="1" t="s">
        <v>193</v>
      </c>
      <c r="K489" s="1" t="s">
        <v>45</v>
      </c>
      <c r="L489" s="3" t="s">
        <v>46</v>
      </c>
      <c r="M489" s="1" t="s">
        <v>12</v>
      </c>
      <c r="N489" s="1" t="s">
        <v>80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194</v>
      </c>
      <c r="V489" s="3" t="s">
        <v>218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210</v>
      </c>
      <c r="AE489" s="1" t="s">
        <v>214</v>
      </c>
      <c r="AF489" s="1" t="s">
        <v>49</v>
      </c>
      <c r="AG489" s="1" t="s">
        <v>49</v>
      </c>
      <c r="AH489" s="1" t="s">
        <v>199</v>
      </c>
      <c r="AI489" s="1" t="s">
        <v>200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>
        <v>-9.2999999999999999E-2</v>
      </c>
      <c r="AS489" s="6" t="s">
        <v>49</v>
      </c>
      <c r="AT489" s="6" t="s">
        <v>49</v>
      </c>
      <c r="AU489" s="6" t="s">
        <v>49</v>
      </c>
      <c r="AV489" s="1" t="s">
        <v>49</v>
      </c>
      <c r="AW489" s="30" t="s">
        <v>49</v>
      </c>
    </row>
    <row r="490" spans="1:49">
      <c r="A490" s="1">
        <v>20</v>
      </c>
      <c r="B490" s="1" t="s">
        <v>38</v>
      </c>
      <c r="C490" s="1" t="s">
        <v>38</v>
      </c>
      <c r="D490" s="3" t="s">
        <v>549</v>
      </c>
      <c r="E490" s="1" t="s">
        <v>190</v>
      </c>
      <c r="F490" s="1">
        <v>1995</v>
      </c>
      <c r="G490" s="1" t="s">
        <v>162</v>
      </c>
      <c r="H490" s="3" t="s">
        <v>191</v>
      </c>
      <c r="I490" s="3" t="s">
        <v>192</v>
      </c>
      <c r="J490" s="1" t="s">
        <v>193</v>
      </c>
      <c r="K490" s="1" t="s">
        <v>45</v>
      </c>
      <c r="L490" s="3" t="s">
        <v>46</v>
      </c>
      <c r="M490" s="1" t="s">
        <v>12</v>
      </c>
      <c r="N490" s="1" t="s">
        <v>80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194</v>
      </c>
      <c r="V490" s="3" t="s">
        <v>218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210</v>
      </c>
      <c r="AE490" s="1" t="s">
        <v>213</v>
      </c>
      <c r="AF490" s="1" t="s">
        <v>49</v>
      </c>
      <c r="AG490" s="1" t="s">
        <v>49</v>
      </c>
      <c r="AH490" s="1" t="s">
        <v>199</v>
      </c>
      <c r="AI490" s="1" t="s">
        <v>200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>
        <v>-0.09</v>
      </c>
      <c r="AS490" s="6" t="s">
        <v>49</v>
      </c>
      <c r="AT490" s="6" t="s">
        <v>49</v>
      </c>
      <c r="AU490" s="6" t="s">
        <v>49</v>
      </c>
      <c r="AV490" s="1" t="s">
        <v>49</v>
      </c>
      <c r="AW490" s="30" t="s">
        <v>49</v>
      </c>
    </row>
    <row r="491" spans="1:49">
      <c r="A491" s="1">
        <v>20</v>
      </c>
      <c r="B491" s="1" t="s">
        <v>38</v>
      </c>
      <c r="C491" s="1" t="s">
        <v>38</v>
      </c>
      <c r="D491" s="3" t="s">
        <v>549</v>
      </c>
      <c r="E491" s="1" t="s">
        <v>190</v>
      </c>
      <c r="F491" s="1">
        <v>1995</v>
      </c>
      <c r="G491" s="1" t="s">
        <v>162</v>
      </c>
      <c r="H491" s="3" t="s">
        <v>191</v>
      </c>
      <c r="I491" s="3" t="s">
        <v>192</v>
      </c>
      <c r="J491" s="1" t="s">
        <v>193</v>
      </c>
      <c r="K491" s="1" t="s">
        <v>45</v>
      </c>
      <c r="L491" s="3" t="s">
        <v>46</v>
      </c>
      <c r="M491" s="1" t="s">
        <v>12</v>
      </c>
      <c r="N491" s="1" t="s">
        <v>80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194</v>
      </c>
      <c r="V491" s="3" t="s">
        <v>218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212</v>
      </c>
      <c r="AE491" s="1" t="s">
        <v>205</v>
      </c>
      <c r="AF491" s="1" t="s">
        <v>49</v>
      </c>
      <c r="AG491" s="1" t="s">
        <v>49</v>
      </c>
      <c r="AH491" s="1" t="s">
        <v>199</v>
      </c>
      <c r="AI491" s="1" t="s">
        <v>200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>
        <v>0.32500000000000001</v>
      </c>
      <c r="AS491" s="6" t="s">
        <v>49</v>
      </c>
      <c r="AT491" s="6" t="s">
        <v>49</v>
      </c>
      <c r="AU491" s="6" t="s">
        <v>49</v>
      </c>
      <c r="AV491" s="1" t="s">
        <v>49</v>
      </c>
      <c r="AW491" s="30" t="s">
        <v>49</v>
      </c>
    </row>
    <row r="492" spans="1:49">
      <c r="A492" s="1">
        <v>20</v>
      </c>
      <c r="B492" s="1" t="s">
        <v>38</v>
      </c>
      <c r="C492" s="1" t="s">
        <v>38</v>
      </c>
      <c r="D492" s="3" t="s">
        <v>549</v>
      </c>
      <c r="E492" s="1" t="s">
        <v>190</v>
      </c>
      <c r="F492" s="1">
        <v>1995</v>
      </c>
      <c r="G492" s="1" t="s">
        <v>162</v>
      </c>
      <c r="H492" s="3" t="s">
        <v>191</v>
      </c>
      <c r="I492" s="3" t="s">
        <v>192</v>
      </c>
      <c r="J492" s="1" t="s">
        <v>193</v>
      </c>
      <c r="K492" s="1" t="s">
        <v>45</v>
      </c>
      <c r="L492" s="3" t="s">
        <v>46</v>
      </c>
      <c r="M492" s="1" t="s">
        <v>12</v>
      </c>
      <c r="N492" s="1" t="s">
        <v>80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194</v>
      </c>
      <c r="V492" s="3" t="s">
        <v>218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212</v>
      </c>
      <c r="AE492" s="1" t="s">
        <v>206</v>
      </c>
      <c r="AF492" s="1" t="s">
        <v>49</v>
      </c>
      <c r="AG492" s="1" t="s">
        <v>49</v>
      </c>
      <c r="AH492" s="1" t="s">
        <v>199</v>
      </c>
      <c r="AI492" s="1" t="s">
        <v>200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>
        <v>0.22</v>
      </c>
      <c r="AS492" s="6" t="s">
        <v>49</v>
      </c>
      <c r="AT492" s="6" t="s">
        <v>49</v>
      </c>
      <c r="AU492" s="6" t="s">
        <v>49</v>
      </c>
      <c r="AV492" s="1" t="s">
        <v>49</v>
      </c>
      <c r="AW492" s="30" t="s">
        <v>49</v>
      </c>
    </row>
    <row r="493" spans="1:49">
      <c r="A493" s="1">
        <v>20</v>
      </c>
      <c r="B493" s="1" t="s">
        <v>38</v>
      </c>
      <c r="C493" s="1" t="s">
        <v>38</v>
      </c>
      <c r="D493" s="3" t="s">
        <v>549</v>
      </c>
      <c r="E493" s="1" t="s">
        <v>190</v>
      </c>
      <c r="F493" s="1">
        <v>1995</v>
      </c>
      <c r="G493" s="1" t="s">
        <v>162</v>
      </c>
      <c r="H493" s="3" t="s">
        <v>191</v>
      </c>
      <c r="I493" s="3" t="s">
        <v>192</v>
      </c>
      <c r="J493" s="1" t="s">
        <v>193</v>
      </c>
      <c r="K493" s="1" t="s">
        <v>45</v>
      </c>
      <c r="L493" s="3" t="s">
        <v>46</v>
      </c>
      <c r="M493" s="1" t="s">
        <v>12</v>
      </c>
      <c r="N493" s="1" t="s">
        <v>80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194</v>
      </c>
      <c r="V493" s="3" t="s">
        <v>218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212</v>
      </c>
      <c r="AE493" s="1" t="s">
        <v>207</v>
      </c>
      <c r="AF493" s="1" t="s">
        <v>49</v>
      </c>
      <c r="AG493" s="1" t="s">
        <v>49</v>
      </c>
      <c r="AH493" s="1" t="s">
        <v>199</v>
      </c>
      <c r="AI493" s="1" t="s">
        <v>200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>
        <v>0.217</v>
      </c>
      <c r="AS493" s="6" t="s">
        <v>49</v>
      </c>
      <c r="AT493" s="6" t="s">
        <v>49</v>
      </c>
      <c r="AU493" s="6" t="s">
        <v>49</v>
      </c>
      <c r="AV493" s="1" t="s">
        <v>49</v>
      </c>
      <c r="AW493" s="30" t="s">
        <v>49</v>
      </c>
    </row>
    <row r="494" spans="1:49">
      <c r="A494" s="1">
        <v>20</v>
      </c>
      <c r="B494" s="1" t="s">
        <v>38</v>
      </c>
      <c r="C494" s="1" t="s">
        <v>38</v>
      </c>
      <c r="D494" s="3" t="s">
        <v>549</v>
      </c>
      <c r="E494" s="1" t="s">
        <v>190</v>
      </c>
      <c r="F494" s="1">
        <v>1995</v>
      </c>
      <c r="G494" s="1" t="s">
        <v>162</v>
      </c>
      <c r="H494" s="3" t="s">
        <v>191</v>
      </c>
      <c r="I494" s="3" t="s">
        <v>192</v>
      </c>
      <c r="J494" s="1" t="s">
        <v>193</v>
      </c>
      <c r="K494" s="1" t="s">
        <v>45</v>
      </c>
      <c r="L494" s="3" t="s">
        <v>46</v>
      </c>
      <c r="M494" s="1" t="s">
        <v>12</v>
      </c>
      <c r="N494" s="1" t="s">
        <v>80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194</v>
      </c>
      <c r="V494" s="3" t="s">
        <v>218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212</v>
      </c>
      <c r="AE494" s="1" t="s">
        <v>198</v>
      </c>
      <c r="AF494" s="1" t="s">
        <v>49</v>
      </c>
      <c r="AG494" s="1" t="s">
        <v>49</v>
      </c>
      <c r="AH494" s="1" t="s">
        <v>199</v>
      </c>
      <c r="AI494" s="1" t="s">
        <v>200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>
        <v>0.38500000000000001</v>
      </c>
      <c r="AS494" s="6" t="s">
        <v>49</v>
      </c>
      <c r="AT494" s="6" t="s">
        <v>49</v>
      </c>
      <c r="AU494" s="6" t="s">
        <v>49</v>
      </c>
      <c r="AV494" s="1" t="s">
        <v>49</v>
      </c>
      <c r="AW494" s="30" t="s">
        <v>49</v>
      </c>
    </row>
    <row r="495" spans="1:49">
      <c r="A495" s="1">
        <v>20</v>
      </c>
      <c r="B495" s="1" t="s">
        <v>38</v>
      </c>
      <c r="C495" s="1" t="s">
        <v>38</v>
      </c>
      <c r="D495" s="3" t="s">
        <v>549</v>
      </c>
      <c r="E495" s="1" t="s">
        <v>190</v>
      </c>
      <c r="F495" s="1">
        <v>1995</v>
      </c>
      <c r="G495" s="1" t="s">
        <v>162</v>
      </c>
      <c r="H495" s="3" t="s">
        <v>191</v>
      </c>
      <c r="I495" s="3" t="s">
        <v>192</v>
      </c>
      <c r="J495" s="1" t="s">
        <v>193</v>
      </c>
      <c r="K495" s="1" t="s">
        <v>45</v>
      </c>
      <c r="L495" s="3" t="s">
        <v>46</v>
      </c>
      <c r="M495" s="1" t="s">
        <v>12</v>
      </c>
      <c r="N495" s="1" t="s">
        <v>80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194</v>
      </c>
      <c r="V495" s="3" t="s">
        <v>218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212</v>
      </c>
      <c r="AE495" s="1" t="s">
        <v>214</v>
      </c>
      <c r="AF495" s="1" t="s">
        <v>49</v>
      </c>
      <c r="AG495" s="1" t="s">
        <v>49</v>
      </c>
      <c r="AH495" s="1" t="s">
        <v>199</v>
      </c>
      <c r="AI495" s="1" t="s">
        <v>200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>
        <v>0.253</v>
      </c>
      <c r="AS495" s="6" t="s">
        <v>49</v>
      </c>
      <c r="AT495" s="6" t="s">
        <v>49</v>
      </c>
      <c r="AU495" s="6" t="s">
        <v>49</v>
      </c>
      <c r="AV495" s="1" t="s">
        <v>49</v>
      </c>
      <c r="AW495" s="30" t="s">
        <v>49</v>
      </c>
    </row>
    <row r="496" spans="1:49">
      <c r="A496" s="1">
        <v>20</v>
      </c>
      <c r="B496" s="1" t="s">
        <v>38</v>
      </c>
      <c r="C496" s="1" t="s">
        <v>38</v>
      </c>
      <c r="D496" s="3" t="s">
        <v>549</v>
      </c>
      <c r="E496" s="1" t="s">
        <v>190</v>
      </c>
      <c r="F496" s="1">
        <v>1995</v>
      </c>
      <c r="G496" s="1" t="s">
        <v>162</v>
      </c>
      <c r="H496" s="3" t="s">
        <v>191</v>
      </c>
      <c r="I496" s="3" t="s">
        <v>192</v>
      </c>
      <c r="J496" s="1" t="s">
        <v>193</v>
      </c>
      <c r="K496" s="1" t="s">
        <v>45</v>
      </c>
      <c r="L496" s="3" t="s">
        <v>46</v>
      </c>
      <c r="M496" s="1" t="s">
        <v>12</v>
      </c>
      <c r="N496" s="1" t="s">
        <v>80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194</v>
      </c>
      <c r="V496" s="3" t="s">
        <v>218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212</v>
      </c>
      <c r="AE496" s="1" t="s">
        <v>213</v>
      </c>
      <c r="AF496" s="1" t="s">
        <v>49</v>
      </c>
      <c r="AG496" s="1" t="s">
        <v>49</v>
      </c>
      <c r="AH496" s="1" t="s">
        <v>199</v>
      </c>
      <c r="AI496" s="1" t="s">
        <v>200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>
        <v>-7.5999999999999998E-2</v>
      </c>
      <c r="AS496" s="6" t="s">
        <v>49</v>
      </c>
      <c r="AT496" s="6" t="s">
        <v>49</v>
      </c>
      <c r="AU496" s="6" t="s">
        <v>49</v>
      </c>
      <c r="AV496" s="1" t="s">
        <v>49</v>
      </c>
      <c r="AW496" s="30" t="s">
        <v>49</v>
      </c>
    </row>
    <row r="497" spans="1:49">
      <c r="A497" s="1">
        <v>20</v>
      </c>
      <c r="B497" s="1" t="s">
        <v>38</v>
      </c>
      <c r="C497" s="1" t="s">
        <v>38</v>
      </c>
      <c r="D497" s="3" t="s">
        <v>549</v>
      </c>
      <c r="E497" s="1" t="s">
        <v>190</v>
      </c>
      <c r="F497" s="1">
        <v>1995</v>
      </c>
      <c r="G497" s="1" t="s">
        <v>162</v>
      </c>
      <c r="H497" s="3" t="s">
        <v>191</v>
      </c>
      <c r="I497" s="3" t="s">
        <v>192</v>
      </c>
      <c r="J497" s="1" t="s">
        <v>193</v>
      </c>
      <c r="K497" s="1" t="s">
        <v>45</v>
      </c>
      <c r="L497" s="3" t="s">
        <v>46</v>
      </c>
      <c r="M497" s="1" t="s">
        <v>12</v>
      </c>
      <c r="N497" s="1" t="s">
        <v>80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194</v>
      </c>
      <c r="V497" s="3" t="s">
        <v>218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205</v>
      </c>
      <c r="AE497" s="1" t="s">
        <v>206</v>
      </c>
      <c r="AF497" s="1" t="s">
        <v>49</v>
      </c>
      <c r="AG497" s="1" t="s">
        <v>49</v>
      </c>
      <c r="AH497" s="1" t="s">
        <v>199</v>
      </c>
      <c r="AI497" s="1" t="s">
        <v>200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>
        <v>5.3999999999999999E-2</v>
      </c>
      <c r="AS497" s="6" t="s">
        <v>49</v>
      </c>
      <c r="AT497" s="6" t="s">
        <v>49</v>
      </c>
      <c r="AU497" s="6" t="s">
        <v>49</v>
      </c>
      <c r="AV497" s="1" t="s">
        <v>49</v>
      </c>
      <c r="AW497" s="30" t="s">
        <v>49</v>
      </c>
    </row>
    <row r="498" spans="1:49">
      <c r="A498" s="1">
        <v>20</v>
      </c>
      <c r="B498" s="1" t="s">
        <v>38</v>
      </c>
      <c r="C498" s="1" t="s">
        <v>38</v>
      </c>
      <c r="D498" s="3" t="s">
        <v>549</v>
      </c>
      <c r="E498" s="1" t="s">
        <v>190</v>
      </c>
      <c r="F498" s="1">
        <v>1995</v>
      </c>
      <c r="G498" s="1" t="s">
        <v>162</v>
      </c>
      <c r="H498" s="3" t="s">
        <v>191</v>
      </c>
      <c r="I498" s="3" t="s">
        <v>192</v>
      </c>
      <c r="J498" s="1" t="s">
        <v>193</v>
      </c>
      <c r="K498" s="1" t="s">
        <v>45</v>
      </c>
      <c r="L498" s="3" t="s">
        <v>46</v>
      </c>
      <c r="M498" s="1" t="s">
        <v>12</v>
      </c>
      <c r="N498" s="1" t="s">
        <v>80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194</v>
      </c>
      <c r="V498" s="3" t="s">
        <v>218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205</v>
      </c>
      <c r="AE498" s="1" t="s">
        <v>207</v>
      </c>
      <c r="AF498" s="1" t="s">
        <v>49</v>
      </c>
      <c r="AG498" s="1" t="s">
        <v>49</v>
      </c>
      <c r="AH498" s="1" t="s">
        <v>199</v>
      </c>
      <c r="AI498" s="1" t="s">
        <v>200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>
        <v>2.1000000000000001E-2</v>
      </c>
      <c r="AS498" s="6" t="s">
        <v>49</v>
      </c>
      <c r="AT498" s="6" t="s">
        <v>49</v>
      </c>
      <c r="AU498" s="6" t="s">
        <v>49</v>
      </c>
      <c r="AV498" s="1" t="s">
        <v>49</v>
      </c>
      <c r="AW498" s="30" t="s">
        <v>49</v>
      </c>
    </row>
    <row r="499" spans="1:49">
      <c r="A499" s="1">
        <v>20</v>
      </c>
      <c r="B499" s="1" t="s">
        <v>38</v>
      </c>
      <c r="C499" s="1" t="s">
        <v>38</v>
      </c>
      <c r="D499" s="3" t="s">
        <v>549</v>
      </c>
      <c r="E499" s="1" t="s">
        <v>190</v>
      </c>
      <c r="F499" s="1">
        <v>1995</v>
      </c>
      <c r="G499" s="1" t="s">
        <v>162</v>
      </c>
      <c r="H499" s="3" t="s">
        <v>191</v>
      </c>
      <c r="I499" s="3" t="s">
        <v>192</v>
      </c>
      <c r="J499" s="1" t="s">
        <v>193</v>
      </c>
      <c r="K499" s="1" t="s">
        <v>45</v>
      </c>
      <c r="L499" s="3" t="s">
        <v>46</v>
      </c>
      <c r="M499" s="1" t="s">
        <v>12</v>
      </c>
      <c r="N499" s="1" t="s">
        <v>80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194</v>
      </c>
      <c r="V499" s="3" t="s">
        <v>218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205</v>
      </c>
      <c r="AE499" s="1" t="s">
        <v>198</v>
      </c>
      <c r="AF499" s="1" t="s">
        <v>49</v>
      </c>
      <c r="AG499" s="1" t="s">
        <v>49</v>
      </c>
      <c r="AH499" s="1" t="s">
        <v>199</v>
      </c>
      <c r="AI499" s="1" t="s">
        <v>200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6" t="s">
        <v>49</v>
      </c>
      <c r="AV499" s="1" t="s">
        <v>49</v>
      </c>
      <c r="AW499" s="30" t="s">
        <v>49</v>
      </c>
    </row>
    <row r="500" spans="1:49">
      <c r="A500" s="1">
        <v>20</v>
      </c>
      <c r="B500" s="1" t="s">
        <v>38</v>
      </c>
      <c r="C500" s="1" t="s">
        <v>38</v>
      </c>
      <c r="D500" s="3" t="s">
        <v>549</v>
      </c>
      <c r="E500" s="1" t="s">
        <v>190</v>
      </c>
      <c r="F500" s="1">
        <v>1995</v>
      </c>
      <c r="G500" s="1" t="s">
        <v>162</v>
      </c>
      <c r="H500" s="3" t="s">
        <v>191</v>
      </c>
      <c r="I500" s="3" t="s">
        <v>192</v>
      </c>
      <c r="J500" s="1" t="s">
        <v>193</v>
      </c>
      <c r="K500" s="1" t="s">
        <v>45</v>
      </c>
      <c r="L500" s="3" t="s">
        <v>46</v>
      </c>
      <c r="M500" s="1" t="s">
        <v>12</v>
      </c>
      <c r="N500" s="1" t="s">
        <v>80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194</v>
      </c>
      <c r="V500" s="3" t="s">
        <v>218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205</v>
      </c>
      <c r="AE500" s="1" t="s">
        <v>214</v>
      </c>
      <c r="AF500" s="1" t="s">
        <v>49</v>
      </c>
      <c r="AG500" s="1" t="s">
        <v>49</v>
      </c>
      <c r="AH500" s="1" t="s">
        <v>199</v>
      </c>
      <c r="AI500" s="1" t="s">
        <v>200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>
        <v>9.2999999999999999E-2</v>
      </c>
      <c r="AS500" s="6" t="s">
        <v>49</v>
      </c>
      <c r="AT500" s="6" t="s">
        <v>49</v>
      </c>
      <c r="AU500" s="6" t="s">
        <v>49</v>
      </c>
      <c r="AV500" s="1" t="s">
        <v>49</v>
      </c>
      <c r="AW500" s="30" t="s">
        <v>49</v>
      </c>
    </row>
    <row r="501" spans="1:49">
      <c r="A501" s="1">
        <v>20</v>
      </c>
      <c r="B501" s="1" t="s">
        <v>38</v>
      </c>
      <c r="C501" s="1" t="s">
        <v>38</v>
      </c>
      <c r="D501" s="3" t="s">
        <v>549</v>
      </c>
      <c r="E501" s="1" t="s">
        <v>190</v>
      </c>
      <c r="F501" s="1">
        <v>1995</v>
      </c>
      <c r="G501" s="1" t="s">
        <v>162</v>
      </c>
      <c r="H501" s="3" t="s">
        <v>191</v>
      </c>
      <c r="I501" s="3" t="s">
        <v>192</v>
      </c>
      <c r="J501" s="1" t="s">
        <v>193</v>
      </c>
      <c r="K501" s="1" t="s">
        <v>45</v>
      </c>
      <c r="L501" s="3" t="s">
        <v>46</v>
      </c>
      <c r="M501" s="1" t="s">
        <v>12</v>
      </c>
      <c r="N501" s="1" t="s">
        <v>80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194</v>
      </c>
      <c r="V501" s="3" t="s">
        <v>218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205</v>
      </c>
      <c r="AE501" s="1" t="s">
        <v>213</v>
      </c>
      <c r="AF501" s="1" t="s">
        <v>49</v>
      </c>
      <c r="AG501" s="1" t="s">
        <v>49</v>
      </c>
      <c r="AH501" s="1" t="s">
        <v>199</v>
      </c>
      <c r="AI501" s="1" t="s">
        <v>200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>
        <v>-0.27800000000000002</v>
      </c>
      <c r="AS501" s="6" t="s">
        <v>49</v>
      </c>
      <c r="AT501" s="6" t="s">
        <v>49</v>
      </c>
      <c r="AU501" s="6" t="s">
        <v>49</v>
      </c>
      <c r="AV501" s="1" t="s">
        <v>49</v>
      </c>
      <c r="AW501" s="30" t="s">
        <v>49</v>
      </c>
    </row>
    <row r="502" spans="1:49">
      <c r="A502" s="1">
        <v>20</v>
      </c>
      <c r="B502" s="1" t="s">
        <v>38</v>
      </c>
      <c r="C502" s="1" t="s">
        <v>38</v>
      </c>
      <c r="D502" s="3" t="s">
        <v>549</v>
      </c>
      <c r="E502" s="1" t="s">
        <v>190</v>
      </c>
      <c r="F502" s="1">
        <v>1995</v>
      </c>
      <c r="G502" s="1" t="s">
        <v>162</v>
      </c>
      <c r="H502" s="3" t="s">
        <v>191</v>
      </c>
      <c r="I502" s="3" t="s">
        <v>192</v>
      </c>
      <c r="J502" s="1" t="s">
        <v>193</v>
      </c>
      <c r="K502" s="1" t="s">
        <v>45</v>
      </c>
      <c r="L502" s="3" t="s">
        <v>46</v>
      </c>
      <c r="M502" s="1" t="s">
        <v>12</v>
      </c>
      <c r="N502" s="1" t="s">
        <v>80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194</v>
      </c>
      <c r="V502" s="3" t="s">
        <v>218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206</v>
      </c>
      <c r="AE502" s="1" t="s">
        <v>207</v>
      </c>
      <c r="AF502" s="1" t="s">
        <v>49</v>
      </c>
      <c r="AG502" s="1" t="s">
        <v>49</v>
      </c>
      <c r="AH502" s="1" t="s">
        <v>199</v>
      </c>
      <c r="AI502" s="1" t="s">
        <v>200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>
        <v>5.7000000000000002E-2</v>
      </c>
      <c r="AS502" s="6" t="s">
        <v>49</v>
      </c>
      <c r="AT502" s="6" t="s">
        <v>49</v>
      </c>
      <c r="AU502" s="6" t="s">
        <v>49</v>
      </c>
      <c r="AV502" s="1" t="s">
        <v>49</v>
      </c>
      <c r="AW502" s="30" t="s">
        <v>49</v>
      </c>
    </row>
    <row r="503" spans="1:49">
      <c r="A503" s="1">
        <v>20</v>
      </c>
      <c r="B503" s="1" t="s">
        <v>38</v>
      </c>
      <c r="C503" s="1" t="s">
        <v>38</v>
      </c>
      <c r="D503" s="3" t="s">
        <v>549</v>
      </c>
      <c r="E503" s="1" t="s">
        <v>190</v>
      </c>
      <c r="F503" s="1">
        <v>1995</v>
      </c>
      <c r="G503" s="1" t="s">
        <v>162</v>
      </c>
      <c r="H503" s="3" t="s">
        <v>191</v>
      </c>
      <c r="I503" s="3" t="s">
        <v>192</v>
      </c>
      <c r="J503" s="1" t="s">
        <v>193</v>
      </c>
      <c r="K503" s="1" t="s">
        <v>45</v>
      </c>
      <c r="L503" s="3" t="s">
        <v>46</v>
      </c>
      <c r="M503" s="1" t="s">
        <v>12</v>
      </c>
      <c r="N503" s="1" t="s">
        <v>80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194</v>
      </c>
      <c r="V503" s="3" t="s">
        <v>218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206</v>
      </c>
      <c r="AE503" s="1" t="s">
        <v>198</v>
      </c>
      <c r="AF503" s="1" t="s">
        <v>49</v>
      </c>
      <c r="AG503" s="1" t="s">
        <v>49</v>
      </c>
      <c r="AH503" s="1" t="s">
        <v>199</v>
      </c>
      <c r="AI503" s="1" t="s">
        <v>200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>
        <v>8.5999999999999993E-2</v>
      </c>
      <c r="AS503" s="6" t="s">
        <v>49</v>
      </c>
      <c r="AT503" s="6" t="s">
        <v>49</v>
      </c>
      <c r="AU503" s="6" t="s">
        <v>49</v>
      </c>
      <c r="AV503" s="1" t="s">
        <v>49</v>
      </c>
      <c r="AW503" s="30" t="s">
        <v>49</v>
      </c>
    </row>
    <row r="504" spans="1:49">
      <c r="A504" s="1">
        <v>20</v>
      </c>
      <c r="B504" s="1" t="s">
        <v>38</v>
      </c>
      <c r="C504" s="1" t="s">
        <v>38</v>
      </c>
      <c r="D504" s="3" t="s">
        <v>549</v>
      </c>
      <c r="E504" s="1" t="s">
        <v>190</v>
      </c>
      <c r="F504" s="1">
        <v>1995</v>
      </c>
      <c r="G504" s="1" t="s">
        <v>162</v>
      </c>
      <c r="H504" s="3" t="s">
        <v>191</v>
      </c>
      <c r="I504" s="3" t="s">
        <v>192</v>
      </c>
      <c r="J504" s="1" t="s">
        <v>193</v>
      </c>
      <c r="K504" s="1" t="s">
        <v>45</v>
      </c>
      <c r="L504" s="3" t="s">
        <v>46</v>
      </c>
      <c r="M504" s="1" t="s">
        <v>12</v>
      </c>
      <c r="N504" s="1" t="s">
        <v>80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194</v>
      </c>
      <c r="V504" s="3" t="s">
        <v>218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206</v>
      </c>
      <c r="AE504" s="1" t="s">
        <v>214</v>
      </c>
      <c r="AF504" s="1" t="s">
        <v>49</v>
      </c>
      <c r="AG504" s="1" t="s">
        <v>49</v>
      </c>
      <c r="AH504" s="1" t="s">
        <v>199</v>
      </c>
      <c r="AI504" s="1" t="s">
        <v>200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>
        <v>4.7E-2</v>
      </c>
      <c r="AS504" s="6" t="s">
        <v>49</v>
      </c>
      <c r="AT504" s="6" t="s">
        <v>49</v>
      </c>
      <c r="AU504" s="6" t="s">
        <v>49</v>
      </c>
      <c r="AV504" s="1" t="s">
        <v>49</v>
      </c>
      <c r="AW504" s="30" t="s">
        <v>49</v>
      </c>
    </row>
    <row r="505" spans="1:49">
      <c r="A505" s="1">
        <v>20</v>
      </c>
      <c r="B505" s="1" t="s">
        <v>38</v>
      </c>
      <c r="C505" s="1" t="s">
        <v>38</v>
      </c>
      <c r="D505" s="3" t="s">
        <v>549</v>
      </c>
      <c r="E505" s="1" t="s">
        <v>190</v>
      </c>
      <c r="F505" s="1">
        <v>1995</v>
      </c>
      <c r="G505" s="1" t="s">
        <v>162</v>
      </c>
      <c r="H505" s="3" t="s">
        <v>191</v>
      </c>
      <c r="I505" s="3" t="s">
        <v>192</v>
      </c>
      <c r="J505" s="1" t="s">
        <v>193</v>
      </c>
      <c r="K505" s="1" t="s">
        <v>45</v>
      </c>
      <c r="L505" s="3" t="s">
        <v>46</v>
      </c>
      <c r="M505" s="1" t="s">
        <v>12</v>
      </c>
      <c r="N505" s="1" t="s">
        <v>80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194</v>
      </c>
      <c r="V505" s="3" t="s">
        <v>218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206</v>
      </c>
      <c r="AE505" s="1" t="s">
        <v>213</v>
      </c>
      <c r="AF505" s="1" t="s">
        <v>49</v>
      </c>
      <c r="AG505" s="1" t="s">
        <v>49</v>
      </c>
      <c r="AH505" s="1" t="s">
        <v>199</v>
      </c>
      <c r="AI505" s="1" t="s">
        <v>200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>
        <v>-7.2999999999999995E-2</v>
      </c>
      <c r="AS505" s="6" t="s">
        <v>49</v>
      </c>
      <c r="AT505" s="6" t="s">
        <v>49</v>
      </c>
      <c r="AU505" s="6" t="s">
        <v>49</v>
      </c>
      <c r="AV505" s="1" t="s">
        <v>49</v>
      </c>
      <c r="AW505" s="30" t="s">
        <v>49</v>
      </c>
    </row>
    <row r="506" spans="1:49">
      <c r="A506" s="1">
        <v>20</v>
      </c>
      <c r="B506" s="1" t="s">
        <v>38</v>
      </c>
      <c r="C506" s="1" t="s">
        <v>38</v>
      </c>
      <c r="D506" s="3" t="s">
        <v>549</v>
      </c>
      <c r="E506" s="1" t="s">
        <v>190</v>
      </c>
      <c r="F506" s="1">
        <v>1995</v>
      </c>
      <c r="G506" s="1" t="s">
        <v>162</v>
      </c>
      <c r="H506" s="3" t="s">
        <v>191</v>
      </c>
      <c r="I506" s="3" t="s">
        <v>192</v>
      </c>
      <c r="J506" s="1" t="s">
        <v>193</v>
      </c>
      <c r="K506" s="1" t="s">
        <v>45</v>
      </c>
      <c r="L506" s="3" t="s">
        <v>46</v>
      </c>
      <c r="M506" s="1" t="s">
        <v>12</v>
      </c>
      <c r="N506" s="1" t="s">
        <v>80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194</v>
      </c>
      <c r="V506" s="3" t="s">
        <v>218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207</v>
      </c>
      <c r="AE506" s="1" t="s">
        <v>198</v>
      </c>
      <c r="AF506" s="1" t="s">
        <v>49</v>
      </c>
      <c r="AG506" s="1" t="s">
        <v>49</v>
      </c>
      <c r="AH506" s="1" t="s">
        <v>199</v>
      </c>
      <c r="AI506" s="1" t="s">
        <v>200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>
        <v>0.11</v>
      </c>
      <c r="AS506" s="6" t="s">
        <v>49</v>
      </c>
      <c r="AT506" s="6" t="s">
        <v>49</v>
      </c>
      <c r="AU506" s="6" t="s">
        <v>49</v>
      </c>
      <c r="AV506" s="1" t="s">
        <v>49</v>
      </c>
      <c r="AW506" s="30" t="s">
        <v>49</v>
      </c>
    </row>
    <row r="507" spans="1:49">
      <c r="A507" s="1">
        <v>20</v>
      </c>
      <c r="B507" s="1" t="s">
        <v>38</v>
      </c>
      <c r="C507" s="1" t="s">
        <v>38</v>
      </c>
      <c r="D507" s="3" t="s">
        <v>549</v>
      </c>
      <c r="E507" s="1" t="s">
        <v>190</v>
      </c>
      <c r="F507" s="1">
        <v>1995</v>
      </c>
      <c r="G507" s="1" t="s">
        <v>162</v>
      </c>
      <c r="H507" s="3" t="s">
        <v>191</v>
      </c>
      <c r="I507" s="3" t="s">
        <v>192</v>
      </c>
      <c r="J507" s="1" t="s">
        <v>193</v>
      </c>
      <c r="K507" s="1" t="s">
        <v>45</v>
      </c>
      <c r="L507" s="3" t="s">
        <v>46</v>
      </c>
      <c r="M507" s="1" t="s">
        <v>12</v>
      </c>
      <c r="N507" s="1" t="s">
        <v>80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194</v>
      </c>
      <c r="V507" s="3" t="s">
        <v>218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207</v>
      </c>
      <c r="AE507" s="1" t="s">
        <v>214</v>
      </c>
      <c r="AF507" s="1" t="s">
        <v>49</v>
      </c>
      <c r="AG507" s="1" t="s">
        <v>49</v>
      </c>
      <c r="AH507" s="1" t="s">
        <v>199</v>
      </c>
      <c r="AI507" s="1" t="s">
        <v>200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>
        <v>0.19700000000000001</v>
      </c>
      <c r="AS507" s="6" t="s">
        <v>49</v>
      </c>
      <c r="AT507" s="6" t="s">
        <v>49</v>
      </c>
      <c r="AU507" s="6" t="s">
        <v>49</v>
      </c>
      <c r="AV507" s="1" t="s">
        <v>49</v>
      </c>
      <c r="AW507" s="30" t="s">
        <v>49</v>
      </c>
    </row>
    <row r="508" spans="1:49">
      <c r="A508" s="1">
        <v>20</v>
      </c>
      <c r="B508" s="1" t="s">
        <v>38</v>
      </c>
      <c r="C508" s="1" t="s">
        <v>38</v>
      </c>
      <c r="D508" s="3" t="s">
        <v>549</v>
      </c>
      <c r="E508" s="1" t="s">
        <v>190</v>
      </c>
      <c r="F508" s="1">
        <v>1995</v>
      </c>
      <c r="G508" s="1" t="s">
        <v>162</v>
      </c>
      <c r="H508" s="3" t="s">
        <v>191</v>
      </c>
      <c r="I508" s="3" t="s">
        <v>192</v>
      </c>
      <c r="J508" s="1" t="s">
        <v>193</v>
      </c>
      <c r="K508" s="1" t="s">
        <v>45</v>
      </c>
      <c r="L508" s="3" t="s">
        <v>46</v>
      </c>
      <c r="M508" s="1" t="s">
        <v>12</v>
      </c>
      <c r="N508" s="1" t="s">
        <v>80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194</v>
      </c>
      <c r="V508" s="3" t="s">
        <v>218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207</v>
      </c>
      <c r="AE508" s="1" t="s">
        <v>213</v>
      </c>
      <c r="AF508" s="1" t="s">
        <v>49</v>
      </c>
      <c r="AG508" s="1" t="s">
        <v>49</v>
      </c>
      <c r="AH508" s="1" t="s">
        <v>199</v>
      </c>
      <c r="AI508" s="1" t="s">
        <v>200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>
        <v>-0.126</v>
      </c>
      <c r="AS508" s="6" t="s">
        <v>49</v>
      </c>
      <c r="AT508" s="6" t="s">
        <v>49</v>
      </c>
      <c r="AU508" s="6" t="s">
        <v>49</v>
      </c>
      <c r="AV508" s="1" t="s">
        <v>49</v>
      </c>
      <c r="AW508" s="30" t="s">
        <v>49</v>
      </c>
    </row>
    <row r="509" spans="1:49">
      <c r="A509" s="1">
        <v>20</v>
      </c>
      <c r="B509" s="1" t="s">
        <v>38</v>
      </c>
      <c r="C509" s="1" t="s">
        <v>38</v>
      </c>
      <c r="D509" s="3" t="s">
        <v>549</v>
      </c>
      <c r="E509" s="1" t="s">
        <v>190</v>
      </c>
      <c r="F509" s="1">
        <v>1995</v>
      </c>
      <c r="G509" s="1" t="s">
        <v>162</v>
      </c>
      <c r="H509" s="3" t="s">
        <v>191</v>
      </c>
      <c r="I509" s="3" t="s">
        <v>192</v>
      </c>
      <c r="J509" s="1" t="s">
        <v>193</v>
      </c>
      <c r="K509" s="1" t="s">
        <v>45</v>
      </c>
      <c r="L509" s="3" t="s">
        <v>46</v>
      </c>
      <c r="M509" s="1" t="s">
        <v>12</v>
      </c>
      <c r="N509" s="1" t="s">
        <v>80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194</v>
      </c>
      <c r="V509" s="3" t="s">
        <v>218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198</v>
      </c>
      <c r="AE509" s="1" t="s">
        <v>214</v>
      </c>
      <c r="AF509" s="1" t="s">
        <v>49</v>
      </c>
      <c r="AG509" s="1" t="s">
        <v>49</v>
      </c>
      <c r="AH509" s="1" t="s">
        <v>199</v>
      </c>
      <c r="AI509" s="1" t="s">
        <v>200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>
        <v>0.14699999999999999</v>
      </c>
      <c r="AS509" s="6" t="s">
        <v>49</v>
      </c>
      <c r="AT509" s="6" t="s">
        <v>49</v>
      </c>
      <c r="AU509" s="6" t="s">
        <v>49</v>
      </c>
      <c r="AV509" s="1" t="s">
        <v>49</v>
      </c>
      <c r="AW509" s="30" t="s">
        <v>49</v>
      </c>
    </row>
    <row r="510" spans="1:49">
      <c r="A510" s="1">
        <v>20</v>
      </c>
      <c r="B510" s="1" t="s">
        <v>38</v>
      </c>
      <c r="C510" s="1" t="s">
        <v>38</v>
      </c>
      <c r="D510" s="3" t="s">
        <v>549</v>
      </c>
      <c r="E510" s="1" t="s">
        <v>190</v>
      </c>
      <c r="F510" s="1">
        <v>1995</v>
      </c>
      <c r="G510" s="1" t="s">
        <v>162</v>
      </c>
      <c r="H510" s="3" t="s">
        <v>191</v>
      </c>
      <c r="I510" s="3" t="s">
        <v>192</v>
      </c>
      <c r="J510" s="1" t="s">
        <v>193</v>
      </c>
      <c r="K510" s="1" t="s">
        <v>45</v>
      </c>
      <c r="L510" s="3" t="s">
        <v>46</v>
      </c>
      <c r="M510" s="1" t="s">
        <v>12</v>
      </c>
      <c r="N510" s="1" t="s">
        <v>80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194</v>
      </c>
      <c r="V510" s="3" t="s">
        <v>218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198</v>
      </c>
      <c r="AE510" s="1" t="s">
        <v>213</v>
      </c>
      <c r="AF510" s="1" t="s">
        <v>49</v>
      </c>
      <c r="AG510" s="1" t="s">
        <v>49</v>
      </c>
      <c r="AH510" s="1" t="s">
        <v>199</v>
      </c>
      <c r="AI510" s="1" t="s">
        <v>200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>
        <v>-0.29699999999999999</v>
      </c>
      <c r="AS510" s="6" t="s">
        <v>49</v>
      </c>
      <c r="AT510" s="6" t="s">
        <v>49</v>
      </c>
      <c r="AU510" s="6" t="s">
        <v>49</v>
      </c>
      <c r="AV510" s="1" t="s">
        <v>49</v>
      </c>
      <c r="AW510" s="30" t="s">
        <v>49</v>
      </c>
    </row>
    <row r="511" spans="1:49">
      <c r="A511" s="1">
        <v>20</v>
      </c>
      <c r="B511" s="1" t="s">
        <v>38</v>
      </c>
      <c r="C511" s="1" t="s">
        <v>38</v>
      </c>
      <c r="D511" s="3" t="s">
        <v>549</v>
      </c>
      <c r="E511" s="1" t="s">
        <v>190</v>
      </c>
      <c r="F511" s="1">
        <v>1995</v>
      </c>
      <c r="G511" s="1" t="s">
        <v>162</v>
      </c>
      <c r="H511" s="3" t="s">
        <v>191</v>
      </c>
      <c r="I511" s="3" t="s">
        <v>192</v>
      </c>
      <c r="J511" s="1" t="s">
        <v>193</v>
      </c>
      <c r="K511" s="1" t="s">
        <v>45</v>
      </c>
      <c r="L511" s="3" t="s">
        <v>46</v>
      </c>
      <c r="M511" s="1" t="s">
        <v>12</v>
      </c>
      <c r="N511" s="1" t="s">
        <v>80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194</v>
      </c>
      <c r="V511" s="3" t="s">
        <v>218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214</v>
      </c>
      <c r="AE511" s="1" t="s">
        <v>213</v>
      </c>
      <c r="AF511" s="1" t="s">
        <v>49</v>
      </c>
      <c r="AG511" s="1" t="s">
        <v>49</v>
      </c>
      <c r="AH511" s="1" t="s">
        <v>199</v>
      </c>
      <c r="AI511" s="1" t="s">
        <v>200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>
        <v>0.13600000000000001</v>
      </c>
      <c r="AS511" s="6" t="s">
        <v>49</v>
      </c>
      <c r="AT511" s="6" t="s">
        <v>49</v>
      </c>
      <c r="AU511" s="6" t="s">
        <v>49</v>
      </c>
      <c r="AV511" s="1" t="s">
        <v>49</v>
      </c>
      <c r="AW511" s="30" t="s">
        <v>49</v>
      </c>
    </row>
    <row r="512" spans="1:49">
      <c r="A512" s="1">
        <v>36</v>
      </c>
      <c r="B512" s="1" t="s">
        <v>38</v>
      </c>
      <c r="C512" s="1" t="s">
        <v>38</v>
      </c>
      <c r="D512" s="1" t="s">
        <v>222</v>
      </c>
      <c r="E512" s="1" t="s">
        <v>223</v>
      </c>
      <c r="F512" s="1">
        <v>1997</v>
      </c>
      <c r="G512" s="1" t="s">
        <v>224</v>
      </c>
      <c r="H512" s="3" t="s">
        <v>225</v>
      </c>
      <c r="I512" s="3" t="s">
        <v>226</v>
      </c>
      <c r="J512" s="1" t="s">
        <v>227</v>
      </c>
      <c r="K512" s="1" t="s">
        <v>228</v>
      </c>
      <c r="L512" s="1" t="s">
        <v>46</v>
      </c>
      <c r="M512" s="1" t="s">
        <v>12</v>
      </c>
      <c r="N512" s="7" t="s">
        <v>76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229</v>
      </c>
      <c r="V512" s="1" t="s">
        <v>230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231</v>
      </c>
      <c r="AD512" s="7" t="s">
        <v>232</v>
      </c>
      <c r="AE512" s="7" t="s">
        <v>232</v>
      </c>
      <c r="AF512" s="1" t="s">
        <v>60</v>
      </c>
      <c r="AG512" s="1" t="s">
        <v>61</v>
      </c>
      <c r="AH512" s="1" t="s">
        <v>233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6" t="s">
        <v>49</v>
      </c>
      <c r="AS512" s="1">
        <f t="shared" ref="AS512:AS517" si="47">AN512*AL512</f>
        <v>0.18137290816901405</v>
      </c>
      <c r="AT512" s="4">
        <f>AS512/(AM512^2)*100</f>
        <v>0.33700558269468578</v>
      </c>
      <c r="AU512" s="5">
        <v>0</v>
      </c>
      <c r="AV512" s="4">
        <f>AT512*(1-AL512)/AL512</f>
        <v>0.13105772660348894</v>
      </c>
      <c r="AW512" s="29" t="s">
        <v>258</v>
      </c>
    </row>
    <row r="513" spans="1:49">
      <c r="A513" s="1">
        <v>36</v>
      </c>
      <c r="B513" s="1" t="s">
        <v>38</v>
      </c>
      <c r="C513" s="1" t="s">
        <v>38</v>
      </c>
      <c r="D513" s="1" t="s">
        <v>222</v>
      </c>
      <c r="E513" s="1" t="s">
        <v>223</v>
      </c>
      <c r="F513" s="1">
        <v>1997</v>
      </c>
      <c r="G513" s="1" t="s">
        <v>224</v>
      </c>
      <c r="H513" s="3" t="s">
        <v>225</v>
      </c>
      <c r="I513" s="3" t="s">
        <v>226</v>
      </c>
      <c r="J513" s="1" t="s">
        <v>227</v>
      </c>
      <c r="K513" s="1" t="s">
        <v>228</v>
      </c>
      <c r="L513" s="1" t="s">
        <v>46</v>
      </c>
      <c r="M513" s="1" t="s">
        <v>12</v>
      </c>
      <c r="N513" s="7" t="s">
        <v>76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229</v>
      </c>
      <c r="V513" s="1" t="s">
        <v>230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86</v>
      </c>
      <c r="AD513" s="7" t="s">
        <v>234</v>
      </c>
      <c r="AE513" s="7" t="s">
        <v>234</v>
      </c>
      <c r="AF513" s="1" t="s">
        <v>60</v>
      </c>
      <c r="AG513" s="1" t="s">
        <v>61</v>
      </c>
      <c r="AH513" s="1" t="s">
        <v>233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6" t="s">
        <v>49</v>
      </c>
      <c r="AS513" s="1">
        <f t="shared" si="47"/>
        <v>0.15288581562977868</v>
      </c>
      <c r="AT513" s="4">
        <f>AS513/(AM513^2)*100</f>
        <v>0.23579376365514843</v>
      </c>
      <c r="AU513" s="5">
        <v>0</v>
      </c>
      <c r="AV513" s="4">
        <f>AT513*(1-AL513)/AL513</f>
        <v>0.21765578183552159</v>
      </c>
      <c r="AW513" s="29" t="s">
        <v>258</v>
      </c>
    </row>
    <row r="514" spans="1:49">
      <c r="A514" s="1">
        <v>36</v>
      </c>
      <c r="B514" s="1" t="s">
        <v>38</v>
      </c>
      <c r="C514" s="1" t="s">
        <v>38</v>
      </c>
      <c r="D514" s="1" t="s">
        <v>222</v>
      </c>
      <c r="E514" s="1" t="s">
        <v>223</v>
      </c>
      <c r="F514" s="1">
        <v>1997</v>
      </c>
      <c r="G514" s="1" t="s">
        <v>224</v>
      </c>
      <c r="H514" s="3" t="s">
        <v>225</v>
      </c>
      <c r="I514" s="3" t="s">
        <v>226</v>
      </c>
      <c r="J514" s="1" t="s">
        <v>227</v>
      </c>
      <c r="K514" s="1" t="s">
        <v>228</v>
      </c>
      <c r="L514" s="1" t="s">
        <v>46</v>
      </c>
      <c r="M514" s="1" t="s">
        <v>12</v>
      </c>
      <c r="N514" s="7" t="s">
        <v>76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229</v>
      </c>
      <c r="V514" s="1" t="s">
        <v>230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235</v>
      </c>
      <c r="AD514" s="1" t="s">
        <v>236</v>
      </c>
      <c r="AE514" s="1" t="s">
        <v>236</v>
      </c>
      <c r="AF514" s="1" t="s">
        <v>60</v>
      </c>
      <c r="AG514" s="1" t="s">
        <v>61</v>
      </c>
      <c r="AH514" s="1" t="s">
        <v>233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6" t="s">
        <v>49</v>
      </c>
      <c r="AS514" s="1">
        <f t="shared" si="47"/>
        <v>0.37806207156539229</v>
      </c>
      <c r="AT514" s="4">
        <f>AS514/(AM514^2)*100</f>
        <v>0.2554546088043691</v>
      </c>
      <c r="AU514" s="5">
        <v>0</v>
      </c>
      <c r="AV514" s="4">
        <f>AT514*(1-AL514)/AL514</f>
        <v>0.33862587678718697</v>
      </c>
      <c r="AW514" s="29" t="s">
        <v>258</v>
      </c>
    </row>
    <row r="515" spans="1:49">
      <c r="A515" s="1">
        <v>36</v>
      </c>
      <c r="B515" s="1" t="s">
        <v>38</v>
      </c>
      <c r="C515" s="1" t="s">
        <v>38</v>
      </c>
      <c r="D515" s="1" t="s">
        <v>222</v>
      </c>
      <c r="E515" s="1" t="s">
        <v>223</v>
      </c>
      <c r="F515" s="1">
        <v>1997</v>
      </c>
      <c r="G515" s="1" t="s">
        <v>224</v>
      </c>
      <c r="H515" s="3" t="s">
        <v>225</v>
      </c>
      <c r="I515" s="3" t="s">
        <v>226</v>
      </c>
      <c r="J515" s="1" t="s">
        <v>227</v>
      </c>
      <c r="K515" s="1" t="s">
        <v>228</v>
      </c>
      <c r="L515" s="1" t="s">
        <v>46</v>
      </c>
      <c r="M515" s="1" t="s">
        <v>12</v>
      </c>
      <c r="N515" s="7" t="s">
        <v>76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229</v>
      </c>
      <c r="V515" s="1" t="s">
        <v>230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237</v>
      </c>
      <c r="AC515" s="7" t="s">
        <v>237</v>
      </c>
      <c r="AD515" s="7" t="s">
        <v>238</v>
      </c>
      <c r="AE515" s="7" t="s">
        <v>238</v>
      </c>
      <c r="AF515" s="1" t="s">
        <v>60</v>
      </c>
      <c r="AG515" s="1" t="s">
        <v>61</v>
      </c>
      <c r="AH515" s="1" t="s">
        <v>233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6" t="s">
        <v>49</v>
      </c>
      <c r="AS515" s="1">
        <f t="shared" si="47"/>
        <v>0.14762414118712569</v>
      </c>
      <c r="AT515" s="4">
        <f>AS515*100</f>
        <v>14.762414118712568</v>
      </c>
      <c r="AU515" s="5">
        <v>1</v>
      </c>
      <c r="AV515" s="4">
        <f>(AN515*100)-AT515</f>
        <v>12.575389804829223</v>
      </c>
      <c r="AW515" s="29" t="s">
        <v>258</v>
      </c>
    </row>
    <row r="516" spans="1:49">
      <c r="A516" s="1">
        <v>36</v>
      </c>
      <c r="B516" s="1" t="s">
        <v>38</v>
      </c>
      <c r="C516" s="1" t="s">
        <v>38</v>
      </c>
      <c r="D516" s="1" t="s">
        <v>222</v>
      </c>
      <c r="E516" s="1" t="s">
        <v>223</v>
      </c>
      <c r="F516" s="1">
        <v>1997</v>
      </c>
      <c r="G516" s="1" t="s">
        <v>224</v>
      </c>
      <c r="H516" s="3" t="s">
        <v>225</v>
      </c>
      <c r="I516" s="3" t="s">
        <v>226</v>
      </c>
      <c r="J516" s="1" t="s">
        <v>227</v>
      </c>
      <c r="K516" s="1" t="s">
        <v>228</v>
      </c>
      <c r="L516" s="1" t="s">
        <v>46</v>
      </c>
      <c r="M516" s="1" t="s">
        <v>12</v>
      </c>
      <c r="N516" s="7" t="s">
        <v>76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229</v>
      </c>
      <c r="V516" s="1" t="s">
        <v>230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127</v>
      </c>
      <c r="AB516" s="7" t="s">
        <v>239</v>
      </c>
      <c r="AC516" s="7" t="s">
        <v>240</v>
      </c>
      <c r="AD516" s="7" t="s">
        <v>240</v>
      </c>
      <c r="AE516" s="7" t="s">
        <v>240</v>
      </c>
      <c r="AF516" s="1" t="s">
        <v>60</v>
      </c>
      <c r="AG516" s="1" t="s">
        <v>61</v>
      </c>
      <c r="AH516" s="1" t="s">
        <v>233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6" t="s">
        <v>49</v>
      </c>
      <c r="AS516" s="1">
        <f t="shared" si="47"/>
        <v>2.8176941649899381</v>
      </c>
      <c r="AT516" s="4">
        <f>AS516/(AM516^2)*100</f>
        <v>1.5672441350489767</v>
      </c>
      <c r="AU516" s="5">
        <v>0</v>
      </c>
      <c r="AV516" s="4">
        <f>AT516*(1-AL516)/AL516</f>
        <v>24.553491449100637</v>
      </c>
      <c r="AW516" s="29" t="s">
        <v>258</v>
      </c>
    </row>
    <row r="517" spans="1:49">
      <c r="A517" s="1">
        <v>36</v>
      </c>
      <c r="B517" s="1" t="s">
        <v>38</v>
      </c>
      <c r="C517" s="1" t="s">
        <v>38</v>
      </c>
      <c r="D517" s="1" t="s">
        <v>222</v>
      </c>
      <c r="E517" s="1" t="s">
        <v>223</v>
      </c>
      <c r="F517" s="1">
        <v>1997</v>
      </c>
      <c r="G517" s="1" t="s">
        <v>224</v>
      </c>
      <c r="H517" s="3" t="s">
        <v>225</v>
      </c>
      <c r="I517" s="3" t="s">
        <v>226</v>
      </c>
      <c r="J517" s="1" t="s">
        <v>227</v>
      </c>
      <c r="K517" s="1" t="s">
        <v>228</v>
      </c>
      <c r="L517" s="1" t="s">
        <v>46</v>
      </c>
      <c r="M517" s="1" t="s">
        <v>12</v>
      </c>
      <c r="N517" s="7" t="s">
        <v>76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229</v>
      </c>
      <c r="V517" s="1" t="s">
        <v>230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127</v>
      </c>
      <c r="AB517" s="7" t="s">
        <v>241</v>
      </c>
      <c r="AC517" s="7" t="s">
        <v>242</v>
      </c>
      <c r="AD517" s="7" t="s">
        <v>243</v>
      </c>
      <c r="AE517" s="7" t="s">
        <v>243</v>
      </c>
      <c r="AF517" s="1" t="s">
        <v>60</v>
      </c>
      <c r="AG517" s="1" t="s">
        <v>61</v>
      </c>
      <c r="AH517" s="1" t="s">
        <v>233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6" t="s">
        <v>49</v>
      </c>
      <c r="AS517" s="1">
        <f t="shared" si="47"/>
        <v>3540.6238148893312</v>
      </c>
      <c r="AT517" s="4">
        <f>AS517/(AM517^2)*100</f>
        <v>3.0632040373262535</v>
      </c>
      <c r="AU517" s="5">
        <v>0</v>
      </c>
      <c r="AV517" s="4">
        <f>AT517*(1-AL517)/AL517</f>
        <v>2.8275729575319257</v>
      </c>
      <c r="AW517" s="29" t="s">
        <v>258</v>
      </c>
    </row>
    <row r="518" spans="1:49">
      <c r="A518" s="1">
        <v>36</v>
      </c>
      <c r="B518" s="1" t="s">
        <v>38</v>
      </c>
      <c r="C518" s="1" t="s">
        <v>38</v>
      </c>
      <c r="D518" s="1" t="s">
        <v>222</v>
      </c>
      <c r="E518" s="1" t="s">
        <v>223</v>
      </c>
      <c r="F518" s="1">
        <v>1997</v>
      </c>
      <c r="G518" s="1" t="s">
        <v>224</v>
      </c>
      <c r="H518" s="3" t="s">
        <v>225</v>
      </c>
      <c r="I518" s="3" t="s">
        <v>226</v>
      </c>
      <c r="J518" s="1" t="s">
        <v>227</v>
      </c>
      <c r="K518" s="1" t="s">
        <v>228</v>
      </c>
      <c r="L518" s="1" t="s">
        <v>46</v>
      </c>
      <c r="M518" s="1" t="s">
        <v>12</v>
      </c>
      <c r="N518" s="7" t="s">
        <v>76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229</v>
      </c>
      <c r="V518" s="1" t="s">
        <v>230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243</v>
      </c>
      <c r="AE518" s="6" t="s">
        <v>238</v>
      </c>
      <c r="AF518" s="6" t="s">
        <v>49</v>
      </c>
      <c r="AG518" s="6" t="s">
        <v>49</v>
      </c>
      <c r="AH518" s="1" t="s">
        <v>233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6" t="s">
        <v>49</v>
      </c>
      <c r="AV518" s="1" t="s">
        <v>49</v>
      </c>
      <c r="AW518" s="30" t="s">
        <v>49</v>
      </c>
    </row>
    <row r="519" spans="1:49">
      <c r="A519" s="1">
        <v>36</v>
      </c>
      <c r="B519" s="1" t="s">
        <v>38</v>
      </c>
      <c r="C519" s="1" t="s">
        <v>38</v>
      </c>
      <c r="D519" s="1" t="s">
        <v>222</v>
      </c>
      <c r="E519" s="1" t="s">
        <v>223</v>
      </c>
      <c r="F519" s="1">
        <v>1997</v>
      </c>
      <c r="G519" s="1" t="s">
        <v>224</v>
      </c>
      <c r="H519" s="3" t="s">
        <v>225</v>
      </c>
      <c r="I519" s="3" t="s">
        <v>226</v>
      </c>
      <c r="J519" s="1" t="s">
        <v>227</v>
      </c>
      <c r="K519" s="1" t="s">
        <v>228</v>
      </c>
      <c r="L519" s="1" t="s">
        <v>46</v>
      </c>
      <c r="M519" s="1" t="s">
        <v>12</v>
      </c>
      <c r="N519" s="7" t="s">
        <v>76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229</v>
      </c>
      <c r="V519" s="1" t="s">
        <v>230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243</v>
      </c>
      <c r="AE519" s="6" t="s">
        <v>240</v>
      </c>
      <c r="AF519" s="6" t="s">
        <v>49</v>
      </c>
      <c r="AG519" s="6" t="s">
        <v>49</v>
      </c>
      <c r="AH519" s="1" t="s">
        <v>233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6" t="s">
        <v>49</v>
      </c>
      <c r="AV519" s="1" t="s">
        <v>49</v>
      </c>
      <c r="AW519" s="30" t="s">
        <v>49</v>
      </c>
    </row>
    <row r="520" spans="1:49">
      <c r="A520" s="1">
        <v>36</v>
      </c>
      <c r="B520" s="1" t="s">
        <v>38</v>
      </c>
      <c r="C520" s="1" t="s">
        <v>38</v>
      </c>
      <c r="D520" s="1" t="s">
        <v>222</v>
      </c>
      <c r="E520" s="1" t="s">
        <v>223</v>
      </c>
      <c r="F520" s="1">
        <v>1997</v>
      </c>
      <c r="G520" s="1" t="s">
        <v>224</v>
      </c>
      <c r="H520" s="3" t="s">
        <v>225</v>
      </c>
      <c r="I520" s="3" t="s">
        <v>226</v>
      </c>
      <c r="J520" s="1" t="s">
        <v>227</v>
      </c>
      <c r="K520" s="1" t="s">
        <v>228</v>
      </c>
      <c r="L520" s="1" t="s">
        <v>46</v>
      </c>
      <c r="M520" s="1" t="s">
        <v>12</v>
      </c>
      <c r="N520" s="7" t="s">
        <v>76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229</v>
      </c>
      <c r="V520" s="1" t="s">
        <v>230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243</v>
      </c>
      <c r="AE520" s="6" t="s">
        <v>236</v>
      </c>
      <c r="AF520" s="6" t="s">
        <v>49</v>
      </c>
      <c r="AG520" s="6" t="s">
        <v>49</v>
      </c>
      <c r="AH520" s="1" t="s">
        <v>233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6" t="s">
        <v>49</v>
      </c>
      <c r="AV520" s="1" t="s">
        <v>49</v>
      </c>
      <c r="AW520" s="30" t="s">
        <v>49</v>
      </c>
    </row>
    <row r="521" spans="1:49">
      <c r="A521" s="1">
        <v>36</v>
      </c>
      <c r="B521" s="1" t="s">
        <v>38</v>
      </c>
      <c r="C521" s="1" t="s">
        <v>38</v>
      </c>
      <c r="D521" s="1" t="s">
        <v>222</v>
      </c>
      <c r="E521" s="1" t="s">
        <v>223</v>
      </c>
      <c r="F521" s="1">
        <v>1997</v>
      </c>
      <c r="G521" s="1" t="s">
        <v>224</v>
      </c>
      <c r="H521" s="3" t="s">
        <v>225</v>
      </c>
      <c r="I521" s="3" t="s">
        <v>226</v>
      </c>
      <c r="J521" s="1" t="s">
        <v>227</v>
      </c>
      <c r="K521" s="1" t="s">
        <v>228</v>
      </c>
      <c r="L521" s="1" t="s">
        <v>46</v>
      </c>
      <c r="M521" s="1" t="s">
        <v>12</v>
      </c>
      <c r="N521" s="7" t="s">
        <v>76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229</v>
      </c>
      <c r="V521" s="1" t="s">
        <v>230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243</v>
      </c>
      <c r="AE521" s="6" t="s">
        <v>232</v>
      </c>
      <c r="AF521" s="6" t="s">
        <v>49</v>
      </c>
      <c r="AG521" s="6" t="s">
        <v>49</v>
      </c>
      <c r="AH521" s="1" t="s">
        <v>233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6" t="s">
        <v>49</v>
      </c>
      <c r="AV521" s="1" t="s">
        <v>49</v>
      </c>
      <c r="AW521" s="30" t="s">
        <v>49</v>
      </c>
    </row>
    <row r="522" spans="1:49">
      <c r="A522" s="1">
        <v>36</v>
      </c>
      <c r="B522" s="1" t="s">
        <v>38</v>
      </c>
      <c r="C522" s="1" t="s">
        <v>38</v>
      </c>
      <c r="D522" s="1" t="s">
        <v>222</v>
      </c>
      <c r="E522" s="1" t="s">
        <v>223</v>
      </c>
      <c r="F522" s="1">
        <v>1997</v>
      </c>
      <c r="G522" s="1" t="s">
        <v>224</v>
      </c>
      <c r="H522" s="3" t="s">
        <v>225</v>
      </c>
      <c r="I522" s="3" t="s">
        <v>226</v>
      </c>
      <c r="J522" s="1" t="s">
        <v>227</v>
      </c>
      <c r="K522" s="1" t="s">
        <v>228</v>
      </c>
      <c r="L522" s="1" t="s">
        <v>46</v>
      </c>
      <c r="M522" s="1" t="s">
        <v>12</v>
      </c>
      <c r="N522" s="7" t="s">
        <v>76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229</v>
      </c>
      <c r="V522" s="1" t="s">
        <v>230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243</v>
      </c>
      <c r="AE522" s="6" t="s">
        <v>234</v>
      </c>
      <c r="AF522" s="6" t="s">
        <v>49</v>
      </c>
      <c r="AG522" s="6" t="s">
        <v>49</v>
      </c>
      <c r="AH522" s="1" t="s">
        <v>233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6" t="s">
        <v>49</v>
      </c>
      <c r="AV522" s="1" t="s">
        <v>49</v>
      </c>
      <c r="AW522" s="30" t="s">
        <v>49</v>
      </c>
    </row>
    <row r="523" spans="1:49">
      <c r="A523" s="1">
        <v>36</v>
      </c>
      <c r="B523" s="1" t="s">
        <v>38</v>
      </c>
      <c r="C523" s="1" t="s">
        <v>38</v>
      </c>
      <c r="D523" s="1" t="s">
        <v>222</v>
      </c>
      <c r="E523" s="1" t="s">
        <v>223</v>
      </c>
      <c r="F523" s="1">
        <v>1997</v>
      </c>
      <c r="G523" s="1" t="s">
        <v>224</v>
      </c>
      <c r="H523" s="3" t="s">
        <v>225</v>
      </c>
      <c r="I523" s="3" t="s">
        <v>226</v>
      </c>
      <c r="J523" s="1" t="s">
        <v>227</v>
      </c>
      <c r="K523" s="1" t="s">
        <v>228</v>
      </c>
      <c r="L523" s="1" t="s">
        <v>46</v>
      </c>
      <c r="M523" s="1" t="s">
        <v>12</v>
      </c>
      <c r="N523" s="7" t="s">
        <v>76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229</v>
      </c>
      <c r="V523" s="1" t="s">
        <v>230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238</v>
      </c>
      <c r="AE523" s="6" t="s">
        <v>240</v>
      </c>
      <c r="AF523" s="6" t="s">
        <v>49</v>
      </c>
      <c r="AG523" s="6" t="s">
        <v>49</v>
      </c>
      <c r="AH523" s="1" t="s">
        <v>233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6" t="s">
        <v>49</v>
      </c>
      <c r="AV523" s="1" t="s">
        <v>49</v>
      </c>
      <c r="AW523" s="30" t="s">
        <v>260</v>
      </c>
    </row>
    <row r="524" spans="1:49">
      <c r="A524" s="1">
        <v>36</v>
      </c>
      <c r="B524" s="1" t="s">
        <v>38</v>
      </c>
      <c r="C524" s="1" t="s">
        <v>38</v>
      </c>
      <c r="D524" s="1" t="s">
        <v>222</v>
      </c>
      <c r="E524" s="1" t="s">
        <v>223</v>
      </c>
      <c r="F524" s="1">
        <v>1997</v>
      </c>
      <c r="G524" s="1" t="s">
        <v>224</v>
      </c>
      <c r="H524" s="3" t="s">
        <v>225</v>
      </c>
      <c r="I524" s="3" t="s">
        <v>226</v>
      </c>
      <c r="J524" s="1" t="s">
        <v>227</v>
      </c>
      <c r="K524" s="1" t="s">
        <v>228</v>
      </c>
      <c r="L524" s="1" t="s">
        <v>46</v>
      </c>
      <c r="M524" s="1" t="s">
        <v>12</v>
      </c>
      <c r="N524" s="7" t="s">
        <v>76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229</v>
      </c>
      <c r="V524" s="1" t="s">
        <v>230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238</v>
      </c>
      <c r="AE524" s="6" t="s">
        <v>236</v>
      </c>
      <c r="AF524" s="6" t="s">
        <v>49</v>
      </c>
      <c r="AG524" s="6" t="s">
        <v>49</v>
      </c>
      <c r="AH524" s="1" t="s">
        <v>233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6" t="s">
        <v>49</v>
      </c>
      <c r="AV524" s="1" t="s">
        <v>49</v>
      </c>
      <c r="AW524" s="30" t="s">
        <v>260</v>
      </c>
    </row>
    <row r="525" spans="1:49">
      <c r="A525" s="1">
        <v>36</v>
      </c>
      <c r="B525" s="1" t="s">
        <v>38</v>
      </c>
      <c r="C525" s="1" t="s">
        <v>38</v>
      </c>
      <c r="D525" s="1" t="s">
        <v>222</v>
      </c>
      <c r="E525" s="1" t="s">
        <v>223</v>
      </c>
      <c r="F525" s="1">
        <v>1997</v>
      </c>
      <c r="G525" s="1" t="s">
        <v>224</v>
      </c>
      <c r="H525" s="3" t="s">
        <v>225</v>
      </c>
      <c r="I525" s="3" t="s">
        <v>226</v>
      </c>
      <c r="J525" s="1" t="s">
        <v>227</v>
      </c>
      <c r="K525" s="1" t="s">
        <v>228</v>
      </c>
      <c r="L525" s="1" t="s">
        <v>46</v>
      </c>
      <c r="M525" s="1" t="s">
        <v>12</v>
      </c>
      <c r="N525" s="7" t="s">
        <v>76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229</v>
      </c>
      <c r="V525" s="1" t="s">
        <v>230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238</v>
      </c>
      <c r="AE525" s="6" t="s">
        <v>232</v>
      </c>
      <c r="AF525" s="6" t="s">
        <v>49</v>
      </c>
      <c r="AG525" s="6" t="s">
        <v>49</v>
      </c>
      <c r="AH525" s="1" t="s">
        <v>233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6" t="s">
        <v>49</v>
      </c>
      <c r="AV525" s="1" t="s">
        <v>49</v>
      </c>
      <c r="AW525" s="30" t="s">
        <v>260</v>
      </c>
    </row>
    <row r="526" spans="1:49">
      <c r="A526" s="1">
        <v>36</v>
      </c>
      <c r="B526" s="1" t="s">
        <v>38</v>
      </c>
      <c r="C526" s="1" t="s">
        <v>38</v>
      </c>
      <c r="D526" s="1" t="s">
        <v>222</v>
      </c>
      <c r="E526" s="1" t="s">
        <v>223</v>
      </c>
      <c r="F526" s="1">
        <v>1997</v>
      </c>
      <c r="G526" s="1" t="s">
        <v>224</v>
      </c>
      <c r="H526" s="3" t="s">
        <v>225</v>
      </c>
      <c r="I526" s="3" t="s">
        <v>226</v>
      </c>
      <c r="J526" s="1" t="s">
        <v>227</v>
      </c>
      <c r="K526" s="1" t="s">
        <v>228</v>
      </c>
      <c r="L526" s="1" t="s">
        <v>46</v>
      </c>
      <c r="M526" s="1" t="s">
        <v>12</v>
      </c>
      <c r="N526" s="7" t="s">
        <v>76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229</v>
      </c>
      <c r="V526" s="1" t="s">
        <v>230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238</v>
      </c>
      <c r="AE526" s="6" t="s">
        <v>234</v>
      </c>
      <c r="AF526" s="6" t="s">
        <v>49</v>
      </c>
      <c r="AG526" s="6" t="s">
        <v>49</v>
      </c>
      <c r="AH526" s="1" t="s">
        <v>233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6" t="s">
        <v>49</v>
      </c>
      <c r="AV526" s="1" t="s">
        <v>49</v>
      </c>
      <c r="AW526" s="30" t="s">
        <v>260</v>
      </c>
    </row>
    <row r="527" spans="1:49">
      <c r="A527" s="1">
        <v>36</v>
      </c>
      <c r="B527" s="1" t="s">
        <v>38</v>
      </c>
      <c r="C527" s="1" t="s">
        <v>38</v>
      </c>
      <c r="D527" s="1" t="s">
        <v>222</v>
      </c>
      <c r="E527" s="1" t="s">
        <v>223</v>
      </c>
      <c r="F527" s="1">
        <v>1997</v>
      </c>
      <c r="G527" s="1" t="s">
        <v>224</v>
      </c>
      <c r="H527" s="3" t="s">
        <v>225</v>
      </c>
      <c r="I527" s="3" t="s">
        <v>226</v>
      </c>
      <c r="J527" s="1" t="s">
        <v>227</v>
      </c>
      <c r="K527" s="1" t="s">
        <v>228</v>
      </c>
      <c r="L527" s="1" t="s">
        <v>46</v>
      </c>
      <c r="M527" s="1" t="s">
        <v>12</v>
      </c>
      <c r="N527" s="7" t="s">
        <v>76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229</v>
      </c>
      <c r="V527" s="1" t="s">
        <v>230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240</v>
      </c>
      <c r="AE527" s="6" t="s">
        <v>236</v>
      </c>
      <c r="AF527" s="6" t="s">
        <v>49</v>
      </c>
      <c r="AG527" s="6" t="s">
        <v>49</v>
      </c>
      <c r="AH527" s="1" t="s">
        <v>233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6" t="s">
        <v>49</v>
      </c>
      <c r="AV527" s="1" t="s">
        <v>49</v>
      </c>
      <c r="AW527" s="30" t="s">
        <v>49</v>
      </c>
    </row>
    <row r="528" spans="1:49">
      <c r="A528" s="1">
        <v>36</v>
      </c>
      <c r="B528" s="1" t="s">
        <v>38</v>
      </c>
      <c r="C528" s="1" t="s">
        <v>38</v>
      </c>
      <c r="D528" s="1" t="s">
        <v>222</v>
      </c>
      <c r="E528" s="1" t="s">
        <v>223</v>
      </c>
      <c r="F528" s="1">
        <v>1997</v>
      </c>
      <c r="G528" s="1" t="s">
        <v>224</v>
      </c>
      <c r="H528" s="3" t="s">
        <v>225</v>
      </c>
      <c r="I528" s="3" t="s">
        <v>226</v>
      </c>
      <c r="J528" s="1" t="s">
        <v>227</v>
      </c>
      <c r="K528" s="1" t="s">
        <v>228</v>
      </c>
      <c r="L528" s="1" t="s">
        <v>46</v>
      </c>
      <c r="M528" s="1" t="s">
        <v>12</v>
      </c>
      <c r="N528" s="7" t="s">
        <v>76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229</v>
      </c>
      <c r="V528" s="1" t="s">
        <v>230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240</v>
      </c>
      <c r="AE528" s="6" t="s">
        <v>232</v>
      </c>
      <c r="AF528" s="6" t="s">
        <v>49</v>
      </c>
      <c r="AG528" s="6" t="s">
        <v>49</v>
      </c>
      <c r="AH528" s="1" t="s">
        <v>233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6" t="s">
        <v>49</v>
      </c>
      <c r="AV528" s="1" t="s">
        <v>49</v>
      </c>
      <c r="AW528" s="30" t="s">
        <v>49</v>
      </c>
    </row>
    <row r="529" spans="1:49">
      <c r="A529" s="1">
        <v>36</v>
      </c>
      <c r="B529" s="1" t="s">
        <v>38</v>
      </c>
      <c r="C529" s="1" t="s">
        <v>38</v>
      </c>
      <c r="D529" s="1" t="s">
        <v>222</v>
      </c>
      <c r="E529" s="1" t="s">
        <v>223</v>
      </c>
      <c r="F529" s="1">
        <v>1997</v>
      </c>
      <c r="G529" s="1" t="s">
        <v>224</v>
      </c>
      <c r="H529" s="3" t="s">
        <v>225</v>
      </c>
      <c r="I529" s="3" t="s">
        <v>226</v>
      </c>
      <c r="J529" s="1" t="s">
        <v>227</v>
      </c>
      <c r="K529" s="1" t="s">
        <v>228</v>
      </c>
      <c r="L529" s="1" t="s">
        <v>46</v>
      </c>
      <c r="M529" s="1" t="s">
        <v>12</v>
      </c>
      <c r="N529" s="7" t="s">
        <v>76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229</v>
      </c>
      <c r="V529" s="1" t="s">
        <v>230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240</v>
      </c>
      <c r="AE529" s="6" t="s">
        <v>234</v>
      </c>
      <c r="AF529" s="6" t="s">
        <v>49</v>
      </c>
      <c r="AG529" s="6" t="s">
        <v>49</v>
      </c>
      <c r="AH529" s="1" t="s">
        <v>233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6" t="s">
        <v>49</v>
      </c>
      <c r="AV529" s="1" t="s">
        <v>49</v>
      </c>
      <c r="AW529" s="30" t="s">
        <v>49</v>
      </c>
    </row>
    <row r="530" spans="1:49">
      <c r="A530" s="1">
        <v>36</v>
      </c>
      <c r="B530" s="1" t="s">
        <v>38</v>
      </c>
      <c r="C530" s="1" t="s">
        <v>38</v>
      </c>
      <c r="D530" s="1" t="s">
        <v>222</v>
      </c>
      <c r="E530" s="1" t="s">
        <v>223</v>
      </c>
      <c r="F530" s="1">
        <v>1997</v>
      </c>
      <c r="G530" s="1" t="s">
        <v>224</v>
      </c>
      <c r="H530" s="3" t="s">
        <v>225</v>
      </c>
      <c r="I530" s="3" t="s">
        <v>226</v>
      </c>
      <c r="J530" s="1" t="s">
        <v>227</v>
      </c>
      <c r="K530" s="1" t="s">
        <v>228</v>
      </c>
      <c r="L530" s="1" t="s">
        <v>46</v>
      </c>
      <c r="M530" s="1" t="s">
        <v>12</v>
      </c>
      <c r="N530" s="7" t="s">
        <v>76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229</v>
      </c>
      <c r="V530" s="1" t="s">
        <v>230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236</v>
      </c>
      <c r="AE530" s="6" t="s">
        <v>232</v>
      </c>
      <c r="AF530" s="6" t="s">
        <v>49</v>
      </c>
      <c r="AG530" s="6" t="s">
        <v>49</v>
      </c>
      <c r="AH530" s="1" t="s">
        <v>233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6" t="s">
        <v>49</v>
      </c>
      <c r="AV530" s="1" t="s">
        <v>49</v>
      </c>
      <c r="AW530" s="30" t="s">
        <v>49</v>
      </c>
    </row>
    <row r="531" spans="1:49">
      <c r="A531" s="1">
        <v>36</v>
      </c>
      <c r="B531" s="1" t="s">
        <v>38</v>
      </c>
      <c r="C531" s="1" t="s">
        <v>38</v>
      </c>
      <c r="D531" s="1" t="s">
        <v>222</v>
      </c>
      <c r="E531" s="1" t="s">
        <v>223</v>
      </c>
      <c r="F531" s="1">
        <v>1997</v>
      </c>
      <c r="G531" s="1" t="s">
        <v>224</v>
      </c>
      <c r="H531" s="3" t="s">
        <v>225</v>
      </c>
      <c r="I531" s="3" t="s">
        <v>226</v>
      </c>
      <c r="J531" s="1" t="s">
        <v>227</v>
      </c>
      <c r="K531" s="1" t="s">
        <v>228</v>
      </c>
      <c r="L531" s="1" t="s">
        <v>46</v>
      </c>
      <c r="M531" s="1" t="s">
        <v>12</v>
      </c>
      <c r="N531" s="7" t="s">
        <v>76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229</v>
      </c>
      <c r="V531" s="1" t="s">
        <v>230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236</v>
      </c>
      <c r="AE531" s="6" t="s">
        <v>234</v>
      </c>
      <c r="AF531" s="6" t="s">
        <v>49</v>
      </c>
      <c r="AG531" s="6" t="s">
        <v>49</v>
      </c>
      <c r="AH531" s="1" t="s">
        <v>233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6" t="s">
        <v>49</v>
      </c>
      <c r="AV531" s="1" t="s">
        <v>49</v>
      </c>
      <c r="AW531" s="30" t="s">
        <v>49</v>
      </c>
    </row>
    <row r="532" spans="1:49">
      <c r="A532" s="1">
        <v>36</v>
      </c>
      <c r="B532" s="1" t="s">
        <v>38</v>
      </c>
      <c r="C532" s="1" t="s">
        <v>38</v>
      </c>
      <c r="D532" s="1" t="s">
        <v>222</v>
      </c>
      <c r="E532" s="1" t="s">
        <v>223</v>
      </c>
      <c r="F532" s="1">
        <v>1997</v>
      </c>
      <c r="G532" s="1" t="s">
        <v>224</v>
      </c>
      <c r="H532" s="3" t="s">
        <v>225</v>
      </c>
      <c r="I532" s="3" t="s">
        <v>226</v>
      </c>
      <c r="J532" s="1" t="s">
        <v>227</v>
      </c>
      <c r="K532" s="1" t="s">
        <v>228</v>
      </c>
      <c r="L532" s="1" t="s">
        <v>46</v>
      </c>
      <c r="M532" s="1" t="s">
        <v>12</v>
      </c>
      <c r="N532" s="7" t="s">
        <v>76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229</v>
      </c>
      <c r="V532" s="1" t="s">
        <v>230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232</v>
      </c>
      <c r="AE532" s="6" t="s">
        <v>234</v>
      </c>
      <c r="AF532" s="6" t="s">
        <v>49</v>
      </c>
      <c r="AG532" s="6" t="s">
        <v>49</v>
      </c>
      <c r="AH532" s="1" t="s">
        <v>233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6" t="s">
        <v>49</v>
      </c>
      <c r="AV532" s="1" t="s">
        <v>49</v>
      </c>
      <c r="AW532" s="30" t="s">
        <v>49</v>
      </c>
    </row>
    <row r="533" spans="1:49">
      <c r="A533" s="1">
        <v>36</v>
      </c>
      <c r="B533" s="1" t="s">
        <v>38</v>
      </c>
      <c r="C533" s="1" t="s">
        <v>38</v>
      </c>
      <c r="D533" s="1" t="s">
        <v>222</v>
      </c>
      <c r="E533" s="1" t="s">
        <v>223</v>
      </c>
      <c r="F533" s="1">
        <v>1997</v>
      </c>
      <c r="G533" s="1" t="s">
        <v>224</v>
      </c>
      <c r="H533" s="3" t="s">
        <v>225</v>
      </c>
      <c r="I533" s="3" t="s">
        <v>226</v>
      </c>
      <c r="J533" s="1" t="s">
        <v>227</v>
      </c>
      <c r="K533" s="1" t="s">
        <v>228</v>
      </c>
      <c r="L533" s="1" t="s">
        <v>46</v>
      </c>
      <c r="M533" s="1" t="s">
        <v>12</v>
      </c>
      <c r="N533" s="7" t="s">
        <v>76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229</v>
      </c>
      <c r="V533" s="1" t="s">
        <v>244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231</v>
      </c>
      <c r="AD533" s="7" t="s">
        <v>232</v>
      </c>
      <c r="AE533" s="7" t="s">
        <v>232</v>
      </c>
      <c r="AF533" s="1" t="s">
        <v>60</v>
      </c>
      <c r="AG533" s="1" t="s">
        <v>61</v>
      </c>
      <c r="AH533" s="1" t="s">
        <v>233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6" t="s">
        <v>49</v>
      </c>
      <c r="AS533" s="1">
        <f t="shared" ref="AS533:AS538" si="48">AN533*AL533</f>
        <v>0.13065752463581487</v>
      </c>
      <c r="AT533" s="4">
        <f>AS533/(AM533^2)*100</f>
        <v>0.19972850001243073</v>
      </c>
      <c r="AU533" s="5">
        <v>0</v>
      </c>
      <c r="AV533" s="4">
        <f>AT533*(1-AL533)/AL533</f>
        <v>0.17711772642611778</v>
      </c>
      <c r="AW533" s="29" t="s">
        <v>258</v>
      </c>
    </row>
    <row r="534" spans="1:49">
      <c r="A534" s="1">
        <v>36</v>
      </c>
      <c r="B534" s="1" t="s">
        <v>38</v>
      </c>
      <c r="C534" s="1" t="s">
        <v>38</v>
      </c>
      <c r="D534" s="1" t="s">
        <v>222</v>
      </c>
      <c r="E534" s="1" t="s">
        <v>223</v>
      </c>
      <c r="F534" s="1">
        <v>1997</v>
      </c>
      <c r="G534" s="1" t="s">
        <v>224</v>
      </c>
      <c r="H534" s="3" t="s">
        <v>225</v>
      </c>
      <c r="I534" s="3" t="s">
        <v>226</v>
      </c>
      <c r="J534" s="1" t="s">
        <v>227</v>
      </c>
      <c r="K534" s="1" t="s">
        <v>228</v>
      </c>
      <c r="L534" s="1" t="s">
        <v>46</v>
      </c>
      <c r="M534" s="1" t="s">
        <v>12</v>
      </c>
      <c r="N534" s="7" t="s">
        <v>76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229</v>
      </c>
      <c r="V534" s="1" t="s">
        <v>244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86</v>
      </c>
      <c r="AD534" s="1" t="s">
        <v>234</v>
      </c>
      <c r="AE534" s="1" t="s">
        <v>234</v>
      </c>
      <c r="AF534" s="1" t="s">
        <v>60</v>
      </c>
      <c r="AG534" s="1" t="s">
        <v>61</v>
      </c>
      <c r="AH534" s="1" t="s">
        <v>233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6" t="s">
        <v>49</v>
      </c>
      <c r="AS534" s="1">
        <f t="shared" si="48"/>
        <v>8.1645212716297794E-2</v>
      </c>
      <c r="AT534" s="4">
        <f>AS534/(AM534^2)*100</f>
        <v>0.11625393223559974</v>
      </c>
      <c r="AU534" s="5">
        <v>0</v>
      </c>
      <c r="AV534" s="4">
        <f>AT534*(1-AL534)/AL534</f>
        <v>0.25875875239536711</v>
      </c>
      <c r="AW534" s="29" t="s">
        <v>258</v>
      </c>
    </row>
    <row r="535" spans="1:49">
      <c r="A535" s="1">
        <v>36</v>
      </c>
      <c r="B535" s="1" t="s">
        <v>38</v>
      </c>
      <c r="C535" s="1" t="s">
        <v>38</v>
      </c>
      <c r="D535" s="1" t="s">
        <v>222</v>
      </c>
      <c r="E535" s="1" t="s">
        <v>223</v>
      </c>
      <c r="F535" s="1">
        <v>1997</v>
      </c>
      <c r="G535" s="1" t="s">
        <v>224</v>
      </c>
      <c r="H535" s="3" t="s">
        <v>225</v>
      </c>
      <c r="I535" s="3" t="s">
        <v>226</v>
      </c>
      <c r="J535" s="1" t="s">
        <v>227</v>
      </c>
      <c r="K535" s="1" t="s">
        <v>228</v>
      </c>
      <c r="L535" s="1" t="s">
        <v>46</v>
      </c>
      <c r="M535" s="1" t="s">
        <v>12</v>
      </c>
      <c r="N535" s="7" t="s">
        <v>76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229</v>
      </c>
      <c r="V535" s="1" t="s">
        <v>244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235</v>
      </c>
      <c r="AD535" s="1" t="s">
        <v>236</v>
      </c>
      <c r="AE535" s="1" t="s">
        <v>236</v>
      </c>
      <c r="AF535" s="1" t="s">
        <v>60</v>
      </c>
      <c r="AG535" s="1" t="s">
        <v>61</v>
      </c>
      <c r="AH535" s="1" t="s">
        <v>233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6" t="s">
        <v>49</v>
      </c>
      <c r="AS535" s="1">
        <f t="shared" si="48"/>
        <v>0.26533024090140822</v>
      </c>
      <c r="AT535" s="4">
        <f>AS535/(AM535^2)*100</f>
        <v>0.12938796458087554</v>
      </c>
      <c r="AU535" s="5">
        <v>0</v>
      </c>
      <c r="AV535" s="4">
        <f>AT535*(1-AL535)/AL535</f>
        <v>0.27494942473436046</v>
      </c>
      <c r="AW535" s="29" t="s">
        <v>258</v>
      </c>
    </row>
    <row r="536" spans="1:49">
      <c r="A536" s="1">
        <v>36</v>
      </c>
      <c r="B536" s="1" t="s">
        <v>38</v>
      </c>
      <c r="C536" s="1" t="s">
        <v>38</v>
      </c>
      <c r="D536" s="1" t="s">
        <v>222</v>
      </c>
      <c r="E536" s="1" t="s">
        <v>223</v>
      </c>
      <c r="F536" s="1">
        <v>1997</v>
      </c>
      <c r="G536" s="1" t="s">
        <v>224</v>
      </c>
      <c r="H536" s="3" t="s">
        <v>225</v>
      </c>
      <c r="I536" s="3" t="s">
        <v>226</v>
      </c>
      <c r="J536" s="1" t="s">
        <v>227</v>
      </c>
      <c r="K536" s="1" t="s">
        <v>228</v>
      </c>
      <c r="L536" s="1" t="s">
        <v>46</v>
      </c>
      <c r="M536" s="1" t="s">
        <v>12</v>
      </c>
      <c r="N536" s="7" t="s">
        <v>76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229</v>
      </c>
      <c r="V536" s="1" t="s">
        <v>244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237</v>
      </c>
      <c r="AC536" s="7" t="s">
        <v>237</v>
      </c>
      <c r="AD536" s="7" t="s">
        <v>238</v>
      </c>
      <c r="AE536" s="7" t="s">
        <v>238</v>
      </c>
      <c r="AF536" s="1" t="s">
        <v>60</v>
      </c>
      <c r="AG536" s="1" t="s">
        <v>61</v>
      </c>
      <c r="AH536" s="1" t="s">
        <v>233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6" t="s">
        <v>49</v>
      </c>
      <c r="AS536" s="1">
        <f t="shared" si="48"/>
        <v>0.22630604322591452</v>
      </c>
      <c r="AT536" s="4">
        <f>AS536*100</f>
        <v>22.630604322591452</v>
      </c>
      <c r="AU536" s="5">
        <v>1</v>
      </c>
      <c r="AV536" s="4">
        <f>(AN536*100)-AT536</f>
        <v>11.658190105577418</v>
      </c>
      <c r="AW536" s="29" t="s">
        <v>258</v>
      </c>
    </row>
    <row r="537" spans="1:49">
      <c r="A537" s="1">
        <v>36</v>
      </c>
      <c r="B537" s="1" t="s">
        <v>38</v>
      </c>
      <c r="C537" s="1" t="s">
        <v>38</v>
      </c>
      <c r="D537" s="1" t="s">
        <v>222</v>
      </c>
      <c r="E537" s="1" t="s">
        <v>223</v>
      </c>
      <c r="F537" s="1">
        <v>1997</v>
      </c>
      <c r="G537" s="1" t="s">
        <v>224</v>
      </c>
      <c r="H537" s="3" t="s">
        <v>225</v>
      </c>
      <c r="I537" s="3" t="s">
        <v>226</v>
      </c>
      <c r="J537" s="1" t="s">
        <v>227</v>
      </c>
      <c r="K537" s="1" t="s">
        <v>228</v>
      </c>
      <c r="L537" s="1" t="s">
        <v>46</v>
      </c>
      <c r="M537" s="1" t="s">
        <v>12</v>
      </c>
      <c r="N537" s="7" t="s">
        <v>76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229</v>
      </c>
      <c r="V537" s="1" t="s">
        <v>244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127</v>
      </c>
      <c r="AB537" s="7" t="s">
        <v>239</v>
      </c>
      <c r="AC537" s="7" t="s">
        <v>240</v>
      </c>
      <c r="AD537" s="7" t="s">
        <v>240</v>
      </c>
      <c r="AE537" s="7" t="s">
        <v>240</v>
      </c>
      <c r="AF537" s="1" t="s">
        <v>60</v>
      </c>
      <c r="AG537" s="1" t="s">
        <v>61</v>
      </c>
      <c r="AH537" s="1" t="s">
        <v>233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6" t="s">
        <v>49</v>
      </c>
      <c r="AS537" s="1">
        <f t="shared" si="48"/>
        <v>5.9378993963782811</v>
      </c>
      <c r="AT537" s="4">
        <f>AS537/(AM537^2)*100</f>
        <v>1.7671002477942823</v>
      </c>
      <c r="AU537" s="5">
        <v>0</v>
      </c>
      <c r="AV537" s="4">
        <f>AT537*(1-AL537)/AL537</f>
        <v>1.9143586017771392</v>
      </c>
      <c r="AW537" s="29" t="s">
        <v>258</v>
      </c>
    </row>
    <row r="538" spans="1:49">
      <c r="A538" s="1">
        <v>36</v>
      </c>
      <c r="B538" s="1" t="s">
        <v>38</v>
      </c>
      <c r="C538" s="1" t="s">
        <v>38</v>
      </c>
      <c r="D538" s="1" t="s">
        <v>222</v>
      </c>
      <c r="E538" s="1" t="s">
        <v>223</v>
      </c>
      <c r="F538" s="1">
        <v>1997</v>
      </c>
      <c r="G538" s="1" t="s">
        <v>224</v>
      </c>
      <c r="H538" s="3" t="s">
        <v>225</v>
      </c>
      <c r="I538" s="3" t="s">
        <v>226</v>
      </c>
      <c r="J538" s="1" t="s">
        <v>227</v>
      </c>
      <c r="K538" s="1" t="s">
        <v>228</v>
      </c>
      <c r="L538" s="1" t="s">
        <v>46</v>
      </c>
      <c r="M538" s="1" t="s">
        <v>12</v>
      </c>
      <c r="N538" s="7" t="s">
        <v>76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229</v>
      </c>
      <c r="V538" s="1" t="s">
        <v>244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127</v>
      </c>
      <c r="AB538" s="7" t="s">
        <v>241</v>
      </c>
      <c r="AC538" s="7" t="s">
        <v>242</v>
      </c>
      <c r="AD538" s="7" t="s">
        <v>243</v>
      </c>
      <c r="AE538" s="7" t="s">
        <v>243</v>
      </c>
      <c r="AF538" s="1" t="s">
        <v>60</v>
      </c>
      <c r="AG538" s="1" t="s">
        <v>61</v>
      </c>
      <c r="AH538" s="1" t="s">
        <v>233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6" t="s">
        <v>49</v>
      </c>
      <c r="AS538" s="1">
        <f t="shared" si="48"/>
        <v>1987.8512796780713</v>
      </c>
      <c r="AT538" s="4">
        <f>AS538/(AM538^2)*100</f>
        <v>2.3650538885740131</v>
      </c>
      <c r="AU538" s="5">
        <v>0</v>
      </c>
      <c r="AV538" s="4">
        <f>AT538*(1-AL538)/AL538</f>
        <v>0.83096487976924793</v>
      </c>
      <c r="AW538" s="29" t="s">
        <v>258</v>
      </c>
    </row>
    <row r="539" spans="1:49">
      <c r="A539" s="1">
        <v>36</v>
      </c>
      <c r="B539" s="1" t="s">
        <v>38</v>
      </c>
      <c r="C539" s="1" t="s">
        <v>38</v>
      </c>
      <c r="D539" s="1" t="s">
        <v>222</v>
      </c>
      <c r="E539" s="1" t="s">
        <v>223</v>
      </c>
      <c r="F539" s="1">
        <v>1997</v>
      </c>
      <c r="G539" s="1" t="s">
        <v>224</v>
      </c>
      <c r="H539" s="3" t="s">
        <v>225</v>
      </c>
      <c r="I539" s="3" t="s">
        <v>226</v>
      </c>
      <c r="J539" s="1" t="s">
        <v>227</v>
      </c>
      <c r="K539" s="1" t="s">
        <v>228</v>
      </c>
      <c r="L539" s="1" t="s">
        <v>46</v>
      </c>
      <c r="M539" s="1" t="s">
        <v>12</v>
      </c>
      <c r="N539" s="7" t="s">
        <v>76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229</v>
      </c>
      <c r="V539" s="1" t="s">
        <v>244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243</v>
      </c>
      <c r="AE539" s="6" t="s">
        <v>238</v>
      </c>
      <c r="AF539" s="6" t="s">
        <v>49</v>
      </c>
      <c r="AG539" s="1" t="s">
        <v>61</v>
      </c>
      <c r="AH539" s="1" t="s">
        <v>233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6" t="s">
        <v>49</v>
      </c>
      <c r="AV539" s="1" t="s">
        <v>49</v>
      </c>
      <c r="AW539" s="30" t="s">
        <v>49</v>
      </c>
    </row>
    <row r="540" spans="1:49">
      <c r="A540" s="1">
        <v>36</v>
      </c>
      <c r="B540" s="1" t="s">
        <v>38</v>
      </c>
      <c r="C540" s="1" t="s">
        <v>38</v>
      </c>
      <c r="D540" s="1" t="s">
        <v>222</v>
      </c>
      <c r="E540" s="1" t="s">
        <v>223</v>
      </c>
      <c r="F540" s="1">
        <v>1997</v>
      </c>
      <c r="G540" s="1" t="s">
        <v>224</v>
      </c>
      <c r="H540" s="3" t="s">
        <v>225</v>
      </c>
      <c r="I540" s="3" t="s">
        <v>226</v>
      </c>
      <c r="J540" s="1" t="s">
        <v>227</v>
      </c>
      <c r="K540" s="1" t="s">
        <v>228</v>
      </c>
      <c r="L540" s="1" t="s">
        <v>46</v>
      </c>
      <c r="M540" s="1" t="s">
        <v>12</v>
      </c>
      <c r="N540" s="7" t="s">
        <v>76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229</v>
      </c>
      <c r="V540" s="1" t="s">
        <v>244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243</v>
      </c>
      <c r="AE540" s="6" t="s">
        <v>240</v>
      </c>
      <c r="AF540" s="6" t="s">
        <v>49</v>
      </c>
      <c r="AG540" s="1" t="s">
        <v>61</v>
      </c>
      <c r="AH540" s="1" t="s">
        <v>233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6" t="s">
        <v>49</v>
      </c>
      <c r="AV540" s="1" t="s">
        <v>49</v>
      </c>
      <c r="AW540" s="30" t="s">
        <v>49</v>
      </c>
    </row>
    <row r="541" spans="1:49">
      <c r="A541" s="1">
        <v>36</v>
      </c>
      <c r="B541" s="1" t="s">
        <v>38</v>
      </c>
      <c r="C541" s="1" t="s">
        <v>38</v>
      </c>
      <c r="D541" s="1" t="s">
        <v>222</v>
      </c>
      <c r="E541" s="1" t="s">
        <v>223</v>
      </c>
      <c r="F541" s="1">
        <v>1997</v>
      </c>
      <c r="G541" s="1" t="s">
        <v>224</v>
      </c>
      <c r="H541" s="3" t="s">
        <v>225</v>
      </c>
      <c r="I541" s="3" t="s">
        <v>226</v>
      </c>
      <c r="J541" s="1" t="s">
        <v>227</v>
      </c>
      <c r="K541" s="1" t="s">
        <v>228</v>
      </c>
      <c r="L541" s="1" t="s">
        <v>46</v>
      </c>
      <c r="M541" s="1" t="s">
        <v>12</v>
      </c>
      <c r="N541" s="7" t="s">
        <v>76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229</v>
      </c>
      <c r="V541" s="1" t="s">
        <v>244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243</v>
      </c>
      <c r="AE541" s="6" t="s">
        <v>236</v>
      </c>
      <c r="AF541" s="6" t="s">
        <v>49</v>
      </c>
      <c r="AG541" s="1" t="s">
        <v>61</v>
      </c>
      <c r="AH541" s="1" t="s">
        <v>233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6" t="s">
        <v>49</v>
      </c>
      <c r="AV541" s="1" t="s">
        <v>49</v>
      </c>
      <c r="AW541" s="30" t="s">
        <v>49</v>
      </c>
    </row>
    <row r="542" spans="1:49">
      <c r="A542" s="1">
        <v>36</v>
      </c>
      <c r="B542" s="1" t="s">
        <v>38</v>
      </c>
      <c r="C542" s="1" t="s">
        <v>38</v>
      </c>
      <c r="D542" s="1" t="s">
        <v>222</v>
      </c>
      <c r="E542" s="1" t="s">
        <v>223</v>
      </c>
      <c r="F542" s="1">
        <v>1997</v>
      </c>
      <c r="G542" s="1" t="s">
        <v>224</v>
      </c>
      <c r="H542" s="3" t="s">
        <v>225</v>
      </c>
      <c r="I542" s="3" t="s">
        <v>226</v>
      </c>
      <c r="J542" s="1" t="s">
        <v>227</v>
      </c>
      <c r="K542" s="1" t="s">
        <v>228</v>
      </c>
      <c r="L542" s="1" t="s">
        <v>46</v>
      </c>
      <c r="M542" s="1" t="s">
        <v>12</v>
      </c>
      <c r="N542" s="7" t="s">
        <v>76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229</v>
      </c>
      <c r="V542" s="1" t="s">
        <v>244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243</v>
      </c>
      <c r="AE542" s="6" t="s">
        <v>232</v>
      </c>
      <c r="AF542" s="6" t="s">
        <v>49</v>
      </c>
      <c r="AG542" s="1" t="s">
        <v>61</v>
      </c>
      <c r="AH542" s="1" t="s">
        <v>233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6" t="s">
        <v>49</v>
      </c>
      <c r="AV542" s="1" t="s">
        <v>49</v>
      </c>
      <c r="AW542" s="30" t="s">
        <v>49</v>
      </c>
    </row>
    <row r="543" spans="1:49">
      <c r="A543" s="1">
        <v>36</v>
      </c>
      <c r="B543" s="1" t="s">
        <v>38</v>
      </c>
      <c r="C543" s="1" t="s">
        <v>38</v>
      </c>
      <c r="D543" s="1" t="s">
        <v>222</v>
      </c>
      <c r="E543" s="1" t="s">
        <v>223</v>
      </c>
      <c r="F543" s="1">
        <v>1997</v>
      </c>
      <c r="G543" s="1" t="s">
        <v>224</v>
      </c>
      <c r="H543" s="3" t="s">
        <v>225</v>
      </c>
      <c r="I543" s="3" t="s">
        <v>226</v>
      </c>
      <c r="J543" s="1" t="s">
        <v>227</v>
      </c>
      <c r="K543" s="1" t="s">
        <v>228</v>
      </c>
      <c r="L543" s="1" t="s">
        <v>46</v>
      </c>
      <c r="M543" s="1" t="s">
        <v>12</v>
      </c>
      <c r="N543" s="7" t="s">
        <v>76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229</v>
      </c>
      <c r="V543" s="1" t="s">
        <v>244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243</v>
      </c>
      <c r="AE543" s="6" t="s">
        <v>234</v>
      </c>
      <c r="AF543" s="6" t="s">
        <v>49</v>
      </c>
      <c r="AG543" s="1" t="s">
        <v>61</v>
      </c>
      <c r="AH543" s="1" t="s">
        <v>233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6" t="s">
        <v>49</v>
      </c>
      <c r="AV543" s="1" t="s">
        <v>49</v>
      </c>
      <c r="AW543" s="30" t="s">
        <v>49</v>
      </c>
    </row>
    <row r="544" spans="1:49">
      <c r="A544" s="1">
        <v>36</v>
      </c>
      <c r="B544" s="1" t="s">
        <v>38</v>
      </c>
      <c r="C544" s="1" t="s">
        <v>38</v>
      </c>
      <c r="D544" s="1" t="s">
        <v>222</v>
      </c>
      <c r="E544" s="1" t="s">
        <v>223</v>
      </c>
      <c r="F544" s="1">
        <v>1997</v>
      </c>
      <c r="G544" s="1" t="s">
        <v>224</v>
      </c>
      <c r="H544" s="3" t="s">
        <v>225</v>
      </c>
      <c r="I544" s="3" t="s">
        <v>226</v>
      </c>
      <c r="J544" s="1" t="s">
        <v>227</v>
      </c>
      <c r="K544" s="1" t="s">
        <v>228</v>
      </c>
      <c r="L544" s="1" t="s">
        <v>46</v>
      </c>
      <c r="M544" s="1" t="s">
        <v>12</v>
      </c>
      <c r="N544" s="7" t="s">
        <v>76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229</v>
      </c>
      <c r="V544" s="1" t="s">
        <v>244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238</v>
      </c>
      <c r="AE544" s="6" t="s">
        <v>240</v>
      </c>
      <c r="AF544" s="6" t="s">
        <v>49</v>
      </c>
      <c r="AG544" s="1" t="s">
        <v>61</v>
      </c>
      <c r="AH544" s="1" t="s">
        <v>233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6" t="s">
        <v>49</v>
      </c>
      <c r="AV544" s="1" t="s">
        <v>49</v>
      </c>
      <c r="AW544" s="30" t="s">
        <v>260</v>
      </c>
    </row>
    <row r="545" spans="1:49">
      <c r="A545" s="1">
        <v>36</v>
      </c>
      <c r="B545" s="1" t="s">
        <v>38</v>
      </c>
      <c r="C545" s="1" t="s">
        <v>38</v>
      </c>
      <c r="D545" s="1" t="s">
        <v>222</v>
      </c>
      <c r="E545" s="1" t="s">
        <v>223</v>
      </c>
      <c r="F545" s="1">
        <v>1997</v>
      </c>
      <c r="G545" s="1" t="s">
        <v>224</v>
      </c>
      <c r="H545" s="3" t="s">
        <v>225</v>
      </c>
      <c r="I545" s="3" t="s">
        <v>226</v>
      </c>
      <c r="J545" s="1" t="s">
        <v>227</v>
      </c>
      <c r="K545" s="1" t="s">
        <v>228</v>
      </c>
      <c r="L545" s="1" t="s">
        <v>46</v>
      </c>
      <c r="M545" s="1" t="s">
        <v>12</v>
      </c>
      <c r="N545" s="7" t="s">
        <v>76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229</v>
      </c>
      <c r="V545" s="1" t="s">
        <v>244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238</v>
      </c>
      <c r="AE545" s="6" t="s">
        <v>236</v>
      </c>
      <c r="AF545" s="6" t="s">
        <v>49</v>
      </c>
      <c r="AG545" s="1" t="s">
        <v>61</v>
      </c>
      <c r="AH545" s="1" t="s">
        <v>233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6" t="s">
        <v>49</v>
      </c>
      <c r="AV545" s="1" t="s">
        <v>49</v>
      </c>
      <c r="AW545" s="30" t="s">
        <v>260</v>
      </c>
    </row>
    <row r="546" spans="1:49">
      <c r="A546" s="1">
        <v>36</v>
      </c>
      <c r="B546" s="1" t="s">
        <v>38</v>
      </c>
      <c r="C546" s="1" t="s">
        <v>38</v>
      </c>
      <c r="D546" s="1" t="s">
        <v>222</v>
      </c>
      <c r="E546" s="1" t="s">
        <v>223</v>
      </c>
      <c r="F546" s="1">
        <v>1997</v>
      </c>
      <c r="G546" s="1" t="s">
        <v>224</v>
      </c>
      <c r="H546" s="3" t="s">
        <v>225</v>
      </c>
      <c r="I546" s="3" t="s">
        <v>226</v>
      </c>
      <c r="J546" s="1" t="s">
        <v>227</v>
      </c>
      <c r="K546" s="1" t="s">
        <v>228</v>
      </c>
      <c r="L546" s="1" t="s">
        <v>46</v>
      </c>
      <c r="M546" s="1" t="s">
        <v>12</v>
      </c>
      <c r="N546" s="7" t="s">
        <v>76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229</v>
      </c>
      <c r="V546" s="1" t="s">
        <v>244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238</v>
      </c>
      <c r="AE546" s="6" t="s">
        <v>232</v>
      </c>
      <c r="AF546" s="6" t="s">
        <v>49</v>
      </c>
      <c r="AG546" s="1" t="s">
        <v>61</v>
      </c>
      <c r="AH546" s="1" t="s">
        <v>233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6" t="s">
        <v>49</v>
      </c>
      <c r="AV546" s="1" t="s">
        <v>49</v>
      </c>
      <c r="AW546" s="30" t="s">
        <v>260</v>
      </c>
    </row>
    <row r="547" spans="1:49">
      <c r="A547" s="1">
        <v>36</v>
      </c>
      <c r="B547" s="1" t="s">
        <v>38</v>
      </c>
      <c r="C547" s="1" t="s">
        <v>38</v>
      </c>
      <c r="D547" s="1" t="s">
        <v>222</v>
      </c>
      <c r="E547" s="1" t="s">
        <v>223</v>
      </c>
      <c r="F547" s="1">
        <v>1997</v>
      </c>
      <c r="G547" s="1" t="s">
        <v>224</v>
      </c>
      <c r="H547" s="3" t="s">
        <v>225</v>
      </c>
      <c r="I547" s="3" t="s">
        <v>226</v>
      </c>
      <c r="J547" s="1" t="s">
        <v>227</v>
      </c>
      <c r="K547" s="1" t="s">
        <v>228</v>
      </c>
      <c r="L547" s="1" t="s">
        <v>46</v>
      </c>
      <c r="M547" s="1" t="s">
        <v>12</v>
      </c>
      <c r="N547" s="7" t="s">
        <v>76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229</v>
      </c>
      <c r="V547" s="1" t="s">
        <v>244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238</v>
      </c>
      <c r="AE547" s="6" t="s">
        <v>234</v>
      </c>
      <c r="AF547" s="6" t="s">
        <v>49</v>
      </c>
      <c r="AG547" s="1" t="s">
        <v>61</v>
      </c>
      <c r="AH547" s="1" t="s">
        <v>233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6" t="s">
        <v>49</v>
      </c>
      <c r="AV547" s="1" t="s">
        <v>49</v>
      </c>
      <c r="AW547" s="30" t="s">
        <v>260</v>
      </c>
    </row>
    <row r="548" spans="1:49">
      <c r="A548" s="1">
        <v>36</v>
      </c>
      <c r="B548" s="1" t="s">
        <v>38</v>
      </c>
      <c r="C548" s="1" t="s">
        <v>38</v>
      </c>
      <c r="D548" s="1" t="s">
        <v>222</v>
      </c>
      <c r="E548" s="1" t="s">
        <v>223</v>
      </c>
      <c r="F548" s="1">
        <v>1997</v>
      </c>
      <c r="G548" s="1" t="s">
        <v>224</v>
      </c>
      <c r="H548" s="3" t="s">
        <v>225</v>
      </c>
      <c r="I548" s="3" t="s">
        <v>226</v>
      </c>
      <c r="J548" s="1" t="s">
        <v>227</v>
      </c>
      <c r="K548" s="1" t="s">
        <v>228</v>
      </c>
      <c r="L548" s="1" t="s">
        <v>46</v>
      </c>
      <c r="M548" s="1" t="s">
        <v>12</v>
      </c>
      <c r="N548" s="7" t="s">
        <v>76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229</v>
      </c>
      <c r="V548" s="1" t="s">
        <v>244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240</v>
      </c>
      <c r="AE548" s="6" t="s">
        <v>236</v>
      </c>
      <c r="AF548" s="6" t="s">
        <v>49</v>
      </c>
      <c r="AG548" s="1" t="s">
        <v>61</v>
      </c>
      <c r="AH548" s="1" t="s">
        <v>233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6" t="s">
        <v>49</v>
      </c>
      <c r="AV548" s="1" t="s">
        <v>49</v>
      </c>
      <c r="AW548" s="30" t="s">
        <v>49</v>
      </c>
    </row>
    <row r="549" spans="1:49">
      <c r="A549" s="1">
        <v>36</v>
      </c>
      <c r="B549" s="1" t="s">
        <v>38</v>
      </c>
      <c r="C549" s="1" t="s">
        <v>38</v>
      </c>
      <c r="D549" s="1" t="s">
        <v>222</v>
      </c>
      <c r="E549" s="1" t="s">
        <v>223</v>
      </c>
      <c r="F549" s="1">
        <v>1997</v>
      </c>
      <c r="G549" s="1" t="s">
        <v>224</v>
      </c>
      <c r="H549" s="3" t="s">
        <v>225</v>
      </c>
      <c r="I549" s="3" t="s">
        <v>226</v>
      </c>
      <c r="J549" s="1" t="s">
        <v>227</v>
      </c>
      <c r="K549" s="1" t="s">
        <v>228</v>
      </c>
      <c r="L549" s="1" t="s">
        <v>46</v>
      </c>
      <c r="M549" s="1" t="s">
        <v>12</v>
      </c>
      <c r="N549" s="7" t="s">
        <v>76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229</v>
      </c>
      <c r="V549" s="1" t="s">
        <v>244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240</v>
      </c>
      <c r="AE549" s="6" t="s">
        <v>232</v>
      </c>
      <c r="AF549" s="6" t="s">
        <v>49</v>
      </c>
      <c r="AG549" s="1" t="s">
        <v>61</v>
      </c>
      <c r="AH549" s="1" t="s">
        <v>233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6" t="s">
        <v>49</v>
      </c>
      <c r="AV549" s="1" t="s">
        <v>49</v>
      </c>
      <c r="AW549" s="30" t="s">
        <v>49</v>
      </c>
    </row>
    <row r="550" spans="1:49">
      <c r="A550" s="1">
        <v>36</v>
      </c>
      <c r="B550" s="1" t="s">
        <v>38</v>
      </c>
      <c r="C550" s="1" t="s">
        <v>38</v>
      </c>
      <c r="D550" s="1" t="s">
        <v>222</v>
      </c>
      <c r="E550" s="1" t="s">
        <v>223</v>
      </c>
      <c r="F550" s="1">
        <v>1997</v>
      </c>
      <c r="G550" s="1" t="s">
        <v>224</v>
      </c>
      <c r="H550" s="3" t="s">
        <v>225</v>
      </c>
      <c r="I550" s="3" t="s">
        <v>226</v>
      </c>
      <c r="J550" s="1" t="s">
        <v>227</v>
      </c>
      <c r="K550" s="1" t="s">
        <v>228</v>
      </c>
      <c r="L550" s="1" t="s">
        <v>46</v>
      </c>
      <c r="M550" s="1" t="s">
        <v>12</v>
      </c>
      <c r="N550" s="7" t="s">
        <v>76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229</v>
      </c>
      <c r="V550" s="1" t="s">
        <v>244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240</v>
      </c>
      <c r="AE550" s="6" t="s">
        <v>234</v>
      </c>
      <c r="AF550" s="6" t="s">
        <v>49</v>
      </c>
      <c r="AG550" s="1" t="s">
        <v>61</v>
      </c>
      <c r="AH550" s="1" t="s">
        <v>233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6" t="s">
        <v>49</v>
      </c>
      <c r="AV550" s="1" t="s">
        <v>49</v>
      </c>
      <c r="AW550" s="30" t="s">
        <v>49</v>
      </c>
    </row>
    <row r="551" spans="1:49">
      <c r="A551" s="1">
        <v>36</v>
      </c>
      <c r="B551" s="1" t="s">
        <v>38</v>
      </c>
      <c r="C551" s="1" t="s">
        <v>38</v>
      </c>
      <c r="D551" s="1" t="s">
        <v>222</v>
      </c>
      <c r="E551" s="1" t="s">
        <v>223</v>
      </c>
      <c r="F551" s="1">
        <v>1997</v>
      </c>
      <c r="G551" s="1" t="s">
        <v>224</v>
      </c>
      <c r="H551" s="3" t="s">
        <v>225</v>
      </c>
      <c r="I551" s="3" t="s">
        <v>226</v>
      </c>
      <c r="J551" s="1" t="s">
        <v>227</v>
      </c>
      <c r="K551" s="1" t="s">
        <v>228</v>
      </c>
      <c r="L551" s="1" t="s">
        <v>46</v>
      </c>
      <c r="M551" s="1" t="s">
        <v>12</v>
      </c>
      <c r="N551" s="7" t="s">
        <v>76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229</v>
      </c>
      <c r="V551" s="1" t="s">
        <v>244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236</v>
      </c>
      <c r="AE551" s="6" t="s">
        <v>232</v>
      </c>
      <c r="AF551" s="6" t="s">
        <v>49</v>
      </c>
      <c r="AG551" s="1" t="s">
        <v>61</v>
      </c>
      <c r="AH551" s="1" t="s">
        <v>233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6" t="s">
        <v>49</v>
      </c>
      <c r="AV551" s="1" t="s">
        <v>49</v>
      </c>
      <c r="AW551" s="30" t="s">
        <v>49</v>
      </c>
    </row>
    <row r="552" spans="1:49">
      <c r="A552" s="1">
        <v>36</v>
      </c>
      <c r="B552" s="1" t="s">
        <v>38</v>
      </c>
      <c r="C552" s="1" t="s">
        <v>38</v>
      </c>
      <c r="D552" s="1" t="s">
        <v>222</v>
      </c>
      <c r="E552" s="1" t="s">
        <v>223</v>
      </c>
      <c r="F552" s="1">
        <v>1997</v>
      </c>
      <c r="G552" s="1" t="s">
        <v>224</v>
      </c>
      <c r="H552" s="3" t="s">
        <v>225</v>
      </c>
      <c r="I552" s="3" t="s">
        <v>226</v>
      </c>
      <c r="J552" s="1" t="s">
        <v>227</v>
      </c>
      <c r="K552" s="1" t="s">
        <v>228</v>
      </c>
      <c r="L552" s="1" t="s">
        <v>46</v>
      </c>
      <c r="M552" s="1" t="s">
        <v>12</v>
      </c>
      <c r="N552" s="7" t="s">
        <v>76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229</v>
      </c>
      <c r="V552" s="1" t="s">
        <v>244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236</v>
      </c>
      <c r="AE552" s="6" t="s">
        <v>234</v>
      </c>
      <c r="AF552" s="6" t="s">
        <v>49</v>
      </c>
      <c r="AG552" s="1" t="s">
        <v>61</v>
      </c>
      <c r="AH552" s="1" t="s">
        <v>233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6" t="s">
        <v>49</v>
      </c>
      <c r="AV552" s="1" t="s">
        <v>49</v>
      </c>
      <c r="AW552" s="30" t="s">
        <v>49</v>
      </c>
    </row>
    <row r="553" spans="1:49">
      <c r="A553" s="1">
        <v>36</v>
      </c>
      <c r="B553" s="1" t="s">
        <v>38</v>
      </c>
      <c r="C553" s="1" t="s">
        <v>38</v>
      </c>
      <c r="D553" s="1" t="s">
        <v>222</v>
      </c>
      <c r="E553" s="1" t="s">
        <v>223</v>
      </c>
      <c r="F553" s="1">
        <v>1997</v>
      </c>
      <c r="G553" s="1" t="s">
        <v>224</v>
      </c>
      <c r="H553" s="3" t="s">
        <v>225</v>
      </c>
      <c r="I553" s="3" t="s">
        <v>226</v>
      </c>
      <c r="J553" s="1" t="s">
        <v>227</v>
      </c>
      <c r="K553" s="1" t="s">
        <v>228</v>
      </c>
      <c r="L553" s="1" t="s">
        <v>46</v>
      </c>
      <c r="M553" s="1" t="s">
        <v>12</v>
      </c>
      <c r="N553" s="7" t="s">
        <v>76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229</v>
      </c>
      <c r="V553" s="1" t="s">
        <v>244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232</v>
      </c>
      <c r="AE553" s="6" t="s">
        <v>234</v>
      </c>
      <c r="AF553" s="6" t="s">
        <v>49</v>
      </c>
      <c r="AG553" s="1" t="s">
        <v>61</v>
      </c>
      <c r="AH553" s="1" t="s">
        <v>233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6" t="s">
        <v>49</v>
      </c>
      <c r="AV553" s="1" t="s">
        <v>49</v>
      </c>
      <c r="AW553" s="30" t="s">
        <v>49</v>
      </c>
    </row>
    <row r="554" spans="1:49">
      <c r="A554" s="1">
        <v>26</v>
      </c>
      <c r="B554" s="1" t="s">
        <v>38</v>
      </c>
      <c r="C554" s="1" t="s">
        <v>38</v>
      </c>
      <c r="D554" s="1" t="s">
        <v>245</v>
      </c>
      <c r="E554" s="1" t="s">
        <v>40</v>
      </c>
      <c r="F554" s="1">
        <v>1997</v>
      </c>
      <c r="G554" s="1" t="s">
        <v>246</v>
      </c>
      <c r="H554" s="3" t="s">
        <v>247</v>
      </c>
      <c r="I554" s="3" t="s">
        <v>248</v>
      </c>
      <c r="J554" s="1" t="s">
        <v>249</v>
      </c>
      <c r="K554" s="1" t="s">
        <v>45</v>
      </c>
      <c r="L554" s="3" t="s">
        <v>46</v>
      </c>
      <c r="M554" s="1" t="s">
        <v>12</v>
      </c>
      <c r="N554" s="1" t="s">
        <v>116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77</v>
      </c>
      <c r="T554" s="1" t="s">
        <v>250</v>
      </c>
      <c r="U554" s="1" t="s">
        <v>251</v>
      </c>
      <c r="V554" s="1" t="s">
        <v>252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81</v>
      </c>
      <c r="AD554" s="7" t="s">
        <v>82</v>
      </c>
      <c r="AE554" s="7" t="s">
        <v>82</v>
      </c>
      <c r="AF554" s="1" t="s">
        <v>60</v>
      </c>
      <c r="AG554" s="1" t="s">
        <v>61</v>
      </c>
      <c r="AH554" s="1" t="s">
        <v>253</v>
      </c>
      <c r="AI554" s="1" t="s">
        <v>55</v>
      </c>
      <c r="AJ554" s="1">
        <v>171</v>
      </c>
      <c r="AK554" s="1" t="s">
        <v>49</v>
      </c>
      <c r="AL554" s="4">
        <f>AS554/AN554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6" t="s">
        <v>49</v>
      </c>
      <c r="AS554" s="1">
        <v>2.9872000000000001</v>
      </c>
      <c r="AT554" s="4">
        <f>AS554/(AM554^2)*100</f>
        <v>0.81235949052572165</v>
      </c>
      <c r="AU554" s="5">
        <v>0</v>
      </c>
      <c r="AV554" s="4">
        <f>AT554*(1-AL554)/AL554</f>
        <v>2.7238289709585186</v>
      </c>
      <c r="AW554" s="29" t="s">
        <v>261</v>
      </c>
    </row>
    <row r="555" spans="1:49">
      <c r="A555" s="1">
        <v>26</v>
      </c>
      <c r="B555" s="1" t="s">
        <v>38</v>
      </c>
      <c r="C555" s="1" t="s">
        <v>38</v>
      </c>
      <c r="D555" s="1" t="s">
        <v>245</v>
      </c>
      <c r="E555" s="1" t="s">
        <v>40</v>
      </c>
      <c r="F555" s="1">
        <v>1997</v>
      </c>
      <c r="G555" s="1" t="s">
        <v>246</v>
      </c>
      <c r="H555" s="3" t="s">
        <v>247</v>
      </c>
      <c r="I555" s="3" t="s">
        <v>248</v>
      </c>
      <c r="J555" s="1" t="s">
        <v>249</v>
      </c>
      <c r="K555" s="1" t="s">
        <v>45</v>
      </c>
      <c r="L555" s="3" t="s">
        <v>46</v>
      </c>
      <c r="M555" s="1" t="s">
        <v>12</v>
      </c>
      <c r="N555" s="1" t="s">
        <v>116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77</v>
      </c>
      <c r="T555" s="1" t="s">
        <v>250</v>
      </c>
      <c r="U555" s="1" t="s">
        <v>251</v>
      </c>
      <c r="V555" s="1" t="s">
        <v>252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254</v>
      </c>
      <c r="AD555" s="7" t="s">
        <v>255</v>
      </c>
      <c r="AE555" s="7" t="s">
        <v>255</v>
      </c>
      <c r="AF555" s="1" t="s">
        <v>60</v>
      </c>
      <c r="AG555" s="1" t="s">
        <v>61</v>
      </c>
      <c r="AH555" s="1" t="s">
        <v>253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6" t="s">
        <v>49</v>
      </c>
      <c r="AS555" s="1">
        <v>3.0999999999999999E-3</v>
      </c>
      <c r="AT555" s="4">
        <f>AS555*100</f>
        <v>0.31</v>
      </c>
      <c r="AU555" s="5">
        <v>1</v>
      </c>
      <c r="AV555" s="4" t="s">
        <v>49</v>
      </c>
      <c r="AW555" s="29" t="s">
        <v>262</v>
      </c>
    </row>
    <row r="556" spans="1:49">
      <c r="A556" s="1">
        <v>26</v>
      </c>
      <c r="B556" s="1" t="s">
        <v>38</v>
      </c>
      <c r="C556" s="1" t="s">
        <v>38</v>
      </c>
      <c r="D556" s="1" t="s">
        <v>245</v>
      </c>
      <c r="E556" s="1" t="s">
        <v>40</v>
      </c>
      <c r="F556" s="1">
        <v>1997</v>
      </c>
      <c r="G556" s="1" t="s">
        <v>246</v>
      </c>
      <c r="H556" s="3" t="s">
        <v>247</v>
      </c>
      <c r="I556" s="3" t="s">
        <v>248</v>
      </c>
      <c r="J556" s="1" t="s">
        <v>249</v>
      </c>
      <c r="K556" s="1" t="s">
        <v>45</v>
      </c>
      <c r="L556" s="3" t="s">
        <v>46</v>
      </c>
      <c r="M556" s="1" t="s">
        <v>12</v>
      </c>
      <c r="N556" s="1" t="s">
        <v>116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77</v>
      </c>
      <c r="T556" s="1" t="s">
        <v>250</v>
      </c>
      <c r="U556" s="1" t="s">
        <v>251</v>
      </c>
      <c r="V556" s="1" t="s">
        <v>252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256</v>
      </c>
      <c r="AD556" s="7" t="s">
        <v>257</v>
      </c>
      <c r="AE556" s="7" t="s">
        <v>257</v>
      </c>
      <c r="AF556" s="1" t="s">
        <v>60</v>
      </c>
      <c r="AG556" s="1" t="s">
        <v>61</v>
      </c>
      <c r="AH556" s="1" t="s">
        <v>253</v>
      </c>
      <c r="AI556" s="1" t="s">
        <v>55</v>
      </c>
      <c r="AJ556" s="1">
        <v>171</v>
      </c>
      <c r="AK556" s="1" t="s">
        <v>49</v>
      </c>
      <c r="AL556" s="4">
        <f>AS556/AN556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6" t="s">
        <v>49</v>
      </c>
      <c r="AS556" s="1">
        <v>0.15029999999999999</v>
      </c>
      <c r="AT556" s="4">
        <f>AS556/(AM556^2)*100</f>
        <v>2.1828873252528256</v>
      </c>
      <c r="AU556" s="5">
        <v>0</v>
      </c>
      <c r="AV556" s="4">
        <f>AT556*(1-AL556)/AL556</f>
        <v>1.9430892372471746</v>
      </c>
      <c r="AW556" s="29" t="s">
        <v>261</v>
      </c>
    </row>
    <row r="557" spans="1:49">
      <c r="A557" s="1">
        <v>26</v>
      </c>
      <c r="B557" s="1" t="s">
        <v>38</v>
      </c>
      <c r="C557" s="1" t="s">
        <v>38</v>
      </c>
      <c r="D557" s="1" t="s">
        <v>245</v>
      </c>
      <c r="E557" s="1" t="s">
        <v>40</v>
      </c>
      <c r="F557" s="1">
        <v>1997</v>
      </c>
      <c r="G557" s="1" t="s">
        <v>246</v>
      </c>
      <c r="H557" s="3" t="s">
        <v>247</v>
      </c>
      <c r="I557" s="3" t="s">
        <v>248</v>
      </c>
      <c r="J557" s="1" t="s">
        <v>249</v>
      </c>
      <c r="K557" s="1" t="s">
        <v>45</v>
      </c>
      <c r="L557" s="3" t="s">
        <v>46</v>
      </c>
      <c r="M557" s="1" t="s">
        <v>12</v>
      </c>
      <c r="N557" s="1" t="s">
        <v>116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77</v>
      </c>
      <c r="T557" s="1" t="s">
        <v>250</v>
      </c>
      <c r="U557" s="1" t="s">
        <v>251</v>
      </c>
      <c r="V557" s="1" t="s">
        <v>252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124</v>
      </c>
      <c r="AD557" s="7" t="s">
        <v>126</v>
      </c>
      <c r="AE557" s="7" t="s">
        <v>126</v>
      </c>
      <c r="AF557" s="1" t="s">
        <v>60</v>
      </c>
      <c r="AG557" s="1" t="s">
        <v>61</v>
      </c>
      <c r="AH557" s="1" t="s">
        <v>253</v>
      </c>
      <c r="AI557" s="1" t="s">
        <v>55</v>
      </c>
      <c r="AJ557" s="1">
        <v>171</v>
      </c>
      <c r="AK557" s="1" t="s">
        <v>49</v>
      </c>
      <c r="AL557" s="4">
        <f>AS557/AN557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6" t="s">
        <v>49</v>
      </c>
      <c r="AS557" s="1">
        <v>3.2399999999999998E-2</v>
      </c>
      <c r="AT557" s="4">
        <f>AS557/(AM557^2)*100</f>
        <v>1.0367612367414717E-2</v>
      </c>
      <c r="AU557" s="5">
        <v>0</v>
      </c>
      <c r="AV557" s="4">
        <f>AT557*(1-AL557)/AL557</f>
        <v>2.0605744775929726</v>
      </c>
      <c r="AW557" s="29" t="s">
        <v>261</v>
      </c>
    </row>
    <row r="558" spans="1:49">
      <c r="A558" s="1">
        <v>26</v>
      </c>
      <c r="B558" s="1" t="s">
        <v>38</v>
      </c>
      <c r="C558" s="1" t="s">
        <v>38</v>
      </c>
      <c r="D558" s="1" t="s">
        <v>245</v>
      </c>
      <c r="E558" s="1" t="s">
        <v>40</v>
      </c>
      <c r="F558" s="1">
        <v>1997</v>
      </c>
      <c r="G558" s="1" t="s">
        <v>246</v>
      </c>
      <c r="H558" s="3" t="s">
        <v>247</v>
      </c>
      <c r="I558" s="3" t="s">
        <v>248</v>
      </c>
      <c r="J558" s="1" t="s">
        <v>249</v>
      </c>
      <c r="K558" s="1" t="s">
        <v>45</v>
      </c>
      <c r="L558" s="3" t="s">
        <v>46</v>
      </c>
      <c r="M558" s="1" t="s">
        <v>12</v>
      </c>
      <c r="N558" s="1" t="s">
        <v>116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77</v>
      </c>
      <c r="T558" s="1" t="s">
        <v>250</v>
      </c>
      <c r="U558" s="1" t="s">
        <v>251</v>
      </c>
      <c r="V558" s="1" t="s">
        <v>252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126</v>
      </c>
      <c r="AE558" s="7" t="s">
        <v>255</v>
      </c>
      <c r="AF558" s="6" t="s">
        <v>49</v>
      </c>
      <c r="AG558" s="1" t="s">
        <v>61</v>
      </c>
      <c r="AH558" s="1" t="s">
        <v>253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6" t="s">
        <v>49</v>
      </c>
      <c r="AS558" s="26">
        <v>-4.1200000000000001E-2</v>
      </c>
      <c r="AT558" s="6" t="s">
        <v>49</v>
      </c>
      <c r="AU558" s="6" t="s">
        <v>49</v>
      </c>
      <c r="AV558" s="1" t="s">
        <v>49</v>
      </c>
      <c r="AW558" s="30" t="s">
        <v>263</v>
      </c>
    </row>
    <row r="559" spans="1:49">
      <c r="A559" s="1">
        <v>26</v>
      </c>
      <c r="B559" s="1" t="s">
        <v>38</v>
      </c>
      <c r="C559" s="1" t="s">
        <v>38</v>
      </c>
      <c r="D559" s="1" t="s">
        <v>245</v>
      </c>
      <c r="E559" s="1" t="s">
        <v>40</v>
      </c>
      <c r="F559" s="1">
        <v>1997</v>
      </c>
      <c r="G559" s="1" t="s">
        <v>246</v>
      </c>
      <c r="H559" s="3" t="s">
        <v>247</v>
      </c>
      <c r="I559" s="3" t="s">
        <v>248</v>
      </c>
      <c r="J559" s="1" t="s">
        <v>249</v>
      </c>
      <c r="K559" s="1" t="s">
        <v>45</v>
      </c>
      <c r="L559" s="3" t="s">
        <v>46</v>
      </c>
      <c r="M559" s="1" t="s">
        <v>12</v>
      </c>
      <c r="N559" s="1" t="s">
        <v>116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77</v>
      </c>
      <c r="T559" s="1" t="s">
        <v>250</v>
      </c>
      <c r="U559" s="1" t="s">
        <v>251</v>
      </c>
      <c r="V559" s="1" t="s">
        <v>252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126</v>
      </c>
      <c r="AE559" s="7" t="s">
        <v>82</v>
      </c>
      <c r="AF559" s="6" t="s">
        <v>49</v>
      </c>
      <c r="AG559" s="1" t="s">
        <v>61</v>
      </c>
      <c r="AH559" s="1" t="s">
        <v>253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 t="s">
        <v>49</v>
      </c>
      <c r="AS559" s="6">
        <v>1.9E-2</v>
      </c>
      <c r="AT559" s="6" t="s">
        <v>49</v>
      </c>
      <c r="AU559" s="6" t="s">
        <v>49</v>
      </c>
      <c r="AV559" s="1" t="s">
        <v>49</v>
      </c>
      <c r="AW559" s="30" t="s">
        <v>49</v>
      </c>
    </row>
    <row r="560" spans="1:49">
      <c r="A560" s="1">
        <v>26</v>
      </c>
      <c r="B560" s="1" t="s">
        <v>38</v>
      </c>
      <c r="C560" s="1" t="s">
        <v>38</v>
      </c>
      <c r="D560" s="1" t="s">
        <v>245</v>
      </c>
      <c r="E560" s="1" t="s">
        <v>40</v>
      </c>
      <c r="F560" s="1">
        <v>1997</v>
      </c>
      <c r="G560" s="1" t="s">
        <v>246</v>
      </c>
      <c r="H560" s="3" t="s">
        <v>247</v>
      </c>
      <c r="I560" s="3" t="s">
        <v>248</v>
      </c>
      <c r="J560" s="1" t="s">
        <v>249</v>
      </c>
      <c r="K560" s="1" t="s">
        <v>45</v>
      </c>
      <c r="L560" s="3" t="s">
        <v>46</v>
      </c>
      <c r="M560" s="1" t="s">
        <v>12</v>
      </c>
      <c r="N560" s="1" t="s">
        <v>116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77</v>
      </c>
      <c r="T560" s="1" t="s">
        <v>250</v>
      </c>
      <c r="U560" s="1" t="s">
        <v>251</v>
      </c>
      <c r="V560" s="1" t="s">
        <v>252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126</v>
      </c>
      <c r="AE560" s="7" t="s">
        <v>257</v>
      </c>
      <c r="AF560" s="6" t="s">
        <v>49</v>
      </c>
      <c r="AG560" s="1" t="s">
        <v>61</v>
      </c>
      <c r="AH560" s="1" t="s">
        <v>253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 t="s">
        <v>49</v>
      </c>
      <c r="AS560" s="6">
        <v>7.0300000000000001E-2</v>
      </c>
      <c r="AT560" s="6" t="s">
        <v>49</v>
      </c>
      <c r="AU560" s="6" t="s">
        <v>49</v>
      </c>
      <c r="AV560" s="1" t="s">
        <v>49</v>
      </c>
      <c r="AW560" s="30" t="s">
        <v>49</v>
      </c>
    </row>
    <row r="561" spans="1:51">
      <c r="A561" s="1">
        <v>26</v>
      </c>
      <c r="B561" s="1" t="s">
        <v>38</v>
      </c>
      <c r="C561" s="1" t="s">
        <v>38</v>
      </c>
      <c r="D561" s="1" t="s">
        <v>245</v>
      </c>
      <c r="E561" s="1" t="s">
        <v>40</v>
      </c>
      <c r="F561" s="1">
        <v>1997</v>
      </c>
      <c r="G561" s="1" t="s">
        <v>246</v>
      </c>
      <c r="H561" s="3" t="s">
        <v>247</v>
      </c>
      <c r="I561" s="3" t="s">
        <v>248</v>
      </c>
      <c r="J561" s="1" t="s">
        <v>249</v>
      </c>
      <c r="K561" s="1" t="s">
        <v>45</v>
      </c>
      <c r="L561" s="3" t="s">
        <v>46</v>
      </c>
      <c r="M561" s="1" t="s">
        <v>12</v>
      </c>
      <c r="N561" s="1" t="s">
        <v>116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77</v>
      </c>
      <c r="T561" s="1" t="s">
        <v>250</v>
      </c>
      <c r="U561" s="1" t="s">
        <v>251</v>
      </c>
      <c r="V561" s="1" t="s">
        <v>252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255</v>
      </c>
      <c r="AE561" s="7" t="s">
        <v>82</v>
      </c>
      <c r="AF561" s="6" t="s">
        <v>49</v>
      </c>
      <c r="AG561" s="1" t="s">
        <v>61</v>
      </c>
      <c r="AH561" s="1" t="s">
        <v>253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 t="s">
        <v>49</v>
      </c>
      <c r="AS561" s="6">
        <v>-1.7399999999999999E-2</v>
      </c>
      <c r="AT561" s="6" t="s">
        <v>49</v>
      </c>
      <c r="AU561" s="6" t="s">
        <v>49</v>
      </c>
      <c r="AV561" s="1" t="s">
        <v>49</v>
      </c>
      <c r="AW561" s="30" t="s">
        <v>263</v>
      </c>
    </row>
    <row r="562" spans="1:51">
      <c r="A562" s="1">
        <v>26</v>
      </c>
      <c r="B562" s="1" t="s">
        <v>38</v>
      </c>
      <c r="C562" s="1" t="s">
        <v>38</v>
      </c>
      <c r="D562" s="1" t="s">
        <v>245</v>
      </c>
      <c r="E562" s="1" t="s">
        <v>40</v>
      </c>
      <c r="F562" s="1">
        <v>1997</v>
      </c>
      <c r="G562" s="1" t="s">
        <v>246</v>
      </c>
      <c r="H562" s="3" t="s">
        <v>247</v>
      </c>
      <c r="I562" s="3" t="s">
        <v>248</v>
      </c>
      <c r="J562" s="1" t="s">
        <v>249</v>
      </c>
      <c r="K562" s="1" t="s">
        <v>45</v>
      </c>
      <c r="L562" s="3" t="s">
        <v>46</v>
      </c>
      <c r="M562" s="1" t="s">
        <v>12</v>
      </c>
      <c r="N562" s="1" t="s">
        <v>116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77</v>
      </c>
      <c r="T562" s="1" t="s">
        <v>250</v>
      </c>
      <c r="U562" s="1" t="s">
        <v>251</v>
      </c>
      <c r="V562" s="1" t="s">
        <v>252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255</v>
      </c>
      <c r="AE562" s="7" t="s">
        <v>257</v>
      </c>
      <c r="AF562" s="6" t="s">
        <v>49</v>
      </c>
      <c r="AG562" s="1" t="s">
        <v>61</v>
      </c>
      <c r="AH562" s="1" t="s">
        <v>253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 t="s">
        <v>49</v>
      </c>
      <c r="AS562" s="6">
        <v>-4.5999999999999999E-3</v>
      </c>
      <c r="AT562" s="6" t="s">
        <v>49</v>
      </c>
      <c r="AU562" s="6" t="s">
        <v>49</v>
      </c>
      <c r="AV562" s="1" t="s">
        <v>49</v>
      </c>
      <c r="AW562" s="30" t="s">
        <v>263</v>
      </c>
    </row>
    <row r="563" spans="1:51">
      <c r="A563" s="1">
        <v>26</v>
      </c>
      <c r="B563" s="1" t="s">
        <v>38</v>
      </c>
      <c r="C563" s="1" t="s">
        <v>38</v>
      </c>
      <c r="D563" s="1" t="s">
        <v>245</v>
      </c>
      <c r="E563" s="1" t="s">
        <v>40</v>
      </c>
      <c r="F563" s="1">
        <v>1997</v>
      </c>
      <c r="G563" s="1" t="s">
        <v>246</v>
      </c>
      <c r="H563" s="3" t="s">
        <v>247</v>
      </c>
      <c r="I563" s="3" t="s">
        <v>248</v>
      </c>
      <c r="J563" s="1" t="s">
        <v>249</v>
      </c>
      <c r="K563" s="1" t="s">
        <v>45</v>
      </c>
      <c r="L563" s="3" t="s">
        <v>46</v>
      </c>
      <c r="M563" s="1" t="s">
        <v>12</v>
      </c>
      <c r="N563" s="1" t="s">
        <v>116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77</v>
      </c>
      <c r="T563" s="1" t="s">
        <v>250</v>
      </c>
      <c r="U563" s="1" t="s">
        <v>251</v>
      </c>
      <c r="V563" s="1" t="s">
        <v>252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82</v>
      </c>
      <c r="AE563" s="7" t="s">
        <v>257</v>
      </c>
      <c r="AF563" s="6" t="s">
        <v>49</v>
      </c>
      <c r="AG563" s="1" t="s">
        <v>61</v>
      </c>
      <c r="AH563" s="1" t="s">
        <v>253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 t="s">
        <v>49</v>
      </c>
      <c r="AS563" s="6">
        <v>0.40889999999999999</v>
      </c>
      <c r="AT563" s="6" t="s">
        <v>49</v>
      </c>
      <c r="AU563" s="6" t="s">
        <v>49</v>
      </c>
      <c r="AV563" s="1" t="s">
        <v>49</v>
      </c>
      <c r="AW563" s="30" t="s">
        <v>49</v>
      </c>
    </row>
    <row r="564" spans="1:51">
      <c r="A564" s="1">
        <v>26</v>
      </c>
      <c r="B564" s="1" t="s">
        <v>38</v>
      </c>
      <c r="C564" s="1" t="s">
        <v>38</v>
      </c>
      <c r="D564" s="1" t="s">
        <v>245</v>
      </c>
      <c r="E564" s="1" t="s">
        <v>40</v>
      </c>
      <c r="F564" s="1">
        <v>1997</v>
      </c>
      <c r="G564" s="1" t="s">
        <v>246</v>
      </c>
      <c r="H564" s="3" t="s">
        <v>247</v>
      </c>
      <c r="I564" s="3" t="s">
        <v>248</v>
      </c>
      <c r="J564" s="1" t="s">
        <v>249</v>
      </c>
      <c r="K564" s="1" t="s">
        <v>45</v>
      </c>
      <c r="L564" s="3" t="s">
        <v>46</v>
      </c>
      <c r="M564" s="1" t="s">
        <v>12</v>
      </c>
      <c r="N564" s="1" t="s">
        <v>116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77</v>
      </c>
      <c r="T564" s="1" t="s">
        <v>250</v>
      </c>
      <c r="U564" s="1" t="s">
        <v>251</v>
      </c>
      <c r="V564" s="1" t="s">
        <v>259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81</v>
      </c>
      <c r="AD564" s="7" t="s">
        <v>82</v>
      </c>
      <c r="AE564" s="7" t="s">
        <v>82</v>
      </c>
      <c r="AF564" s="1" t="s">
        <v>60</v>
      </c>
      <c r="AG564" s="1" t="s">
        <v>61</v>
      </c>
      <c r="AH564" s="1" t="s">
        <v>253</v>
      </c>
      <c r="AI564" s="1" t="s">
        <v>55</v>
      </c>
      <c r="AJ564" s="1">
        <v>276</v>
      </c>
      <c r="AK564" s="1" t="s">
        <v>49</v>
      </c>
      <c r="AL564" s="4">
        <f>AS564/AN564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6" t="s">
        <v>49</v>
      </c>
      <c r="AS564" s="1">
        <v>1.9728000000000001</v>
      </c>
      <c r="AT564" s="4">
        <f>AS564/(AM564^2)*100</f>
        <v>0.6225087580052866</v>
      </c>
      <c r="AU564" s="5">
        <v>0</v>
      </c>
      <c r="AV564" s="4">
        <f>AT564*(1-AL564)/AL564</f>
        <v>1.3781538629350569</v>
      </c>
      <c r="AW564" s="29" t="s">
        <v>261</v>
      </c>
    </row>
    <row r="565" spans="1:51">
      <c r="A565" s="1">
        <v>26</v>
      </c>
      <c r="B565" s="1" t="s">
        <v>38</v>
      </c>
      <c r="C565" s="1" t="s">
        <v>38</v>
      </c>
      <c r="D565" s="1" t="s">
        <v>245</v>
      </c>
      <c r="E565" s="1" t="s">
        <v>40</v>
      </c>
      <c r="F565" s="1">
        <v>1997</v>
      </c>
      <c r="G565" s="1" t="s">
        <v>246</v>
      </c>
      <c r="H565" s="3" t="s">
        <v>247</v>
      </c>
      <c r="I565" s="3" t="s">
        <v>248</v>
      </c>
      <c r="J565" s="1" t="s">
        <v>249</v>
      </c>
      <c r="K565" s="1" t="s">
        <v>45</v>
      </c>
      <c r="L565" s="3" t="s">
        <v>46</v>
      </c>
      <c r="M565" s="1" t="s">
        <v>12</v>
      </c>
      <c r="N565" s="1" t="s">
        <v>116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77</v>
      </c>
      <c r="T565" s="1" t="s">
        <v>250</v>
      </c>
      <c r="U565" s="1" t="s">
        <v>251</v>
      </c>
      <c r="V565" s="1" t="s">
        <v>259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254</v>
      </c>
      <c r="AD565" s="7" t="s">
        <v>255</v>
      </c>
      <c r="AE565" s="7" t="s">
        <v>255</v>
      </c>
      <c r="AF565" s="1" t="s">
        <v>60</v>
      </c>
      <c r="AG565" s="1" t="s">
        <v>61</v>
      </c>
      <c r="AH565" s="1" t="s">
        <v>253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6" t="s">
        <v>49</v>
      </c>
      <c r="AS565" s="1">
        <v>4.1999999999999997E-3</v>
      </c>
      <c r="AT565" s="4">
        <f>AS565*100</f>
        <v>0.42</v>
      </c>
      <c r="AU565" s="5">
        <v>1</v>
      </c>
      <c r="AV565" s="4" t="s">
        <v>49</v>
      </c>
      <c r="AW565" s="29" t="s">
        <v>262</v>
      </c>
    </row>
    <row r="566" spans="1:51">
      <c r="A566" s="1">
        <v>26</v>
      </c>
      <c r="B566" s="1" t="s">
        <v>38</v>
      </c>
      <c r="C566" s="1" t="s">
        <v>38</v>
      </c>
      <c r="D566" s="1" t="s">
        <v>245</v>
      </c>
      <c r="E566" s="1" t="s">
        <v>40</v>
      </c>
      <c r="F566" s="1">
        <v>1997</v>
      </c>
      <c r="G566" s="1" t="s">
        <v>246</v>
      </c>
      <c r="H566" s="3" t="s">
        <v>247</v>
      </c>
      <c r="I566" s="3" t="s">
        <v>248</v>
      </c>
      <c r="J566" s="1" t="s">
        <v>249</v>
      </c>
      <c r="K566" s="1" t="s">
        <v>45</v>
      </c>
      <c r="L566" s="3" t="s">
        <v>46</v>
      </c>
      <c r="M566" s="1" t="s">
        <v>12</v>
      </c>
      <c r="N566" s="1" t="s">
        <v>116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77</v>
      </c>
      <c r="T566" s="1" t="s">
        <v>250</v>
      </c>
      <c r="U566" s="1" t="s">
        <v>251</v>
      </c>
      <c r="V566" s="1" t="s">
        <v>259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256</v>
      </c>
      <c r="AD566" s="7" t="s">
        <v>257</v>
      </c>
      <c r="AE566" s="7" t="s">
        <v>257</v>
      </c>
      <c r="AF566" s="1" t="s">
        <v>60</v>
      </c>
      <c r="AG566" s="1" t="s">
        <v>61</v>
      </c>
      <c r="AH566" s="1" t="s">
        <v>253</v>
      </c>
      <c r="AI566" s="1" t="s">
        <v>55</v>
      </c>
      <c r="AJ566" s="1">
        <v>276</v>
      </c>
      <c r="AK566" s="1" t="s">
        <v>49</v>
      </c>
      <c r="AL566" s="4">
        <f>AS566/AN566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6" t="s">
        <v>49</v>
      </c>
      <c r="AS566" s="1">
        <v>0.1116</v>
      </c>
      <c r="AT566" s="4">
        <f>AS566/(AM566^2)*100</f>
        <v>1.8057679724073472</v>
      </c>
      <c r="AU566" s="5">
        <v>0</v>
      </c>
      <c r="AV566" s="4">
        <f>AT566*(1-AL566)/AL566</f>
        <v>0.59261874542490223</v>
      </c>
      <c r="AW566" s="29" t="s">
        <v>261</v>
      </c>
    </row>
    <row r="567" spans="1:51">
      <c r="A567" s="1">
        <v>26</v>
      </c>
      <c r="B567" s="1" t="s">
        <v>38</v>
      </c>
      <c r="C567" s="1" t="s">
        <v>38</v>
      </c>
      <c r="D567" s="1" t="s">
        <v>245</v>
      </c>
      <c r="E567" s="1" t="s">
        <v>40</v>
      </c>
      <c r="F567" s="1">
        <v>1997</v>
      </c>
      <c r="G567" s="1" t="s">
        <v>246</v>
      </c>
      <c r="H567" s="3" t="s">
        <v>247</v>
      </c>
      <c r="I567" s="3" t="s">
        <v>248</v>
      </c>
      <c r="J567" s="1" t="s">
        <v>249</v>
      </c>
      <c r="K567" s="1" t="s">
        <v>45</v>
      </c>
      <c r="L567" s="3" t="s">
        <v>46</v>
      </c>
      <c r="M567" s="1" t="s">
        <v>12</v>
      </c>
      <c r="N567" s="1" t="s">
        <v>116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77</v>
      </c>
      <c r="T567" s="1" t="s">
        <v>250</v>
      </c>
      <c r="U567" s="1" t="s">
        <v>251</v>
      </c>
      <c r="V567" s="1" t="s">
        <v>259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124</v>
      </c>
      <c r="AD567" s="1" t="s">
        <v>126</v>
      </c>
      <c r="AE567" s="1" t="s">
        <v>126</v>
      </c>
      <c r="AF567" s="1" t="s">
        <v>60</v>
      </c>
      <c r="AG567" s="1" t="s">
        <v>61</v>
      </c>
      <c r="AH567" s="1" t="s">
        <v>253</v>
      </c>
      <c r="AI567" s="1" t="s">
        <v>55</v>
      </c>
      <c r="AJ567" s="1">
        <v>276</v>
      </c>
      <c r="AK567" s="1" t="s">
        <v>49</v>
      </c>
      <c r="AL567" s="4">
        <f>AS567/AN567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6" t="s">
        <v>49</v>
      </c>
      <c r="AS567" s="1">
        <v>1.1713</v>
      </c>
      <c r="AT567" s="4">
        <f>AS567/(AM567^2)*100</f>
        <v>0.43944907935098976</v>
      </c>
      <c r="AU567" s="5">
        <v>0</v>
      </c>
      <c r="AV567" s="4">
        <f>AT567*(1-AL567)/AL567</f>
        <v>0.9638600648861404</v>
      </c>
      <c r="AW567" s="29" t="s">
        <v>261</v>
      </c>
    </row>
    <row r="568" spans="1:51">
      <c r="A568" s="1">
        <v>26</v>
      </c>
      <c r="B568" s="1" t="s">
        <v>38</v>
      </c>
      <c r="C568" s="1" t="s">
        <v>38</v>
      </c>
      <c r="D568" s="1" t="s">
        <v>245</v>
      </c>
      <c r="E568" s="1" t="s">
        <v>40</v>
      </c>
      <c r="F568" s="1">
        <v>1997</v>
      </c>
      <c r="G568" s="1" t="s">
        <v>246</v>
      </c>
      <c r="H568" s="3" t="s">
        <v>247</v>
      </c>
      <c r="I568" s="3" t="s">
        <v>248</v>
      </c>
      <c r="J568" s="1" t="s">
        <v>249</v>
      </c>
      <c r="K568" s="1" t="s">
        <v>45</v>
      </c>
      <c r="L568" s="3" t="s">
        <v>46</v>
      </c>
      <c r="M568" s="1" t="s">
        <v>12</v>
      </c>
      <c r="N568" s="1" t="s">
        <v>116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77</v>
      </c>
      <c r="T568" s="1" t="s">
        <v>250</v>
      </c>
      <c r="U568" s="1" t="s">
        <v>251</v>
      </c>
      <c r="V568" s="1" t="s">
        <v>259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126</v>
      </c>
      <c r="AE568" s="7" t="s">
        <v>255</v>
      </c>
      <c r="AF568" s="6" t="s">
        <v>49</v>
      </c>
      <c r="AG568" s="1" t="s">
        <v>61</v>
      </c>
      <c r="AH568" s="1" t="s">
        <v>253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 t="s">
        <v>49</v>
      </c>
      <c r="AS568" s="6">
        <v>2.9999999999999997E-4</v>
      </c>
      <c r="AT568" s="6" t="s">
        <v>49</v>
      </c>
      <c r="AU568" s="6" t="s">
        <v>49</v>
      </c>
      <c r="AV568" s="1" t="s">
        <v>49</v>
      </c>
      <c r="AW568" s="30" t="s">
        <v>263</v>
      </c>
    </row>
    <row r="569" spans="1:51">
      <c r="A569" s="1">
        <v>26</v>
      </c>
      <c r="B569" s="1" t="s">
        <v>38</v>
      </c>
      <c r="C569" s="1" t="s">
        <v>38</v>
      </c>
      <c r="D569" s="1" t="s">
        <v>245</v>
      </c>
      <c r="E569" s="1" t="s">
        <v>40</v>
      </c>
      <c r="F569" s="1">
        <v>1997</v>
      </c>
      <c r="G569" s="1" t="s">
        <v>246</v>
      </c>
      <c r="H569" s="3" t="s">
        <v>247</v>
      </c>
      <c r="I569" s="3" t="s">
        <v>248</v>
      </c>
      <c r="J569" s="1" t="s">
        <v>249</v>
      </c>
      <c r="K569" s="1" t="s">
        <v>45</v>
      </c>
      <c r="L569" s="3" t="s">
        <v>46</v>
      </c>
      <c r="M569" s="1" t="s">
        <v>12</v>
      </c>
      <c r="N569" s="1" t="s">
        <v>116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77</v>
      </c>
      <c r="T569" s="1" t="s">
        <v>250</v>
      </c>
      <c r="U569" s="1" t="s">
        <v>251</v>
      </c>
      <c r="V569" s="1" t="s">
        <v>259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126</v>
      </c>
      <c r="AE569" s="7" t="s">
        <v>82</v>
      </c>
      <c r="AF569" s="6" t="s">
        <v>49</v>
      </c>
      <c r="AG569" s="1" t="s">
        <v>61</v>
      </c>
      <c r="AH569" s="1" t="s">
        <v>253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 t="s">
        <v>49</v>
      </c>
      <c r="AS569" s="6">
        <v>-9.2700000000000005E-2</v>
      </c>
      <c r="AT569" s="6" t="s">
        <v>49</v>
      </c>
      <c r="AU569" s="6" t="s">
        <v>49</v>
      </c>
      <c r="AV569" s="1" t="s">
        <v>49</v>
      </c>
      <c r="AW569" s="30" t="s">
        <v>49</v>
      </c>
    </row>
    <row r="570" spans="1:51">
      <c r="A570" s="1">
        <v>26</v>
      </c>
      <c r="B570" s="1" t="s">
        <v>38</v>
      </c>
      <c r="C570" s="1" t="s">
        <v>38</v>
      </c>
      <c r="D570" s="1" t="s">
        <v>245</v>
      </c>
      <c r="E570" s="1" t="s">
        <v>40</v>
      </c>
      <c r="F570" s="1">
        <v>1997</v>
      </c>
      <c r="G570" s="1" t="s">
        <v>246</v>
      </c>
      <c r="H570" s="3" t="s">
        <v>247</v>
      </c>
      <c r="I570" s="3" t="s">
        <v>248</v>
      </c>
      <c r="J570" s="1" t="s">
        <v>249</v>
      </c>
      <c r="K570" s="1" t="s">
        <v>45</v>
      </c>
      <c r="L570" s="3" t="s">
        <v>46</v>
      </c>
      <c r="M570" s="1" t="s">
        <v>12</v>
      </c>
      <c r="N570" s="1" t="s">
        <v>116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77</v>
      </c>
      <c r="T570" s="1" t="s">
        <v>250</v>
      </c>
      <c r="U570" s="1" t="s">
        <v>251</v>
      </c>
      <c r="V570" s="1" t="s">
        <v>259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126</v>
      </c>
      <c r="AE570" s="7" t="s">
        <v>257</v>
      </c>
      <c r="AF570" s="6" t="s">
        <v>49</v>
      </c>
      <c r="AG570" s="1" t="s">
        <v>61</v>
      </c>
      <c r="AH570" s="1" t="s">
        <v>253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 t="s">
        <v>49</v>
      </c>
      <c r="AS570" s="6">
        <v>8.0100000000000005E-2</v>
      </c>
      <c r="AT570" s="6" t="s">
        <v>49</v>
      </c>
      <c r="AU570" s="6" t="s">
        <v>49</v>
      </c>
      <c r="AV570" s="1" t="s">
        <v>49</v>
      </c>
      <c r="AW570" s="30" t="s">
        <v>49</v>
      </c>
    </row>
    <row r="571" spans="1:51">
      <c r="A571" s="1">
        <v>26</v>
      </c>
      <c r="B571" s="1" t="s">
        <v>38</v>
      </c>
      <c r="C571" s="1" t="s">
        <v>38</v>
      </c>
      <c r="D571" s="1" t="s">
        <v>245</v>
      </c>
      <c r="E571" s="1" t="s">
        <v>40</v>
      </c>
      <c r="F571" s="1">
        <v>1997</v>
      </c>
      <c r="G571" s="1" t="s">
        <v>246</v>
      </c>
      <c r="H571" s="3" t="s">
        <v>247</v>
      </c>
      <c r="I571" s="3" t="s">
        <v>248</v>
      </c>
      <c r="J571" s="1" t="s">
        <v>249</v>
      </c>
      <c r="K571" s="1" t="s">
        <v>45</v>
      </c>
      <c r="L571" s="3" t="s">
        <v>46</v>
      </c>
      <c r="M571" s="1" t="s">
        <v>12</v>
      </c>
      <c r="N571" s="1" t="s">
        <v>116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77</v>
      </c>
      <c r="T571" s="1" t="s">
        <v>250</v>
      </c>
      <c r="U571" s="1" t="s">
        <v>251</v>
      </c>
      <c r="V571" s="1" t="s">
        <v>259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255</v>
      </c>
      <c r="AE571" s="7" t="s">
        <v>82</v>
      </c>
      <c r="AF571" s="6" t="s">
        <v>49</v>
      </c>
      <c r="AG571" s="1" t="s">
        <v>61</v>
      </c>
      <c r="AH571" s="1" t="s">
        <v>253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 t="s">
        <v>49</v>
      </c>
      <c r="AS571" s="6">
        <v>2E-3</v>
      </c>
      <c r="AT571" s="6" t="s">
        <v>49</v>
      </c>
      <c r="AU571" s="6" t="s">
        <v>49</v>
      </c>
      <c r="AV571" s="1" t="s">
        <v>49</v>
      </c>
      <c r="AW571" s="30" t="s">
        <v>263</v>
      </c>
    </row>
    <row r="572" spans="1:51">
      <c r="A572" s="1">
        <v>26</v>
      </c>
      <c r="B572" s="1" t="s">
        <v>38</v>
      </c>
      <c r="C572" s="1" t="s">
        <v>38</v>
      </c>
      <c r="D572" s="1" t="s">
        <v>245</v>
      </c>
      <c r="E572" s="1" t="s">
        <v>40</v>
      </c>
      <c r="F572" s="1">
        <v>1997</v>
      </c>
      <c r="G572" s="1" t="s">
        <v>246</v>
      </c>
      <c r="H572" s="3" t="s">
        <v>247</v>
      </c>
      <c r="I572" s="3" t="s">
        <v>248</v>
      </c>
      <c r="J572" s="1" t="s">
        <v>249</v>
      </c>
      <c r="K572" s="1" t="s">
        <v>45</v>
      </c>
      <c r="L572" s="3" t="s">
        <v>46</v>
      </c>
      <c r="M572" s="1" t="s">
        <v>12</v>
      </c>
      <c r="N572" s="1" t="s">
        <v>116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77</v>
      </c>
      <c r="T572" s="1" t="s">
        <v>250</v>
      </c>
      <c r="U572" s="1" t="s">
        <v>251</v>
      </c>
      <c r="V572" s="1" t="s">
        <v>259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255</v>
      </c>
      <c r="AE572" s="7" t="s">
        <v>257</v>
      </c>
      <c r="AF572" s="6" t="s">
        <v>49</v>
      </c>
      <c r="AG572" s="1" t="s">
        <v>61</v>
      </c>
      <c r="AH572" s="1" t="s">
        <v>253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 t="s">
        <v>49</v>
      </c>
      <c r="AS572" s="6">
        <v>1E-4</v>
      </c>
      <c r="AT572" s="6" t="s">
        <v>49</v>
      </c>
      <c r="AU572" s="6" t="s">
        <v>49</v>
      </c>
      <c r="AV572" s="1" t="s">
        <v>49</v>
      </c>
      <c r="AW572" s="30" t="s">
        <v>263</v>
      </c>
    </row>
    <row r="573" spans="1:51">
      <c r="A573" s="1">
        <v>26</v>
      </c>
      <c r="B573" s="1" t="s">
        <v>38</v>
      </c>
      <c r="C573" s="1" t="s">
        <v>38</v>
      </c>
      <c r="D573" s="1" t="s">
        <v>245</v>
      </c>
      <c r="E573" s="1" t="s">
        <v>40</v>
      </c>
      <c r="F573" s="1">
        <v>1997</v>
      </c>
      <c r="G573" s="1" t="s">
        <v>246</v>
      </c>
      <c r="H573" s="3" t="s">
        <v>247</v>
      </c>
      <c r="I573" s="3" t="s">
        <v>248</v>
      </c>
      <c r="J573" s="1" t="s">
        <v>249</v>
      </c>
      <c r="K573" s="1" t="s">
        <v>45</v>
      </c>
      <c r="L573" s="3" t="s">
        <v>46</v>
      </c>
      <c r="M573" s="1" t="s">
        <v>12</v>
      </c>
      <c r="N573" s="1" t="s">
        <v>116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77</v>
      </c>
      <c r="T573" s="1" t="s">
        <v>250</v>
      </c>
      <c r="U573" s="1" t="s">
        <v>251</v>
      </c>
      <c r="V573" s="1" t="s">
        <v>259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82</v>
      </c>
      <c r="AE573" s="7" t="s">
        <v>257</v>
      </c>
      <c r="AF573" s="6" t="s">
        <v>49</v>
      </c>
      <c r="AG573" s="1" t="s">
        <v>61</v>
      </c>
      <c r="AH573" s="1" t="s">
        <v>253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 t="s">
        <v>49</v>
      </c>
      <c r="AS573" s="6">
        <v>0.18970000000000001</v>
      </c>
      <c r="AT573" s="6" t="s">
        <v>49</v>
      </c>
      <c r="AU573" s="6" t="s">
        <v>49</v>
      </c>
      <c r="AV573" s="1" t="s">
        <v>49</v>
      </c>
      <c r="AW573" s="30" t="s">
        <v>49</v>
      </c>
    </row>
    <row r="574" spans="1:51">
      <c r="A574" s="6" t="s">
        <v>274</v>
      </c>
      <c r="B574" s="6" t="s">
        <v>38</v>
      </c>
      <c r="C574" s="6" t="s">
        <v>49</v>
      </c>
      <c r="D574" s="6" t="s">
        <v>275</v>
      </c>
      <c r="E574" s="6" t="s">
        <v>295</v>
      </c>
      <c r="F574" s="6">
        <v>2018</v>
      </c>
      <c r="G574" s="6" t="s">
        <v>276</v>
      </c>
      <c r="H574" s="6" t="s">
        <v>277</v>
      </c>
      <c r="I574" s="6" t="s">
        <v>278</v>
      </c>
      <c r="J574" s="6" t="str">
        <f>H574&amp;"_"&amp;I574</f>
        <v>Senecio_pinnatifolius</v>
      </c>
      <c r="K574" s="6" t="s">
        <v>279</v>
      </c>
      <c r="L574" s="6" t="s">
        <v>46</v>
      </c>
      <c r="M574" s="6" t="s">
        <v>49</v>
      </c>
      <c r="N574" s="6" t="s">
        <v>116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294</v>
      </c>
      <c r="T574" s="6" t="s">
        <v>294</v>
      </c>
      <c r="U574" s="6" t="s">
        <v>251</v>
      </c>
      <c r="V574" s="6" t="s">
        <v>280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127</v>
      </c>
      <c r="AB574" s="6" t="s">
        <v>241</v>
      </c>
      <c r="AC574" s="6" t="s">
        <v>242</v>
      </c>
      <c r="AD574" s="6" t="s">
        <v>242</v>
      </c>
      <c r="AE574" s="6" t="s">
        <v>242</v>
      </c>
      <c r="AF574" s="6" t="s">
        <v>60</v>
      </c>
      <c r="AG574" s="6" t="s">
        <v>61</v>
      </c>
      <c r="AH574" s="1" t="s">
        <v>183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 t="s">
        <v>49</v>
      </c>
      <c r="AS574" s="6">
        <f>AN574*AL574</f>
        <v>1456.729722</v>
      </c>
      <c r="AT574" s="6">
        <f>AS574/(AM574^2)*100</f>
        <v>0.86379773432878793</v>
      </c>
      <c r="AU574" s="6" t="s">
        <v>49</v>
      </c>
      <c r="AV574" s="4">
        <f>AT574*(1-AL574)/AL574</f>
        <v>2.0742897974017831</v>
      </c>
      <c r="AW574" s="30" t="s">
        <v>49</v>
      </c>
      <c r="AY574" s="14"/>
    </row>
    <row r="575" spans="1:51">
      <c r="A575" s="6" t="s">
        <v>274</v>
      </c>
      <c r="B575" s="6" t="s">
        <v>38</v>
      </c>
      <c r="C575" s="6" t="s">
        <v>49</v>
      </c>
      <c r="D575" s="6" t="s">
        <v>275</v>
      </c>
      <c r="E575" s="6" t="s">
        <v>295</v>
      </c>
      <c r="F575" s="6">
        <v>2018</v>
      </c>
      <c r="G575" s="6" t="s">
        <v>276</v>
      </c>
      <c r="H575" s="6" t="s">
        <v>277</v>
      </c>
      <c r="I575" s="6" t="s">
        <v>278</v>
      </c>
      <c r="J575" s="6" t="str">
        <f>H575&amp;"_"&amp;I575</f>
        <v>Senecio_pinnatifolius</v>
      </c>
      <c r="K575" s="6" t="s">
        <v>279</v>
      </c>
      <c r="L575" s="6" t="s">
        <v>46</v>
      </c>
      <c r="M575" s="6" t="s">
        <v>49</v>
      </c>
      <c r="N575" s="6" t="s">
        <v>116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294</v>
      </c>
      <c r="T575" s="6" t="s">
        <v>294</v>
      </c>
      <c r="U575" s="6" t="s">
        <v>251</v>
      </c>
      <c r="V575" s="6" t="s">
        <v>280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127</v>
      </c>
      <c r="AB575" s="6" t="s">
        <v>292</v>
      </c>
      <c r="AC575" s="6" t="s">
        <v>292</v>
      </c>
      <c r="AD575" s="6" t="s">
        <v>281</v>
      </c>
      <c r="AE575" s="6" t="s">
        <v>281</v>
      </c>
      <c r="AF575" s="6" t="s">
        <v>60</v>
      </c>
      <c r="AG575" s="6" t="s">
        <v>60</v>
      </c>
      <c r="AH575" s="1" t="s">
        <v>183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 t="s">
        <v>49</v>
      </c>
      <c r="AS575" s="6">
        <f t="shared" ref="AS575:AS583" si="49">AN575*AL575</f>
        <v>3.3320000000000003E-3</v>
      </c>
      <c r="AT575" s="6">
        <f t="shared" ref="AT575:AT583" si="50">AS575/(AM575^2)*100</f>
        <v>1.6024161280393967</v>
      </c>
      <c r="AU575" s="6" t="s">
        <v>49</v>
      </c>
      <c r="AV575" s="4">
        <f t="shared" ref="AV575:AV583" si="51">AT575*(1-AL575)/AL575</f>
        <v>6.5731763619575254</v>
      </c>
      <c r="AW575" s="30" t="s">
        <v>49</v>
      </c>
      <c r="AY575" s="15"/>
    </row>
    <row r="576" spans="1:51">
      <c r="A576" s="6" t="s">
        <v>274</v>
      </c>
      <c r="B576" s="6" t="s">
        <v>38</v>
      </c>
      <c r="C576" s="6" t="s">
        <v>49</v>
      </c>
      <c r="D576" s="6" t="s">
        <v>275</v>
      </c>
      <c r="E576" s="6" t="s">
        <v>295</v>
      </c>
      <c r="F576" s="6">
        <v>2018</v>
      </c>
      <c r="G576" s="6" t="s">
        <v>276</v>
      </c>
      <c r="H576" s="6" t="s">
        <v>277</v>
      </c>
      <c r="I576" s="6" t="s">
        <v>278</v>
      </c>
      <c r="J576" s="6" t="str">
        <f t="shared" ref="J576:J628" si="52">H576&amp;"_"&amp;I576</f>
        <v>Senecio_pinnatifolius</v>
      </c>
      <c r="K576" s="6" t="s">
        <v>279</v>
      </c>
      <c r="L576" s="6" t="s">
        <v>46</v>
      </c>
      <c r="M576" s="6" t="s">
        <v>49</v>
      </c>
      <c r="N576" s="6" t="s">
        <v>116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294</v>
      </c>
      <c r="T576" s="6" t="s">
        <v>294</v>
      </c>
      <c r="U576" s="6" t="s">
        <v>251</v>
      </c>
      <c r="V576" s="6" t="s">
        <v>280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127</v>
      </c>
      <c r="AB576" s="6" t="s">
        <v>241</v>
      </c>
      <c r="AC576" s="6" t="s">
        <v>291</v>
      </c>
      <c r="AD576" s="6" t="s">
        <v>282</v>
      </c>
      <c r="AE576" s="6" t="s">
        <v>282</v>
      </c>
      <c r="AF576" s="6" t="s">
        <v>60</v>
      </c>
      <c r="AG576" s="6" t="s">
        <v>53</v>
      </c>
      <c r="AH576" s="1" t="s">
        <v>183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 t="s">
        <v>49</v>
      </c>
      <c r="AS576" s="6">
        <f t="shared" si="49"/>
        <v>0.90035999999999994</v>
      </c>
      <c r="AT576" s="6">
        <f t="shared" si="50"/>
        <v>0.36949654884576449</v>
      </c>
      <c r="AU576" s="6" t="s">
        <v>49</v>
      </c>
      <c r="AV576" s="4">
        <f t="shared" si="51"/>
        <v>0.64005686330113309</v>
      </c>
      <c r="AW576" s="30" t="s">
        <v>49</v>
      </c>
      <c r="AY576" s="15"/>
    </row>
    <row r="577" spans="1:51">
      <c r="A577" s="6" t="s">
        <v>274</v>
      </c>
      <c r="B577" s="6" t="s">
        <v>38</v>
      </c>
      <c r="C577" s="6" t="s">
        <v>49</v>
      </c>
      <c r="D577" s="6" t="s">
        <v>275</v>
      </c>
      <c r="E577" s="6" t="s">
        <v>295</v>
      </c>
      <c r="F577" s="6">
        <v>2018</v>
      </c>
      <c r="G577" s="6" t="s">
        <v>276</v>
      </c>
      <c r="H577" s="6" t="s">
        <v>277</v>
      </c>
      <c r="I577" s="6" t="s">
        <v>278</v>
      </c>
      <c r="J577" s="6" t="str">
        <f t="shared" si="52"/>
        <v>Senecio_pinnatifolius</v>
      </c>
      <c r="K577" s="6" t="s">
        <v>279</v>
      </c>
      <c r="L577" s="6" t="s">
        <v>46</v>
      </c>
      <c r="M577" s="6" t="s">
        <v>49</v>
      </c>
      <c r="N577" s="6" t="s">
        <v>116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294</v>
      </c>
      <c r="T577" s="6" t="s">
        <v>294</v>
      </c>
      <c r="U577" s="6" t="s">
        <v>251</v>
      </c>
      <c r="V577" s="6" t="s">
        <v>280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127</v>
      </c>
      <c r="AB577" s="6" t="s">
        <v>241</v>
      </c>
      <c r="AC577" s="6" t="s">
        <v>290</v>
      </c>
      <c r="AD577" s="6" t="s">
        <v>283</v>
      </c>
      <c r="AE577" s="6" t="s">
        <v>283</v>
      </c>
      <c r="AF577" s="6" t="s">
        <v>60</v>
      </c>
      <c r="AG577" s="6" t="s">
        <v>61</v>
      </c>
      <c r="AH577" s="1" t="s">
        <v>183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 t="s">
        <v>49</v>
      </c>
      <c r="AS577" s="6">
        <f t="shared" si="49"/>
        <v>0.11132100000000002</v>
      </c>
      <c r="AT577" s="6">
        <f t="shared" si="50"/>
        <v>0.4876237029597601</v>
      </c>
      <c r="AU577" s="6" t="s">
        <v>49</v>
      </c>
      <c r="AV577" s="4">
        <f t="shared" si="51"/>
        <v>0.73449084079903704</v>
      </c>
      <c r="AW577" s="30" t="s">
        <v>49</v>
      </c>
      <c r="AY577" s="15"/>
    </row>
    <row r="578" spans="1:51">
      <c r="A578" s="6" t="s">
        <v>274</v>
      </c>
      <c r="B578" s="6" t="s">
        <v>38</v>
      </c>
      <c r="C578" s="6" t="s">
        <v>49</v>
      </c>
      <c r="D578" s="6" t="s">
        <v>275</v>
      </c>
      <c r="E578" s="6" t="s">
        <v>295</v>
      </c>
      <c r="F578" s="6">
        <v>2018</v>
      </c>
      <c r="G578" s="6" t="s">
        <v>276</v>
      </c>
      <c r="H578" s="6" t="s">
        <v>277</v>
      </c>
      <c r="I578" s="6" t="s">
        <v>278</v>
      </c>
      <c r="J578" s="6" t="str">
        <f t="shared" si="52"/>
        <v>Senecio_pinnatifolius</v>
      </c>
      <c r="K578" s="6" t="s">
        <v>279</v>
      </c>
      <c r="L578" s="6" t="s">
        <v>46</v>
      </c>
      <c r="M578" s="6" t="s">
        <v>49</v>
      </c>
      <c r="N578" s="6" t="s">
        <v>116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294</v>
      </c>
      <c r="T578" s="6" t="s">
        <v>294</v>
      </c>
      <c r="U578" s="6" t="s">
        <v>251</v>
      </c>
      <c r="V578" s="6" t="s">
        <v>280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127</v>
      </c>
      <c r="AB578" s="6" t="s">
        <v>239</v>
      </c>
      <c r="AC578" s="6" t="s">
        <v>284</v>
      </c>
      <c r="AD578" s="6" t="s">
        <v>284</v>
      </c>
      <c r="AE578" s="6" t="s">
        <v>284</v>
      </c>
      <c r="AF578" s="6" t="s">
        <v>60</v>
      </c>
      <c r="AG578" s="6" t="s">
        <v>129</v>
      </c>
      <c r="AH578" s="1" t="s">
        <v>183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 t="s">
        <v>49</v>
      </c>
      <c r="AS578" s="6">
        <f t="shared" si="49"/>
        <v>5200.2109220000002</v>
      </c>
      <c r="AT578" s="6">
        <f t="shared" si="50"/>
        <v>0.65687837649620284</v>
      </c>
      <c r="AU578" s="6" t="s">
        <v>49</v>
      </c>
      <c r="AV578" s="4">
        <f t="shared" si="51"/>
        <v>10.668610873438329</v>
      </c>
      <c r="AW578" s="30" t="s">
        <v>49</v>
      </c>
      <c r="AY578" s="15"/>
    </row>
    <row r="579" spans="1:51">
      <c r="A579" s="6" t="s">
        <v>274</v>
      </c>
      <c r="B579" s="6" t="s">
        <v>38</v>
      </c>
      <c r="C579" s="6" t="s">
        <v>49</v>
      </c>
      <c r="D579" s="6" t="s">
        <v>275</v>
      </c>
      <c r="E579" s="6" t="s">
        <v>295</v>
      </c>
      <c r="F579" s="6">
        <v>2018</v>
      </c>
      <c r="G579" s="6" t="s">
        <v>276</v>
      </c>
      <c r="H579" s="6" t="s">
        <v>277</v>
      </c>
      <c r="I579" s="6" t="s">
        <v>278</v>
      </c>
      <c r="J579" s="6" t="str">
        <f t="shared" si="52"/>
        <v>Senecio_pinnatifolius</v>
      </c>
      <c r="K579" s="6" t="s">
        <v>279</v>
      </c>
      <c r="L579" s="6" t="s">
        <v>46</v>
      </c>
      <c r="M579" s="6" t="s">
        <v>49</v>
      </c>
      <c r="N579" s="6" t="s">
        <v>116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294</v>
      </c>
      <c r="T579" s="6" t="s">
        <v>294</v>
      </c>
      <c r="U579" s="6" t="s">
        <v>251</v>
      </c>
      <c r="V579" s="6" t="s">
        <v>280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127</v>
      </c>
      <c r="AB579" s="6" t="s">
        <v>292</v>
      </c>
      <c r="AC579" s="6" t="s">
        <v>292</v>
      </c>
      <c r="AD579" s="6" t="s">
        <v>285</v>
      </c>
      <c r="AE579" s="6" t="s">
        <v>285</v>
      </c>
      <c r="AF579" s="6" t="s">
        <v>60</v>
      </c>
      <c r="AG579" s="6" t="s">
        <v>60</v>
      </c>
      <c r="AH579" s="1" t="s">
        <v>183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 t="s">
        <v>49</v>
      </c>
      <c r="AS579" s="6">
        <f t="shared" si="49"/>
        <v>3.7800000000000003E-4</v>
      </c>
      <c r="AT579" s="6">
        <f t="shared" si="50"/>
        <v>7.0932632764120855</v>
      </c>
      <c r="AU579" s="6" t="s">
        <v>49</v>
      </c>
      <c r="AV579" s="4">
        <f t="shared" si="51"/>
        <v>49.202477012572722</v>
      </c>
      <c r="AW579" s="30" t="s">
        <v>49</v>
      </c>
      <c r="AY579" s="15"/>
    </row>
    <row r="580" spans="1:51">
      <c r="A580" s="6" t="s">
        <v>274</v>
      </c>
      <c r="B580" s="6" t="s">
        <v>38</v>
      </c>
      <c r="C580" s="6" t="s">
        <v>49</v>
      </c>
      <c r="D580" s="6" t="s">
        <v>275</v>
      </c>
      <c r="E580" s="6" t="s">
        <v>295</v>
      </c>
      <c r="F580" s="6">
        <v>2018</v>
      </c>
      <c r="G580" s="6" t="s">
        <v>276</v>
      </c>
      <c r="H580" s="6" t="s">
        <v>277</v>
      </c>
      <c r="I580" s="6" t="s">
        <v>278</v>
      </c>
      <c r="J580" s="6" t="str">
        <f t="shared" si="52"/>
        <v>Senecio_pinnatifolius</v>
      </c>
      <c r="K580" s="6" t="s">
        <v>279</v>
      </c>
      <c r="L580" s="6" t="s">
        <v>46</v>
      </c>
      <c r="M580" s="6" t="s">
        <v>49</v>
      </c>
      <c r="N580" s="6" t="s">
        <v>116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294</v>
      </c>
      <c r="T580" s="6" t="s">
        <v>294</v>
      </c>
      <c r="U580" s="6" t="s">
        <v>251</v>
      </c>
      <c r="V580" s="6" t="s">
        <v>280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127</v>
      </c>
      <c r="AB580" s="6" t="s">
        <v>292</v>
      </c>
      <c r="AC580" s="6" t="s">
        <v>292</v>
      </c>
      <c r="AD580" s="6" t="s">
        <v>286</v>
      </c>
      <c r="AE580" s="6" t="s">
        <v>286</v>
      </c>
      <c r="AF580" s="6" t="s">
        <v>49</v>
      </c>
      <c r="AG580" s="6" t="s">
        <v>49</v>
      </c>
      <c r="AH580" s="1" t="s">
        <v>183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 t="s">
        <v>49</v>
      </c>
      <c r="AS580" s="6">
        <f t="shared" si="49"/>
        <v>5.5198200000000002</v>
      </c>
      <c r="AT580" s="6">
        <f t="shared" si="50"/>
        <v>0.24117062997449407</v>
      </c>
      <c r="AU580" s="6" t="s">
        <v>49</v>
      </c>
      <c r="AV580" s="4">
        <f t="shared" si="51"/>
        <v>3.7783398696004071</v>
      </c>
      <c r="AW580" s="30" t="s">
        <v>49</v>
      </c>
      <c r="AY580" s="15"/>
    </row>
    <row r="581" spans="1:51">
      <c r="A581" s="6" t="s">
        <v>274</v>
      </c>
      <c r="B581" s="6" t="s">
        <v>38</v>
      </c>
      <c r="C581" s="6" t="s">
        <v>49</v>
      </c>
      <c r="D581" s="6" t="s">
        <v>275</v>
      </c>
      <c r="E581" s="6" t="s">
        <v>295</v>
      </c>
      <c r="F581" s="6">
        <v>2018</v>
      </c>
      <c r="G581" s="6" t="s">
        <v>276</v>
      </c>
      <c r="H581" s="6" t="s">
        <v>277</v>
      </c>
      <c r="I581" s="6" t="s">
        <v>278</v>
      </c>
      <c r="J581" s="6" t="str">
        <f t="shared" si="52"/>
        <v>Senecio_pinnatifolius</v>
      </c>
      <c r="K581" s="6" t="s">
        <v>279</v>
      </c>
      <c r="L581" s="6" t="s">
        <v>46</v>
      </c>
      <c r="M581" s="6" t="s">
        <v>49</v>
      </c>
      <c r="N581" s="6" t="s">
        <v>116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294</v>
      </c>
      <c r="T581" s="6" t="s">
        <v>294</v>
      </c>
      <c r="U581" s="6" t="s">
        <v>251</v>
      </c>
      <c r="V581" s="6" t="s">
        <v>280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127</v>
      </c>
      <c r="AB581" s="6" t="s">
        <v>292</v>
      </c>
      <c r="AC581" s="6" t="s">
        <v>292</v>
      </c>
      <c r="AD581" s="6" t="s">
        <v>287</v>
      </c>
      <c r="AE581" s="6" t="s">
        <v>287</v>
      </c>
      <c r="AF581" s="6" t="s">
        <v>60</v>
      </c>
      <c r="AG581" s="6" t="s">
        <v>53</v>
      </c>
      <c r="AH581" s="1" t="s">
        <v>183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 t="s">
        <v>49</v>
      </c>
      <c r="AS581" s="6">
        <f t="shared" si="49"/>
        <v>1.0150000000000001E-3</v>
      </c>
      <c r="AT581" s="6">
        <f t="shared" si="50"/>
        <v>6.2930125860251724</v>
      </c>
      <c r="AU581" s="6" t="s">
        <v>49</v>
      </c>
      <c r="AV581" s="4">
        <f t="shared" si="51"/>
        <v>24.707049414098829</v>
      </c>
      <c r="AW581" s="30" t="s">
        <v>49</v>
      </c>
      <c r="AY581" s="15"/>
    </row>
    <row r="582" spans="1:51">
      <c r="A582" s="6" t="s">
        <v>274</v>
      </c>
      <c r="B582" s="6" t="s">
        <v>38</v>
      </c>
      <c r="C582" s="6" t="s">
        <v>49</v>
      </c>
      <c r="D582" s="6" t="s">
        <v>275</v>
      </c>
      <c r="E582" s="6" t="s">
        <v>295</v>
      </c>
      <c r="F582" s="6">
        <v>2018</v>
      </c>
      <c r="G582" s="6" t="s">
        <v>276</v>
      </c>
      <c r="H582" s="6" t="s">
        <v>277</v>
      </c>
      <c r="I582" s="6" t="s">
        <v>278</v>
      </c>
      <c r="J582" s="6" t="str">
        <f t="shared" si="52"/>
        <v>Senecio_pinnatifolius</v>
      </c>
      <c r="K582" s="6" t="s">
        <v>279</v>
      </c>
      <c r="L582" s="6" t="s">
        <v>46</v>
      </c>
      <c r="M582" s="6" t="s">
        <v>49</v>
      </c>
      <c r="N582" s="6" t="s">
        <v>116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294</v>
      </c>
      <c r="T582" s="6" t="s">
        <v>294</v>
      </c>
      <c r="U582" s="6" t="s">
        <v>251</v>
      </c>
      <c r="V582" s="6" t="s">
        <v>280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127</v>
      </c>
      <c r="AB582" s="6" t="s">
        <v>239</v>
      </c>
      <c r="AC582" s="6" t="s">
        <v>293</v>
      </c>
      <c r="AD582" s="6" t="s">
        <v>288</v>
      </c>
      <c r="AE582" s="6" t="s">
        <v>288</v>
      </c>
      <c r="AF582" s="6" t="s">
        <v>60</v>
      </c>
      <c r="AG582" s="6" t="s">
        <v>61</v>
      </c>
      <c r="AH582" s="1" t="s">
        <v>183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 t="s">
        <v>49</v>
      </c>
      <c r="AS582" s="6">
        <f t="shared" si="49"/>
        <v>0.36299220000000004</v>
      </c>
      <c r="AT582" s="6">
        <f t="shared" si="50"/>
        <v>0.98389265354123878</v>
      </c>
      <c r="AU582" s="6" t="s">
        <v>49</v>
      </c>
      <c r="AV582" s="4">
        <f t="shared" si="51"/>
        <v>4.0104862984447447</v>
      </c>
      <c r="AW582" s="30" t="s">
        <v>49</v>
      </c>
      <c r="AY582" s="15"/>
    </row>
    <row r="583" spans="1:51">
      <c r="A583" s="6" t="s">
        <v>274</v>
      </c>
      <c r="B583" s="6" t="s">
        <v>38</v>
      </c>
      <c r="C583" s="6" t="s">
        <v>49</v>
      </c>
      <c r="D583" s="6" t="s">
        <v>275</v>
      </c>
      <c r="E583" s="6" t="s">
        <v>295</v>
      </c>
      <c r="F583" s="6">
        <v>2018</v>
      </c>
      <c r="G583" s="6" t="s">
        <v>276</v>
      </c>
      <c r="H583" s="6" t="s">
        <v>277</v>
      </c>
      <c r="I583" s="6" t="s">
        <v>278</v>
      </c>
      <c r="J583" s="6" t="str">
        <f t="shared" si="52"/>
        <v>Senecio_pinnatifolius</v>
      </c>
      <c r="K583" s="6" t="s">
        <v>279</v>
      </c>
      <c r="L583" s="6" t="s">
        <v>46</v>
      </c>
      <c r="M583" s="6" t="s">
        <v>49</v>
      </c>
      <c r="N583" s="6" t="s">
        <v>116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294</v>
      </c>
      <c r="T583" s="6" t="s">
        <v>294</v>
      </c>
      <c r="U583" s="6" t="s">
        <v>251</v>
      </c>
      <c r="V583" s="6" t="s">
        <v>280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127</v>
      </c>
      <c r="AB583" s="6" t="s">
        <v>239</v>
      </c>
      <c r="AC583" s="6" t="s">
        <v>293</v>
      </c>
      <c r="AD583" s="6" t="s">
        <v>289</v>
      </c>
      <c r="AE583" s="6" t="s">
        <v>289</v>
      </c>
      <c r="AF583" s="6" t="s">
        <v>60</v>
      </c>
      <c r="AG583" s="6" t="s">
        <v>61</v>
      </c>
      <c r="AH583" s="1" t="s">
        <v>183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 t="s">
        <v>49</v>
      </c>
      <c r="AS583" s="6">
        <f t="shared" si="49"/>
        <v>2.0855999999999996E-2</v>
      </c>
      <c r="AT583" s="6">
        <f t="shared" si="50"/>
        <v>1.6596625448318174</v>
      </c>
      <c r="AU583" s="6" t="s">
        <v>49</v>
      </c>
      <c r="AV583" s="4">
        <f t="shared" si="51"/>
        <v>17.200139100984291</v>
      </c>
      <c r="AW583" s="30" t="s">
        <v>49</v>
      </c>
      <c r="AY583" s="15"/>
    </row>
    <row r="584" spans="1:51">
      <c r="A584" s="6" t="s">
        <v>274</v>
      </c>
      <c r="B584" s="6" t="s">
        <v>38</v>
      </c>
      <c r="C584" s="6" t="s">
        <v>49</v>
      </c>
      <c r="D584" s="6" t="s">
        <v>275</v>
      </c>
      <c r="E584" s="6" t="s">
        <v>295</v>
      </c>
      <c r="F584" s="6">
        <v>2018</v>
      </c>
      <c r="G584" s="6" t="s">
        <v>276</v>
      </c>
      <c r="H584" s="6" t="s">
        <v>277</v>
      </c>
      <c r="I584" s="6" t="s">
        <v>278</v>
      </c>
      <c r="J584" s="6" t="str">
        <f t="shared" si="52"/>
        <v>Senecio_pinnatifolius</v>
      </c>
      <c r="K584" s="6" t="s">
        <v>279</v>
      </c>
      <c r="L584" s="6" t="s">
        <v>46</v>
      </c>
      <c r="M584" s="6" t="s">
        <v>49</v>
      </c>
      <c r="N584" s="6" t="s">
        <v>116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294</v>
      </c>
      <c r="T584" s="6" t="s">
        <v>294</v>
      </c>
      <c r="U584" s="6" t="s">
        <v>251</v>
      </c>
      <c r="V584" s="6" t="s">
        <v>280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242</v>
      </c>
      <c r="AE584" s="6" t="s">
        <v>281</v>
      </c>
      <c r="AF584" s="6" t="s">
        <v>49</v>
      </c>
      <c r="AG584" s="6" t="s">
        <v>49</v>
      </c>
      <c r="AH584" s="1" t="s">
        <v>183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6" t="s">
        <v>49</v>
      </c>
      <c r="AW584" s="30" t="s">
        <v>49</v>
      </c>
    </row>
    <row r="585" spans="1:51">
      <c r="A585" s="6" t="s">
        <v>274</v>
      </c>
      <c r="B585" s="6" t="s">
        <v>38</v>
      </c>
      <c r="C585" s="6" t="s">
        <v>49</v>
      </c>
      <c r="D585" s="6" t="s">
        <v>275</v>
      </c>
      <c r="E585" s="6" t="s">
        <v>295</v>
      </c>
      <c r="F585" s="6">
        <v>2018</v>
      </c>
      <c r="G585" s="6" t="s">
        <v>276</v>
      </c>
      <c r="H585" s="6" t="s">
        <v>277</v>
      </c>
      <c r="I585" s="6" t="s">
        <v>278</v>
      </c>
      <c r="J585" s="6" t="str">
        <f t="shared" si="52"/>
        <v>Senecio_pinnatifolius</v>
      </c>
      <c r="K585" s="6" t="s">
        <v>279</v>
      </c>
      <c r="L585" s="6" t="s">
        <v>46</v>
      </c>
      <c r="M585" s="6" t="s">
        <v>49</v>
      </c>
      <c r="N585" s="6" t="s">
        <v>116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294</v>
      </c>
      <c r="T585" s="6" t="s">
        <v>294</v>
      </c>
      <c r="U585" s="6" t="s">
        <v>251</v>
      </c>
      <c r="V585" s="6" t="s">
        <v>280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242</v>
      </c>
      <c r="AE585" s="6" t="s">
        <v>282</v>
      </c>
      <c r="AF585" s="6" t="s">
        <v>49</v>
      </c>
      <c r="AG585" s="6" t="s">
        <v>49</v>
      </c>
      <c r="AH585" s="1" t="s">
        <v>183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6" t="s">
        <v>49</v>
      </c>
      <c r="AW585" s="30" t="s">
        <v>49</v>
      </c>
    </row>
    <row r="586" spans="1:51">
      <c r="A586" s="6" t="s">
        <v>274</v>
      </c>
      <c r="B586" s="6" t="s">
        <v>38</v>
      </c>
      <c r="C586" s="6" t="s">
        <v>49</v>
      </c>
      <c r="D586" s="6" t="s">
        <v>275</v>
      </c>
      <c r="E586" s="6" t="s">
        <v>295</v>
      </c>
      <c r="F586" s="6">
        <v>2018</v>
      </c>
      <c r="G586" s="6" t="s">
        <v>276</v>
      </c>
      <c r="H586" s="6" t="s">
        <v>277</v>
      </c>
      <c r="I586" s="6" t="s">
        <v>278</v>
      </c>
      <c r="J586" s="6" t="str">
        <f t="shared" si="52"/>
        <v>Senecio_pinnatifolius</v>
      </c>
      <c r="K586" s="6" t="s">
        <v>279</v>
      </c>
      <c r="L586" s="6" t="s">
        <v>46</v>
      </c>
      <c r="M586" s="6" t="s">
        <v>49</v>
      </c>
      <c r="N586" s="6" t="s">
        <v>116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294</v>
      </c>
      <c r="T586" s="6" t="s">
        <v>294</v>
      </c>
      <c r="U586" s="6" t="s">
        <v>251</v>
      </c>
      <c r="V586" s="6" t="s">
        <v>280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242</v>
      </c>
      <c r="AE586" s="6" t="s">
        <v>283</v>
      </c>
      <c r="AF586" s="6" t="s">
        <v>49</v>
      </c>
      <c r="AG586" s="6" t="s">
        <v>49</v>
      </c>
      <c r="AH586" s="1" t="s">
        <v>183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6" t="s">
        <v>49</v>
      </c>
      <c r="AW586" s="30" t="s">
        <v>49</v>
      </c>
    </row>
    <row r="587" spans="1:51">
      <c r="A587" s="6" t="s">
        <v>274</v>
      </c>
      <c r="B587" s="6" t="s">
        <v>38</v>
      </c>
      <c r="C587" s="6" t="s">
        <v>49</v>
      </c>
      <c r="D587" s="6" t="s">
        <v>275</v>
      </c>
      <c r="E587" s="6" t="s">
        <v>295</v>
      </c>
      <c r="F587" s="6">
        <v>2018</v>
      </c>
      <c r="G587" s="6" t="s">
        <v>276</v>
      </c>
      <c r="H587" s="6" t="s">
        <v>277</v>
      </c>
      <c r="I587" s="6" t="s">
        <v>278</v>
      </c>
      <c r="J587" s="6" t="str">
        <f t="shared" si="52"/>
        <v>Senecio_pinnatifolius</v>
      </c>
      <c r="K587" s="6" t="s">
        <v>279</v>
      </c>
      <c r="L587" s="6" t="s">
        <v>46</v>
      </c>
      <c r="M587" s="6" t="s">
        <v>49</v>
      </c>
      <c r="N587" s="6" t="s">
        <v>116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294</v>
      </c>
      <c r="T587" s="6" t="s">
        <v>294</v>
      </c>
      <c r="U587" s="6" t="s">
        <v>251</v>
      </c>
      <c r="V587" s="6" t="s">
        <v>280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242</v>
      </c>
      <c r="AE587" s="6" t="s">
        <v>284</v>
      </c>
      <c r="AF587" s="6" t="s">
        <v>49</v>
      </c>
      <c r="AG587" s="6" t="s">
        <v>49</v>
      </c>
      <c r="AH587" s="1" t="s">
        <v>183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6" t="s">
        <v>49</v>
      </c>
      <c r="AW587" s="30" t="s">
        <v>49</v>
      </c>
    </row>
    <row r="588" spans="1:51">
      <c r="A588" s="6" t="s">
        <v>274</v>
      </c>
      <c r="B588" s="6" t="s">
        <v>38</v>
      </c>
      <c r="C588" s="6" t="s">
        <v>49</v>
      </c>
      <c r="D588" s="6" t="s">
        <v>275</v>
      </c>
      <c r="E588" s="6" t="s">
        <v>295</v>
      </c>
      <c r="F588" s="6">
        <v>2018</v>
      </c>
      <c r="G588" s="6" t="s">
        <v>276</v>
      </c>
      <c r="H588" s="6" t="s">
        <v>277</v>
      </c>
      <c r="I588" s="6" t="s">
        <v>278</v>
      </c>
      <c r="J588" s="6" t="str">
        <f t="shared" si="52"/>
        <v>Senecio_pinnatifolius</v>
      </c>
      <c r="K588" s="6" t="s">
        <v>279</v>
      </c>
      <c r="L588" s="6" t="s">
        <v>46</v>
      </c>
      <c r="M588" s="6" t="s">
        <v>49</v>
      </c>
      <c r="N588" s="6" t="s">
        <v>116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294</v>
      </c>
      <c r="T588" s="6" t="s">
        <v>294</v>
      </c>
      <c r="U588" s="6" t="s">
        <v>251</v>
      </c>
      <c r="V588" s="6" t="s">
        <v>280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242</v>
      </c>
      <c r="AE588" s="6" t="s">
        <v>285</v>
      </c>
      <c r="AF588" s="6" t="s">
        <v>49</v>
      </c>
      <c r="AG588" s="6" t="s">
        <v>49</v>
      </c>
      <c r="AH588" s="1" t="s">
        <v>183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6" t="s">
        <v>49</v>
      </c>
      <c r="AW588" s="30" t="s">
        <v>49</v>
      </c>
    </row>
    <row r="589" spans="1:51">
      <c r="A589" s="6" t="s">
        <v>274</v>
      </c>
      <c r="B589" s="6" t="s">
        <v>38</v>
      </c>
      <c r="C589" s="6" t="s">
        <v>49</v>
      </c>
      <c r="D589" s="6" t="s">
        <v>275</v>
      </c>
      <c r="E589" s="6" t="s">
        <v>295</v>
      </c>
      <c r="F589" s="6">
        <v>2018</v>
      </c>
      <c r="G589" s="6" t="s">
        <v>276</v>
      </c>
      <c r="H589" s="6" t="s">
        <v>277</v>
      </c>
      <c r="I589" s="6" t="s">
        <v>278</v>
      </c>
      <c r="J589" s="6" t="str">
        <f t="shared" si="52"/>
        <v>Senecio_pinnatifolius</v>
      </c>
      <c r="K589" s="6" t="s">
        <v>279</v>
      </c>
      <c r="L589" s="6" t="s">
        <v>46</v>
      </c>
      <c r="M589" s="6" t="s">
        <v>49</v>
      </c>
      <c r="N589" s="6" t="s">
        <v>116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294</v>
      </c>
      <c r="T589" s="6" t="s">
        <v>294</v>
      </c>
      <c r="U589" s="6" t="s">
        <v>251</v>
      </c>
      <c r="V589" s="6" t="s">
        <v>280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242</v>
      </c>
      <c r="AE589" s="6" t="s">
        <v>286</v>
      </c>
      <c r="AF589" s="6" t="s">
        <v>49</v>
      </c>
      <c r="AG589" s="6" t="s">
        <v>49</v>
      </c>
      <c r="AH589" s="1" t="s">
        <v>183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6" t="s">
        <v>49</v>
      </c>
      <c r="AW589" s="30" t="s">
        <v>49</v>
      </c>
    </row>
    <row r="590" spans="1:51">
      <c r="A590" s="6" t="s">
        <v>274</v>
      </c>
      <c r="B590" s="6" t="s">
        <v>38</v>
      </c>
      <c r="C590" s="6" t="s">
        <v>49</v>
      </c>
      <c r="D590" s="6" t="s">
        <v>275</v>
      </c>
      <c r="E590" s="6" t="s">
        <v>295</v>
      </c>
      <c r="F590" s="6">
        <v>2018</v>
      </c>
      <c r="G590" s="6" t="s">
        <v>276</v>
      </c>
      <c r="H590" s="6" t="s">
        <v>277</v>
      </c>
      <c r="I590" s="6" t="s">
        <v>278</v>
      </c>
      <c r="J590" s="6" t="str">
        <f t="shared" si="52"/>
        <v>Senecio_pinnatifolius</v>
      </c>
      <c r="K590" s="6" t="s">
        <v>279</v>
      </c>
      <c r="L590" s="6" t="s">
        <v>46</v>
      </c>
      <c r="M590" s="6" t="s">
        <v>49</v>
      </c>
      <c r="N590" s="6" t="s">
        <v>116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294</v>
      </c>
      <c r="T590" s="6" t="s">
        <v>294</v>
      </c>
      <c r="U590" s="6" t="s">
        <v>251</v>
      </c>
      <c r="V590" s="6" t="s">
        <v>280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242</v>
      </c>
      <c r="AE590" s="6" t="s">
        <v>287</v>
      </c>
      <c r="AF590" s="6" t="s">
        <v>49</v>
      </c>
      <c r="AG590" s="6" t="s">
        <v>49</v>
      </c>
      <c r="AH590" s="1" t="s">
        <v>183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6" t="s">
        <v>49</v>
      </c>
      <c r="AW590" s="30" t="s">
        <v>49</v>
      </c>
    </row>
    <row r="591" spans="1:51">
      <c r="A591" s="6" t="s">
        <v>274</v>
      </c>
      <c r="B591" s="6" t="s">
        <v>38</v>
      </c>
      <c r="C591" s="6" t="s">
        <v>49</v>
      </c>
      <c r="D591" s="6" t="s">
        <v>275</v>
      </c>
      <c r="E591" s="6" t="s">
        <v>295</v>
      </c>
      <c r="F591" s="6">
        <v>2018</v>
      </c>
      <c r="G591" s="6" t="s">
        <v>276</v>
      </c>
      <c r="H591" s="6" t="s">
        <v>277</v>
      </c>
      <c r="I591" s="6" t="s">
        <v>278</v>
      </c>
      <c r="J591" s="6" t="str">
        <f t="shared" si="52"/>
        <v>Senecio_pinnatifolius</v>
      </c>
      <c r="K591" s="6" t="s">
        <v>279</v>
      </c>
      <c r="L591" s="6" t="s">
        <v>46</v>
      </c>
      <c r="M591" s="6" t="s">
        <v>49</v>
      </c>
      <c r="N591" s="6" t="s">
        <v>116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294</v>
      </c>
      <c r="T591" s="6" t="s">
        <v>294</v>
      </c>
      <c r="U591" s="6" t="s">
        <v>251</v>
      </c>
      <c r="V591" s="6" t="s">
        <v>280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242</v>
      </c>
      <c r="AE591" s="6" t="s">
        <v>288</v>
      </c>
      <c r="AF591" s="6" t="s">
        <v>49</v>
      </c>
      <c r="AG591" s="6" t="s">
        <v>49</v>
      </c>
      <c r="AH591" s="1" t="s">
        <v>183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6" t="s">
        <v>49</v>
      </c>
      <c r="AW591" s="30" t="s">
        <v>49</v>
      </c>
    </row>
    <row r="592" spans="1:51">
      <c r="A592" s="6" t="s">
        <v>274</v>
      </c>
      <c r="B592" s="6" t="s">
        <v>38</v>
      </c>
      <c r="C592" s="6" t="s">
        <v>49</v>
      </c>
      <c r="D592" s="6" t="s">
        <v>275</v>
      </c>
      <c r="E592" s="6" t="s">
        <v>295</v>
      </c>
      <c r="F592" s="6">
        <v>2018</v>
      </c>
      <c r="G592" s="6" t="s">
        <v>276</v>
      </c>
      <c r="H592" s="6" t="s">
        <v>277</v>
      </c>
      <c r="I592" s="6" t="s">
        <v>278</v>
      </c>
      <c r="J592" s="6" t="str">
        <f t="shared" si="52"/>
        <v>Senecio_pinnatifolius</v>
      </c>
      <c r="K592" s="6" t="s">
        <v>279</v>
      </c>
      <c r="L592" s="6" t="s">
        <v>46</v>
      </c>
      <c r="M592" s="6" t="s">
        <v>49</v>
      </c>
      <c r="N592" s="6" t="s">
        <v>116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294</v>
      </c>
      <c r="T592" s="6" t="s">
        <v>294</v>
      </c>
      <c r="U592" s="6" t="s">
        <v>251</v>
      </c>
      <c r="V592" s="6" t="s">
        <v>280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242</v>
      </c>
      <c r="AE592" s="6" t="s">
        <v>289</v>
      </c>
      <c r="AF592" s="6" t="s">
        <v>49</v>
      </c>
      <c r="AG592" s="6" t="s">
        <v>49</v>
      </c>
      <c r="AH592" s="1" t="s">
        <v>183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6" t="s">
        <v>49</v>
      </c>
      <c r="AW592" s="30" t="s">
        <v>49</v>
      </c>
    </row>
    <row r="593" spans="1:49">
      <c r="A593" s="6" t="s">
        <v>274</v>
      </c>
      <c r="B593" s="6" t="s">
        <v>38</v>
      </c>
      <c r="C593" s="6" t="s">
        <v>49</v>
      </c>
      <c r="D593" s="6" t="s">
        <v>275</v>
      </c>
      <c r="E593" s="6" t="s">
        <v>295</v>
      </c>
      <c r="F593" s="6">
        <v>2018</v>
      </c>
      <c r="G593" s="6" t="s">
        <v>276</v>
      </c>
      <c r="H593" s="6" t="s">
        <v>277</v>
      </c>
      <c r="I593" s="6" t="s">
        <v>278</v>
      </c>
      <c r="J593" s="6" t="str">
        <f t="shared" si="52"/>
        <v>Senecio_pinnatifolius</v>
      </c>
      <c r="K593" s="6" t="s">
        <v>279</v>
      </c>
      <c r="L593" s="6" t="s">
        <v>46</v>
      </c>
      <c r="M593" s="6" t="s">
        <v>49</v>
      </c>
      <c r="N593" s="6" t="s">
        <v>116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294</v>
      </c>
      <c r="T593" s="6" t="s">
        <v>294</v>
      </c>
      <c r="U593" s="6" t="s">
        <v>251</v>
      </c>
      <c r="V593" s="6" t="s">
        <v>280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281</v>
      </c>
      <c r="AE593" s="6" t="s">
        <v>282</v>
      </c>
      <c r="AF593" s="6" t="s">
        <v>49</v>
      </c>
      <c r="AG593" s="6" t="s">
        <v>49</v>
      </c>
      <c r="AH593" s="1" t="s">
        <v>183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6" t="s">
        <v>49</v>
      </c>
      <c r="AW593" s="30" t="s">
        <v>49</v>
      </c>
    </row>
    <row r="594" spans="1:49">
      <c r="A594" s="6" t="s">
        <v>274</v>
      </c>
      <c r="B594" s="6" t="s">
        <v>38</v>
      </c>
      <c r="C594" s="6" t="s">
        <v>49</v>
      </c>
      <c r="D594" s="6" t="s">
        <v>275</v>
      </c>
      <c r="E594" s="6" t="s">
        <v>295</v>
      </c>
      <c r="F594" s="6">
        <v>2018</v>
      </c>
      <c r="G594" s="6" t="s">
        <v>276</v>
      </c>
      <c r="H594" s="6" t="s">
        <v>277</v>
      </c>
      <c r="I594" s="6" t="s">
        <v>278</v>
      </c>
      <c r="J594" s="6" t="str">
        <f t="shared" si="52"/>
        <v>Senecio_pinnatifolius</v>
      </c>
      <c r="K594" s="6" t="s">
        <v>279</v>
      </c>
      <c r="L594" s="6" t="s">
        <v>46</v>
      </c>
      <c r="M594" s="6" t="s">
        <v>49</v>
      </c>
      <c r="N594" s="6" t="s">
        <v>116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294</v>
      </c>
      <c r="T594" s="6" t="s">
        <v>294</v>
      </c>
      <c r="U594" s="6" t="s">
        <v>251</v>
      </c>
      <c r="V594" s="6" t="s">
        <v>280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281</v>
      </c>
      <c r="AE594" s="6" t="s">
        <v>283</v>
      </c>
      <c r="AF594" s="6" t="s">
        <v>49</v>
      </c>
      <c r="AG594" s="6" t="s">
        <v>49</v>
      </c>
      <c r="AH594" s="1" t="s">
        <v>183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6" t="s">
        <v>49</v>
      </c>
      <c r="AW594" s="30" t="s">
        <v>49</v>
      </c>
    </row>
    <row r="595" spans="1:49">
      <c r="A595" s="6" t="s">
        <v>274</v>
      </c>
      <c r="B595" s="6" t="s">
        <v>38</v>
      </c>
      <c r="C595" s="6" t="s">
        <v>49</v>
      </c>
      <c r="D595" s="6" t="s">
        <v>275</v>
      </c>
      <c r="E595" s="6" t="s">
        <v>295</v>
      </c>
      <c r="F595" s="6">
        <v>2018</v>
      </c>
      <c r="G595" s="6" t="s">
        <v>276</v>
      </c>
      <c r="H595" s="6" t="s">
        <v>277</v>
      </c>
      <c r="I595" s="6" t="s">
        <v>278</v>
      </c>
      <c r="J595" s="6" t="str">
        <f t="shared" si="52"/>
        <v>Senecio_pinnatifolius</v>
      </c>
      <c r="K595" s="6" t="s">
        <v>279</v>
      </c>
      <c r="L595" s="6" t="s">
        <v>46</v>
      </c>
      <c r="M595" s="6" t="s">
        <v>49</v>
      </c>
      <c r="N595" s="6" t="s">
        <v>116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294</v>
      </c>
      <c r="T595" s="6" t="s">
        <v>294</v>
      </c>
      <c r="U595" s="6" t="s">
        <v>251</v>
      </c>
      <c r="V595" s="6" t="s">
        <v>280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281</v>
      </c>
      <c r="AE595" s="6" t="s">
        <v>284</v>
      </c>
      <c r="AF595" s="6" t="s">
        <v>49</v>
      </c>
      <c r="AG595" s="6" t="s">
        <v>49</v>
      </c>
      <c r="AH595" s="1" t="s">
        <v>183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6" t="s">
        <v>49</v>
      </c>
      <c r="AW595" s="30" t="s">
        <v>49</v>
      </c>
    </row>
    <row r="596" spans="1:49">
      <c r="A596" s="6" t="s">
        <v>274</v>
      </c>
      <c r="B596" s="6" t="s">
        <v>38</v>
      </c>
      <c r="C596" s="6" t="s">
        <v>49</v>
      </c>
      <c r="D596" s="6" t="s">
        <v>275</v>
      </c>
      <c r="E596" s="6" t="s">
        <v>295</v>
      </c>
      <c r="F596" s="6">
        <v>2018</v>
      </c>
      <c r="G596" s="6" t="s">
        <v>276</v>
      </c>
      <c r="H596" s="6" t="s">
        <v>277</v>
      </c>
      <c r="I596" s="6" t="s">
        <v>278</v>
      </c>
      <c r="J596" s="6" t="str">
        <f t="shared" si="52"/>
        <v>Senecio_pinnatifolius</v>
      </c>
      <c r="K596" s="6" t="s">
        <v>279</v>
      </c>
      <c r="L596" s="6" t="s">
        <v>46</v>
      </c>
      <c r="M596" s="6" t="s">
        <v>49</v>
      </c>
      <c r="N596" s="6" t="s">
        <v>116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294</v>
      </c>
      <c r="T596" s="6" t="s">
        <v>294</v>
      </c>
      <c r="U596" s="6" t="s">
        <v>251</v>
      </c>
      <c r="V596" s="6" t="s">
        <v>280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281</v>
      </c>
      <c r="AE596" s="6" t="s">
        <v>285</v>
      </c>
      <c r="AF596" s="6" t="s">
        <v>49</v>
      </c>
      <c r="AG596" s="6" t="s">
        <v>49</v>
      </c>
      <c r="AH596" s="1" t="s">
        <v>183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6" t="s">
        <v>49</v>
      </c>
      <c r="AW596" s="30" t="s">
        <v>49</v>
      </c>
    </row>
    <row r="597" spans="1:49">
      <c r="A597" s="6" t="s">
        <v>274</v>
      </c>
      <c r="B597" s="6" t="s">
        <v>38</v>
      </c>
      <c r="C597" s="6" t="s">
        <v>49</v>
      </c>
      <c r="D597" s="6" t="s">
        <v>275</v>
      </c>
      <c r="E597" s="6" t="s">
        <v>295</v>
      </c>
      <c r="F597" s="6">
        <v>2018</v>
      </c>
      <c r="G597" s="6" t="s">
        <v>276</v>
      </c>
      <c r="H597" s="6" t="s">
        <v>277</v>
      </c>
      <c r="I597" s="6" t="s">
        <v>278</v>
      </c>
      <c r="J597" s="6" t="str">
        <f t="shared" si="52"/>
        <v>Senecio_pinnatifolius</v>
      </c>
      <c r="K597" s="6" t="s">
        <v>279</v>
      </c>
      <c r="L597" s="6" t="s">
        <v>46</v>
      </c>
      <c r="M597" s="6" t="s">
        <v>49</v>
      </c>
      <c r="N597" s="6" t="s">
        <v>116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294</v>
      </c>
      <c r="T597" s="6" t="s">
        <v>294</v>
      </c>
      <c r="U597" s="6" t="s">
        <v>251</v>
      </c>
      <c r="V597" s="6" t="s">
        <v>280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281</v>
      </c>
      <c r="AE597" s="6" t="s">
        <v>286</v>
      </c>
      <c r="AF597" s="6" t="s">
        <v>49</v>
      </c>
      <c r="AG597" s="6" t="s">
        <v>49</v>
      </c>
      <c r="AH597" s="1" t="s">
        <v>183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6" t="s">
        <v>49</v>
      </c>
      <c r="AW597" s="30" t="s">
        <v>49</v>
      </c>
    </row>
    <row r="598" spans="1:49">
      <c r="A598" s="6" t="s">
        <v>274</v>
      </c>
      <c r="B598" s="6" t="s">
        <v>38</v>
      </c>
      <c r="C598" s="6" t="s">
        <v>49</v>
      </c>
      <c r="D598" s="6" t="s">
        <v>275</v>
      </c>
      <c r="E598" s="6" t="s">
        <v>295</v>
      </c>
      <c r="F598" s="6">
        <v>2018</v>
      </c>
      <c r="G598" s="6" t="s">
        <v>276</v>
      </c>
      <c r="H598" s="6" t="s">
        <v>277</v>
      </c>
      <c r="I598" s="6" t="s">
        <v>278</v>
      </c>
      <c r="J598" s="6" t="str">
        <f t="shared" si="52"/>
        <v>Senecio_pinnatifolius</v>
      </c>
      <c r="K598" s="6" t="s">
        <v>279</v>
      </c>
      <c r="L598" s="6" t="s">
        <v>46</v>
      </c>
      <c r="M598" s="6" t="s">
        <v>49</v>
      </c>
      <c r="N598" s="6" t="s">
        <v>116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294</v>
      </c>
      <c r="T598" s="6" t="s">
        <v>294</v>
      </c>
      <c r="U598" s="6" t="s">
        <v>251</v>
      </c>
      <c r="V598" s="6" t="s">
        <v>280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281</v>
      </c>
      <c r="AE598" s="6" t="s">
        <v>287</v>
      </c>
      <c r="AF598" s="6" t="s">
        <v>49</v>
      </c>
      <c r="AG598" s="6" t="s">
        <v>49</v>
      </c>
      <c r="AH598" s="1" t="s">
        <v>183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6" t="s">
        <v>49</v>
      </c>
      <c r="AW598" s="30" t="s">
        <v>49</v>
      </c>
    </row>
    <row r="599" spans="1:49">
      <c r="A599" s="6" t="s">
        <v>274</v>
      </c>
      <c r="B599" s="6" t="s">
        <v>38</v>
      </c>
      <c r="C599" s="6" t="s">
        <v>49</v>
      </c>
      <c r="D599" s="6" t="s">
        <v>275</v>
      </c>
      <c r="E599" s="6" t="s">
        <v>295</v>
      </c>
      <c r="F599" s="6">
        <v>2018</v>
      </c>
      <c r="G599" s="6" t="s">
        <v>276</v>
      </c>
      <c r="H599" s="6" t="s">
        <v>277</v>
      </c>
      <c r="I599" s="6" t="s">
        <v>278</v>
      </c>
      <c r="J599" s="6" t="str">
        <f t="shared" si="52"/>
        <v>Senecio_pinnatifolius</v>
      </c>
      <c r="K599" s="6" t="s">
        <v>279</v>
      </c>
      <c r="L599" s="6" t="s">
        <v>46</v>
      </c>
      <c r="M599" s="6" t="s">
        <v>49</v>
      </c>
      <c r="N599" s="6" t="s">
        <v>116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294</v>
      </c>
      <c r="T599" s="6" t="s">
        <v>294</v>
      </c>
      <c r="U599" s="6" t="s">
        <v>251</v>
      </c>
      <c r="V599" s="6" t="s">
        <v>280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281</v>
      </c>
      <c r="AE599" s="6" t="s">
        <v>288</v>
      </c>
      <c r="AF599" s="6" t="s">
        <v>49</v>
      </c>
      <c r="AG599" s="6" t="s">
        <v>49</v>
      </c>
      <c r="AH599" s="1" t="s">
        <v>183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6" t="s">
        <v>49</v>
      </c>
      <c r="AW599" s="30" t="s">
        <v>49</v>
      </c>
    </row>
    <row r="600" spans="1:49">
      <c r="A600" s="6" t="s">
        <v>274</v>
      </c>
      <c r="B600" s="6" t="s">
        <v>38</v>
      </c>
      <c r="C600" s="6" t="s">
        <v>49</v>
      </c>
      <c r="D600" s="6" t="s">
        <v>275</v>
      </c>
      <c r="E600" s="6" t="s">
        <v>295</v>
      </c>
      <c r="F600" s="6">
        <v>2018</v>
      </c>
      <c r="G600" s="6" t="s">
        <v>276</v>
      </c>
      <c r="H600" s="6" t="s">
        <v>277</v>
      </c>
      <c r="I600" s="6" t="s">
        <v>278</v>
      </c>
      <c r="J600" s="6" t="str">
        <f t="shared" si="52"/>
        <v>Senecio_pinnatifolius</v>
      </c>
      <c r="K600" s="6" t="s">
        <v>279</v>
      </c>
      <c r="L600" s="6" t="s">
        <v>46</v>
      </c>
      <c r="M600" s="6" t="s">
        <v>49</v>
      </c>
      <c r="N600" s="6" t="s">
        <v>116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294</v>
      </c>
      <c r="T600" s="6" t="s">
        <v>294</v>
      </c>
      <c r="U600" s="6" t="s">
        <v>251</v>
      </c>
      <c r="V600" s="6" t="s">
        <v>280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281</v>
      </c>
      <c r="AE600" s="6" t="s">
        <v>289</v>
      </c>
      <c r="AF600" s="6" t="s">
        <v>49</v>
      </c>
      <c r="AG600" s="6" t="s">
        <v>49</v>
      </c>
      <c r="AH600" s="1" t="s">
        <v>183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6" t="s">
        <v>49</v>
      </c>
      <c r="AW600" s="30" t="s">
        <v>49</v>
      </c>
    </row>
    <row r="601" spans="1:49">
      <c r="A601" s="6" t="s">
        <v>274</v>
      </c>
      <c r="B601" s="6" t="s">
        <v>38</v>
      </c>
      <c r="C601" s="6" t="s">
        <v>49</v>
      </c>
      <c r="D601" s="6" t="s">
        <v>275</v>
      </c>
      <c r="E601" s="6" t="s">
        <v>295</v>
      </c>
      <c r="F601" s="6">
        <v>2018</v>
      </c>
      <c r="G601" s="6" t="s">
        <v>276</v>
      </c>
      <c r="H601" s="6" t="s">
        <v>277</v>
      </c>
      <c r="I601" s="6" t="s">
        <v>278</v>
      </c>
      <c r="J601" s="6" t="str">
        <f t="shared" si="52"/>
        <v>Senecio_pinnatifolius</v>
      </c>
      <c r="K601" s="6" t="s">
        <v>279</v>
      </c>
      <c r="L601" s="6" t="s">
        <v>46</v>
      </c>
      <c r="M601" s="6" t="s">
        <v>49</v>
      </c>
      <c r="N601" s="6" t="s">
        <v>116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294</v>
      </c>
      <c r="T601" s="6" t="s">
        <v>294</v>
      </c>
      <c r="U601" s="6" t="s">
        <v>251</v>
      </c>
      <c r="V601" s="6" t="s">
        <v>280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282</v>
      </c>
      <c r="AE601" s="6" t="s">
        <v>283</v>
      </c>
      <c r="AF601" s="6" t="s">
        <v>49</v>
      </c>
      <c r="AG601" s="6" t="s">
        <v>49</v>
      </c>
      <c r="AH601" s="1" t="s">
        <v>183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6" t="s">
        <v>49</v>
      </c>
      <c r="AW601" s="30" t="s">
        <v>49</v>
      </c>
    </row>
    <row r="602" spans="1:49">
      <c r="A602" s="6" t="s">
        <v>274</v>
      </c>
      <c r="B602" s="6" t="s">
        <v>38</v>
      </c>
      <c r="C602" s="6" t="s">
        <v>49</v>
      </c>
      <c r="D602" s="6" t="s">
        <v>275</v>
      </c>
      <c r="E602" s="6" t="s">
        <v>295</v>
      </c>
      <c r="F602" s="6">
        <v>2018</v>
      </c>
      <c r="G602" s="6" t="s">
        <v>276</v>
      </c>
      <c r="H602" s="6" t="s">
        <v>277</v>
      </c>
      <c r="I602" s="6" t="s">
        <v>278</v>
      </c>
      <c r="J602" s="6" t="str">
        <f t="shared" si="52"/>
        <v>Senecio_pinnatifolius</v>
      </c>
      <c r="K602" s="6" t="s">
        <v>279</v>
      </c>
      <c r="L602" s="6" t="s">
        <v>46</v>
      </c>
      <c r="M602" s="6" t="s">
        <v>49</v>
      </c>
      <c r="N602" s="6" t="s">
        <v>116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294</v>
      </c>
      <c r="T602" s="6" t="s">
        <v>294</v>
      </c>
      <c r="U602" s="6" t="s">
        <v>251</v>
      </c>
      <c r="V602" s="6" t="s">
        <v>280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282</v>
      </c>
      <c r="AE602" s="6" t="s">
        <v>284</v>
      </c>
      <c r="AF602" s="6" t="s">
        <v>49</v>
      </c>
      <c r="AG602" s="6" t="s">
        <v>49</v>
      </c>
      <c r="AH602" s="1" t="s">
        <v>183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6" t="s">
        <v>49</v>
      </c>
      <c r="AW602" s="30" t="s">
        <v>49</v>
      </c>
    </row>
    <row r="603" spans="1:49">
      <c r="A603" s="6" t="s">
        <v>274</v>
      </c>
      <c r="B603" s="6" t="s">
        <v>38</v>
      </c>
      <c r="C603" s="6" t="s">
        <v>49</v>
      </c>
      <c r="D603" s="6" t="s">
        <v>275</v>
      </c>
      <c r="E603" s="6" t="s">
        <v>295</v>
      </c>
      <c r="F603" s="6">
        <v>2018</v>
      </c>
      <c r="G603" s="6" t="s">
        <v>276</v>
      </c>
      <c r="H603" s="6" t="s">
        <v>277</v>
      </c>
      <c r="I603" s="6" t="s">
        <v>278</v>
      </c>
      <c r="J603" s="6" t="str">
        <f t="shared" si="52"/>
        <v>Senecio_pinnatifolius</v>
      </c>
      <c r="K603" s="6" t="s">
        <v>279</v>
      </c>
      <c r="L603" s="6" t="s">
        <v>46</v>
      </c>
      <c r="M603" s="6" t="s">
        <v>49</v>
      </c>
      <c r="N603" s="6" t="s">
        <v>116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294</v>
      </c>
      <c r="T603" s="6" t="s">
        <v>294</v>
      </c>
      <c r="U603" s="6" t="s">
        <v>251</v>
      </c>
      <c r="V603" s="6" t="s">
        <v>280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282</v>
      </c>
      <c r="AE603" s="6" t="s">
        <v>285</v>
      </c>
      <c r="AF603" s="6" t="s">
        <v>49</v>
      </c>
      <c r="AG603" s="6" t="s">
        <v>49</v>
      </c>
      <c r="AH603" s="1" t="s">
        <v>183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6" t="s">
        <v>49</v>
      </c>
      <c r="AW603" s="30" t="s">
        <v>49</v>
      </c>
    </row>
    <row r="604" spans="1:49">
      <c r="A604" s="6" t="s">
        <v>274</v>
      </c>
      <c r="B604" s="6" t="s">
        <v>38</v>
      </c>
      <c r="C604" s="6" t="s">
        <v>49</v>
      </c>
      <c r="D604" s="6" t="s">
        <v>275</v>
      </c>
      <c r="E604" s="6" t="s">
        <v>295</v>
      </c>
      <c r="F604" s="6">
        <v>2018</v>
      </c>
      <c r="G604" s="6" t="s">
        <v>276</v>
      </c>
      <c r="H604" s="6" t="s">
        <v>277</v>
      </c>
      <c r="I604" s="6" t="s">
        <v>278</v>
      </c>
      <c r="J604" s="6" t="str">
        <f t="shared" si="52"/>
        <v>Senecio_pinnatifolius</v>
      </c>
      <c r="K604" s="6" t="s">
        <v>279</v>
      </c>
      <c r="L604" s="6" t="s">
        <v>46</v>
      </c>
      <c r="M604" s="6" t="s">
        <v>49</v>
      </c>
      <c r="N604" s="6" t="s">
        <v>116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294</v>
      </c>
      <c r="T604" s="6" t="s">
        <v>294</v>
      </c>
      <c r="U604" s="6" t="s">
        <v>251</v>
      </c>
      <c r="V604" s="6" t="s">
        <v>280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282</v>
      </c>
      <c r="AE604" s="6" t="s">
        <v>286</v>
      </c>
      <c r="AF604" s="6" t="s">
        <v>49</v>
      </c>
      <c r="AG604" s="6" t="s">
        <v>49</v>
      </c>
      <c r="AH604" s="1" t="s">
        <v>183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6" t="s">
        <v>49</v>
      </c>
      <c r="AW604" s="30" t="s">
        <v>49</v>
      </c>
    </row>
    <row r="605" spans="1:49">
      <c r="A605" s="6" t="s">
        <v>274</v>
      </c>
      <c r="B605" s="6" t="s">
        <v>38</v>
      </c>
      <c r="C605" s="6" t="s">
        <v>49</v>
      </c>
      <c r="D605" s="6" t="s">
        <v>275</v>
      </c>
      <c r="E605" s="6" t="s">
        <v>295</v>
      </c>
      <c r="F605" s="6">
        <v>2018</v>
      </c>
      <c r="G605" s="6" t="s">
        <v>276</v>
      </c>
      <c r="H605" s="6" t="s">
        <v>277</v>
      </c>
      <c r="I605" s="6" t="s">
        <v>278</v>
      </c>
      <c r="J605" s="6" t="str">
        <f t="shared" si="52"/>
        <v>Senecio_pinnatifolius</v>
      </c>
      <c r="K605" s="6" t="s">
        <v>279</v>
      </c>
      <c r="L605" s="6" t="s">
        <v>46</v>
      </c>
      <c r="M605" s="6" t="s">
        <v>49</v>
      </c>
      <c r="N605" s="6" t="s">
        <v>116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294</v>
      </c>
      <c r="T605" s="6" t="s">
        <v>294</v>
      </c>
      <c r="U605" s="6" t="s">
        <v>251</v>
      </c>
      <c r="V605" s="6" t="s">
        <v>280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282</v>
      </c>
      <c r="AE605" s="6" t="s">
        <v>287</v>
      </c>
      <c r="AF605" s="6" t="s">
        <v>49</v>
      </c>
      <c r="AG605" s="6" t="s">
        <v>49</v>
      </c>
      <c r="AH605" s="1" t="s">
        <v>183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6" t="s">
        <v>49</v>
      </c>
      <c r="AW605" s="30" t="s">
        <v>49</v>
      </c>
    </row>
    <row r="606" spans="1:49">
      <c r="A606" s="6" t="s">
        <v>274</v>
      </c>
      <c r="B606" s="6" t="s">
        <v>38</v>
      </c>
      <c r="C606" s="6" t="s">
        <v>49</v>
      </c>
      <c r="D606" s="6" t="s">
        <v>275</v>
      </c>
      <c r="E606" s="6" t="s">
        <v>295</v>
      </c>
      <c r="F606" s="6">
        <v>2018</v>
      </c>
      <c r="G606" s="6" t="s">
        <v>276</v>
      </c>
      <c r="H606" s="6" t="s">
        <v>277</v>
      </c>
      <c r="I606" s="6" t="s">
        <v>278</v>
      </c>
      <c r="J606" s="6" t="str">
        <f t="shared" si="52"/>
        <v>Senecio_pinnatifolius</v>
      </c>
      <c r="K606" s="6" t="s">
        <v>279</v>
      </c>
      <c r="L606" s="6" t="s">
        <v>46</v>
      </c>
      <c r="M606" s="6" t="s">
        <v>49</v>
      </c>
      <c r="N606" s="6" t="s">
        <v>116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294</v>
      </c>
      <c r="T606" s="6" t="s">
        <v>294</v>
      </c>
      <c r="U606" s="6" t="s">
        <v>251</v>
      </c>
      <c r="V606" s="6" t="s">
        <v>280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282</v>
      </c>
      <c r="AE606" s="6" t="s">
        <v>288</v>
      </c>
      <c r="AF606" s="6" t="s">
        <v>49</v>
      </c>
      <c r="AG606" s="6" t="s">
        <v>49</v>
      </c>
      <c r="AH606" s="1" t="s">
        <v>183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6" t="s">
        <v>49</v>
      </c>
      <c r="AW606" s="30" t="s">
        <v>49</v>
      </c>
    </row>
    <row r="607" spans="1:49">
      <c r="A607" s="6" t="s">
        <v>274</v>
      </c>
      <c r="B607" s="6" t="s">
        <v>38</v>
      </c>
      <c r="C607" s="6" t="s">
        <v>49</v>
      </c>
      <c r="D607" s="6" t="s">
        <v>275</v>
      </c>
      <c r="E607" s="6" t="s">
        <v>295</v>
      </c>
      <c r="F607" s="6">
        <v>2018</v>
      </c>
      <c r="G607" s="6" t="s">
        <v>276</v>
      </c>
      <c r="H607" s="6" t="s">
        <v>277</v>
      </c>
      <c r="I607" s="6" t="s">
        <v>278</v>
      </c>
      <c r="J607" s="6" t="str">
        <f t="shared" si="52"/>
        <v>Senecio_pinnatifolius</v>
      </c>
      <c r="K607" s="6" t="s">
        <v>279</v>
      </c>
      <c r="L607" s="6" t="s">
        <v>46</v>
      </c>
      <c r="M607" s="6" t="s">
        <v>49</v>
      </c>
      <c r="N607" s="6" t="s">
        <v>116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294</v>
      </c>
      <c r="T607" s="6" t="s">
        <v>294</v>
      </c>
      <c r="U607" s="6" t="s">
        <v>251</v>
      </c>
      <c r="V607" s="6" t="s">
        <v>280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282</v>
      </c>
      <c r="AE607" s="6" t="s">
        <v>289</v>
      </c>
      <c r="AF607" s="6" t="s">
        <v>49</v>
      </c>
      <c r="AG607" s="6" t="s">
        <v>49</v>
      </c>
      <c r="AH607" s="1" t="s">
        <v>183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6" t="s">
        <v>49</v>
      </c>
      <c r="AW607" s="30" t="s">
        <v>49</v>
      </c>
    </row>
    <row r="608" spans="1:49">
      <c r="A608" s="6" t="s">
        <v>274</v>
      </c>
      <c r="B608" s="6" t="s">
        <v>38</v>
      </c>
      <c r="C608" s="6" t="s">
        <v>49</v>
      </c>
      <c r="D608" s="6" t="s">
        <v>275</v>
      </c>
      <c r="E608" s="6" t="s">
        <v>295</v>
      </c>
      <c r="F608" s="6">
        <v>2018</v>
      </c>
      <c r="G608" s="6" t="s">
        <v>276</v>
      </c>
      <c r="H608" s="6" t="s">
        <v>277</v>
      </c>
      <c r="I608" s="6" t="s">
        <v>278</v>
      </c>
      <c r="J608" s="6" t="str">
        <f t="shared" si="52"/>
        <v>Senecio_pinnatifolius</v>
      </c>
      <c r="K608" s="6" t="s">
        <v>279</v>
      </c>
      <c r="L608" s="6" t="s">
        <v>46</v>
      </c>
      <c r="M608" s="6" t="s">
        <v>49</v>
      </c>
      <c r="N608" s="6" t="s">
        <v>116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294</v>
      </c>
      <c r="T608" s="6" t="s">
        <v>294</v>
      </c>
      <c r="U608" s="6" t="s">
        <v>251</v>
      </c>
      <c r="V608" s="6" t="s">
        <v>280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283</v>
      </c>
      <c r="AE608" s="6" t="s">
        <v>284</v>
      </c>
      <c r="AF608" s="6" t="s">
        <v>49</v>
      </c>
      <c r="AG608" s="6" t="s">
        <v>49</v>
      </c>
      <c r="AH608" s="1" t="s">
        <v>183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6" t="s">
        <v>49</v>
      </c>
      <c r="AW608" s="30" t="s">
        <v>49</v>
      </c>
    </row>
    <row r="609" spans="1:49">
      <c r="A609" s="6" t="s">
        <v>274</v>
      </c>
      <c r="B609" s="6" t="s">
        <v>38</v>
      </c>
      <c r="C609" s="6" t="s">
        <v>49</v>
      </c>
      <c r="D609" s="6" t="s">
        <v>275</v>
      </c>
      <c r="E609" s="6" t="s">
        <v>295</v>
      </c>
      <c r="F609" s="6">
        <v>2018</v>
      </c>
      <c r="G609" s="6" t="s">
        <v>276</v>
      </c>
      <c r="H609" s="6" t="s">
        <v>277</v>
      </c>
      <c r="I609" s="6" t="s">
        <v>278</v>
      </c>
      <c r="J609" s="6" t="str">
        <f t="shared" si="52"/>
        <v>Senecio_pinnatifolius</v>
      </c>
      <c r="K609" s="6" t="s">
        <v>279</v>
      </c>
      <c r="L609" s="6" t="s">
        <v>46</v>
      </c>
      <c r="M609" s="6" t="s">
        <v>49</v>
      </c>
      <c r="N609" s="6" t="s">
        <v>116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294</v>
      </c>
      <c r="T609" s="6" t="s">
        <v>294</v>
      </c>
      <c r="U609" s="6" t="s">
        <v>251</v>
      </c>
      <c r="V609" s="6" t="s">
        <v>280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283</v>
      </c>
      <c r="AE609" s="6" t="s">
        <v>285</v>
      </c>
      <c r="AF609" s="6" t="s">
        <v>49</v>
      </c>
      <c r="AG609" s="6" t="s">
        <v>49</v>
      </c>
      <c r="AH609" s="1" t="s">
        <v>183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6" t="s">
        <v>49</v>
      </c>
      <c r="AW609" s="30" t="s">
        <v>49</v>
      </c>
    </row>
    <row r="610" spans="1:49">
      <c r="A610" s="6" t="s">
        <v>274</v>
      </c>
      <c r="B610" s="6" t="s">
        <v>38</v>
      </c>
      <c r="C610" s="6" t="s">
        <v>49</v>
      </c>
      <c r="D610" s="6" t="s">
        <v>275</v>
      </c>
      <c r="E610" s="6" t="s">
        <v>295</v>
      </c>
      <c r="F610" s="6">
        <v>2018</v>
      </c>
      <c r="G610" s="6" t="s">
        <v>276</v>
      </c>
      <c r="H610" s="6" t="s">
        <v>277</v>
      </c>
      <c r="I610" s="6" t="s">
        <v>278</v>
      </c>
      <c r="J610" s="6" t="str">
        <f t="shared" si="52"/>
        <v>Senecio_pinnatifolius</v>
      </c>
      <c r="K610" s="6" t="s">
        <v>279</v>
      </c>
      <c r="L610" s="6" t="s">
        <v>46</v>
      </c>
      <c r="M610" s="6" t="s">
        <v>49</v>
      </c>
      <c r="N610" s="6" t="s">
        <v>116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294</v>
      </c>
      <c r="T610" s="6" t="s">
        <v>294</v>
      </c>
      <c r="U610" s="6" t="s">
        <v>251</v>
      </c>
      <c r="V610" s="6" t="s">
        <v>280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283</v>
      </c>
      <c r="AE610" s="6" t="s">
        <v>286</v>
      </c>
      <c r="AF610" s="6" t="s">
        <v>49</v>
      </c>
      <c r="AG610" s="6" t="s">
        <v>49</v>
      </c>
      <c r="AH610" s="1" t="s">
        <v>183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6" t="s">
        <v>49</v>
      </c>
      <c r="AW610" s="30" t="s">
        <v>49</v>
      </c>
    </row>
    <row r="611" spans="1:49">
      <c r="A611" s="6" t="s">
        <v>274</v>
      </c>
      <c r="B611" s="6" t="s">
        <v>38</v>
      </c>
      <c r="C611" s="6" t="s">
        <v>49</v>
      </c>
      <c r="D611" s="6" t="s">
        <v>275</v>
      </c>
      <c r="E611" s="6" t="s">
        <v>295</v>
      </c>
      <c r="F611" s="6">
        <v>2018</v>
      </c>
      <c r="G611" s="6" t="s">
        <v>276</v>
      </c>
      <c r="H611" s="6" t="s">
        <v>277</v>
      </c>
      <c r="I611" s="6" t="s">
        <v>278</v>
      </c>
      <c r="J611" s="6" t="str">
        <f t="shared" si="52"/>
        <v>Senecio_pinnatifolius</v>
      </c>
      <c r="K611" s="6" t="s">
        <v>279</v>
      </c>
      <c r="L611" s="6" t="s">
        <v>46</v>
      </c>
      <c r="M611" s="6" t="s">
        <v>49</v>
      </c>
      <c r="N611" s="6" t="s">
        <v>116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294</v>
      </c>
      <c r="T611" s="6" t="s">
        <v>294</v>
      </c>
      <c r="U611" s="6" t="s">
        <v>251</v>
      </c>
      <c r="V611" s="6" t="s">
        <v>280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283</v>
      </c>
      <c r="AE611" s="6" t="s">
        <v>287</v>
      </c>
      <c r="AF611" s="6" t="s">
        <v>49</v>
      </c>
      <c r="AG611" s="6" t="s">
        <v>49</v>
      </c>
      <c r="AH611" s="1" t="s">
        <v>183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6" t="s">
        <v>49</v>
      </c>
      <c r="AW611" s="30" t="s">
        <v>49</v>
      </c>
    </row>
    <row r="612" spans="1:49">
      <c r="A612" s="6" t="s">
        <v>274</v>
      </c>
      <c r="B612" s="6" t="s">
        <v>38</v>
      </c>
      <c r="C612" s="6" t="s">
        <v>49</v>
      </c>
      <c r="D612" s="6" t="s">
        <v>275</v>
      </c>
      <c r="E612" s="6" t="s">
        <v>295</v>
      </c>
      <c r="F612" s="6">
        <v>2018</v>
      </c>
      <c r="G612" s="6" t="s">
        <v>276</v>
      </c>
      <c r="H612" s="6" t="s">
        <v>277</v>
      </c>
      <c r="I612" s="6" t="s">
        <v>278</v>
      </c>
      <c r="J612" s="6" t="str">
        <f t="shared" si="52"/>
        <v>Senecio_pinnatifolius</v>
      </c>
      <c r="K612" s="6" t="s">
        <v>279</v>
      </c>
      <c r="L612" s="6" t="s">
        <v>46</v>
      </c>
      <c r="M612" s="6" t="s">
        <v>49</v>
      </c>
      <c r="N612" s="6" t="s">
        <v>116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294</v>
      </c>
      <c r="T612" s="6" t="s">
        <v>294</v>
      </c>
      <c r="U612" s="6" t="s">
        <v>251</v>
      </c>
      <c r="V612" s="6" t="s">
        <v>280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283</v>
      </c>
      <c r="AE612" s="6" t="s">
        <v>288</v>
      </c>
      <c r="AF612" s="6" t="s">
        <v>49</v>
      </c>
      <c r="AG612" s="6" t="s">
        <v>49</v>
      </c>
      <c r="AH612" s="1" t="s">
        <v>183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6" t="s">
        <v>49</v>
      </c>
      <c r="AW612" s="30" t="s">
        <v>49</v>
      </c>
    </row>
    <row r="613" spans="1:49">
      <c r="A613" s="6" t="s">
        <v>274</v>
      </c>
      <c r="B613" s="6" t="s">
        <v>38</v>
      </c>
      <c r="C613" s="6" t="s">
        <v>49</v>
      </c>
      <c r="D613" s="6" t="s">
        <v>275</v>
      </c>
      <c r="E613" s="6" t="s">
        <v>295</v>
      </c>
      <c r="F613" s="6">
        <v>2018</v>
      </c>
      <c r="G613" s="6" t="s">
        <v>276</v>
      </c>
      <c r="H613" s="6" t="s">
        <v>277</v>
      </c>
      <c r="I613" s="6" t="s">
        <v>278</v>
      </c>
      <c r="J613" s="6" t="str">
        <f t="shared" si="52"/>
        <v>Senecio_pinnatifolius</v>
      </c>
      <c r="K613" s="6" t="s">
        <v>279</v>
      </c>
      <c r="L613" s="6" t="s">
        <v>46</v>
      </c>
      <c r="M613" s="6" t="s">
        <v>49</v>
      </c>
      <c r="N613" s="6" t="s">
        <v>116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294</v>
      </c>
      <c r="T613" s="6" t="s">
        <v>294</v>
      </c>
      <c r="U613" s="6" t="s">
        <v>251</v>
      </c>
      <c r="V613" s="6" t="s">
        <v>280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283</v>
      </c>
      <c r="AE613" s="6" t="s">
        <v>289</v>
      </c>
      <c r="AF613" s="6" t="s">
        <v>49</v>
      </c>
      <c r="AG613" s="6" t="s">
        <v>49</v>
      </c>
      <c r="AH613" s="1" t="s">
        <v>183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6" t="s">
        <v>49</v>
      </c>
      <c r="AW613" s="30" t="s">
        <v>49</v>
      </c>
    </row>
    <row r="614" spans="1:49">
      <c r="A614" s="6" t="s">
        <v>274</v>
      </c>
      <c r="B614" s="6" t="s">
        <v>38</v>
      </c>
      <c r="C614" s="6" t="s">
        <v>49</v>
      </c>
      <c r="D614" s="6" t="s">
        <v>275</v>
      </c>
      <c r="E614" s="6" t="s">
        <v>295</v>
      </c>
      <c r="F614" s="6">
        <v>2018</v>
      </c>
      <c r="G614" s="6" t="s">
        <v>276</v>
      </c>
      <c r="H614" s="6" t="s">
        <v>277</v>
      </c>
      <c r="I614" s="6" t="s">
        <v>278</v>
      </c>
      <c r="J614" s="6" t="str">
        <f t="shared" si="52"/>
        <v>Senecio_pinnatifolius</v>
      </c>
      <c r="K614" s="6" t="s">
        <v>279</v>
      </c>
      <c r="L614" s="6" t="s">
        <v>46</v>
      </c>
      <c r="M614" s="6" t="s">
        <v>49</v>
      </c>
      <c r="N614" s="6" t="s">
        <v>116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294</v>
      </c>
      <c r="T614" s="6" t="s">
        <v>294</v>
      </c>
      <c r="U614" s="6" t="s">
        <v>251</v>
      </c>
      <c r="V614" s="6" t="s">
        <v>280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284</v>
      </c>
      <c r="AE614" s="6" t="s">
        <v>285</v>
      </c>
      <c r="AF614" s="6" t="s">
        <v>49</v>
      </c>
      <c r="AG614" s="6" t="s">
        <v>49</v>
      </c>
      <c r="AH614" s="1" t="s">
        <v>183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6" t="s">
        <v>49</v>
      </c>
      <c r="AW614" s="30" t="s">
        <v>49</v>
      </c>
    </row>
    <row r="615" spans="1:49">
      <c r="A615" s="6" t="s">
        <v>274</v>
      </c>
      <c r="B615" s="6" t="s">
        <v>38</v>
      </c>
      <c r="C615" s="6" t="s">
        <v>49</v>
      </c>
      <c r="D615" s="6" t="s">
        <v>275</v>
      </c>
      <c r="E615" s="6" t="s">
        <v>295</v>
      </c>
      <c r="F615" s="6">
        <v>2018</v>
      </c>
      <c r="G615" s="6" t="s">
        <v>276</v>
      </c>
      <c r="H615" s="6" t="s">
        <v>277</v>
      </c>
      <c r="I615" s="6" t="s">
        <v>278</v>
      </c>
      <c r="J615" s="6" t="str">
        <f t="shared" si="52"/>
        <v>Senecio_pinnatifolius</v>
      </c>
      <c r="K615" s="6" t="s">
        <v>279</v>
      </c>
      <c r="L615" s="6" t="s">
        <v>46</v>
      </c>
      <c r="M615" s="6" t="s">
        <v>49</v>
      </c>
      <c r="N615" s="6" t="s">
        <v>116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294</v>
      </c>
      <c r="T615" s="6" t="s">
        <v>294</v>
      </c>
      <c r="U615" s="6" t="s">
        <v>251</v>
      </c>
      <c r="V615" s="6" t="s">
        <v>280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284</v>
      </c>
      <c r="AE615" s="6" t="s">
        <v>286</v>
      </c>
      <c r="AF615" s="6" t="s">
        <v>49</v>
      </c>
      <c r="AG615" s="6" t="s">
        <v>49</v>
      </c>
      <c r="AH615" s="1" t="s">
        <v>183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6" t="s">
        <v>49</v>
      </c>
      <c r="AW615" s="30" t="s">
        <v>49</v>
      </c>
    </row>
    <row r="616" spans="1:49">
      <c r="A616" s="6" t="s">
        <v>274</v>
      </c>
      <c r="B616" s="6" t="s">
        <v>38</v>
      </c>
      <c r="C616" s="6" t="s">
        <v>49</v>
      </c>
      <c r="D616" s="6" t="s">
        <v>275</v>
      </c>
      <c r="E616" s="6" t="s">
        <v>295</v>
      </c>
      <c r="F616" s="6">
        <v>2018</v>
      </c>
      <c r="G616" s="6" t="s">
        <v>276</v>
      </c>
      <c r="H616" s="6" t="s">
        <v>277</v>
      </c>
      <c r="I616" s="6" t="s">
        <v>278</v>
      </c>
      <c r="J616" s="6" t="str">
        <f t="shared" si="52"/>
        <v>Senecio_pinnatifolius</v>
      </c>
      <c r="K616" s="6" t="s">
        <v>279</v>
      </c>
      <c r="L616" s="6" t="s">
        <v>46</v>
      </c>
      <c r="M616" s="6" t="s">
        <v>49</v>
      </c>
      <c r="N616" s="6" t="s">
        <v>116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294</v>
      </c>
      <c r="T616" s="6" t="s">
        <v>294</v>
      </c>
      <c r="U616" s="6" t="s">
        <v>251</v>
      </c>
      <c r="V616" s="6" t="s">
        <v>280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284</v>
      </c>
      <c r="AE616" s="6" t="s">
        <v>287</v>
      </c>
      <c r="AF616" s="6" t="s">
        <v>49</v>
      </c>
      <c r="AG616" s="6" t="s">
        <v>49</v>
      </c>
      <c r="AH616" s="1" t="s">
        <v>183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6" t="s">
        <v>49</v>
      </c>
      <c r="AW616" s="30" t="s">
        <v>49</v>
      </c>
    </row>
    <row r="617" spans="1:49">
      <c r="A617" s="6" t="s">
        <v>274</v>
      </c>
      <c r="B617" s="6" t="s">
        <v>38</v>
      </c>
      <c r="C617" s="6" t="s">
        <v>49</v>
      </c>
      <c r="D617" s="6" t="s">
        <v>275</v>
      </c>
      <c r="E617" s="6" t="s">
        <v>295</v>
      </c>
      <c r="F617" s="6">
        <v>2018</v>
      </c>
      <c r="G617" s="6" t="s">
        <v>276</v>
      </c>
      <c r="H617" s="6" t="s">
        <v>277</v>
      </c>
      <c r="I617" s="6" t="s">
        <v>278</v>
      </c>
      <c r="J617" s="6" t="str">
        <f t="shared" si="52"/>
        <v>Senecio_pinnatifolius</v>
      </c>
      <c r="K617" s="6" t="s">
        <v>279</v>
      </c>
      <c r="L617" s="6" t="s">
        <v>46</v>
      </c>
      <c r="M617" s="6" t="s">
        <v>49</v>
      </c>
      <c r="N617" s="6" t="s">
        <v>116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294</v>
      </c>
      <c r="T617" s="6" t="s">
        <v>294</v>
      </c>
      <c r="U617" s="6" t="s">
        <v>251</v>
      </c>
      <c r="V617" s="6" t="s">
        <v>280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284</v>
      </c>
      <c r="AE617" s="6" t="s">
        <v>288</v>
      </c>
      <c r="AF617" s="6" t="s">
        <v>49</v>
      </c>
      <c r="AG617" s="6" t="s">
        <v>49</v>
      </c>
      <c r="AH617" s="1" t="s">
        <v>183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6" t="s">
        <v>49</v>
      </c>
      <c r="AW617" s="30" t="s">
        <v>49</v>
      </c>
    </row>
    <row r="618" spans="1:49">
      <c r="A618" s="6" t="s">
        <v>274</v>
      </c>
      <c r="B618" s="6" t="s">
        <v>38</v>
      </c>
      <c r="C618" s="6" t="s">
        <v>49</v>
      </c>
      <c r="D618" s="6" t="s">
        <v>275</v>
      </c>
      <c r="E618" s="6" t="s">
        <v>295</v>
      </c>
      <c r="F618" s="6">
        <v>2018</v>
      </c>
      <c r="G618" s="6" t="s">
        <v>276</v>
      </c>
      <c r="H618" s="6" t="s">
        <v>277</v>
      </c>
      <c r="I618" s="6" t="s">
        <v>278</v>
      </c>
      <c r="J618" s="6" t="str">
        <f t="shared" si="52"/>
        <v>Senecio_pinnatifolius</v>
      </c>
      <c r="K618" s="6" t="s">
        <v>279</v>
      </c>
      <c r="L618" s="6" t="s">
        <v>46</v>
      </c>
      <c r="M618" s="6" t="s">
        <v>49</v>
      </c>
      <c r="N618" s="6" t="s">
        <v>116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294</v>
      </c>
      <c r="T618" s="6" t="s">
        <v>294</v>
      </c>
      <c r="U618" s="6" t="s">
        <v>251</v>
      </c>
      <c r="V618" s="6" t="s">
        <v>280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284</v>
      </c>
      <c r="AE618" s="6" t="s">
        <v>289</v>
      </c>
      <c r="AF618" s="6" t="s">
        <v>49</v>
      </c>
      <c r="AG618" s="6" t="s">
        <v>49</v>
      </c>
      <c r="AH618" s="1" t="s">
        <v>183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6" t="s">
        <v>49</v>
      </c>
      <c r="AW618" s="30" t="s">
        <v>49</v>
      </c>
    </row>
    <row r="619" spans="1:49">
      <c r="A619" s="6" t="s">
        <v>274</v>
      </c>
      <c r="B619" s="6" t="s">
        <v>38</v>
      </c>
      <c r="C619" s="6" t="s">
        <v>49</v>
      </c>
      <c r="D619" s="6" t="s">
        <v>275</v>
      </c>
      <c r="E619" s="6" t="s">
        <v>295</v>
      </c>
      <c r="F619" s="6">
        <v>2018</v>
      </c>
      <c r="G619" s="6" t="s">
        <v>276</v>
      </c>
      <c r="H619" s="6" t="s">
        <v>277</v>
      </c>
      <c r="I619" s="6" t="s">
        <v>278</v>
      </c>
      <c r="J619" s="6" t="str">
        <f t="shared" si="52"/>
        <v>Senecio_pinnatifolius</v>
      </c>
      <c r="K619" s="6" t="s">
        <v>279</v>
      </c>
      <c r="L619" s="6" t="s">
        <v>46</v>
      </c>
      <c r="M619" s="6" t="s">
        <v>49</v>
      </c>
      <c r="N619" s="6" t="s">
        <v>116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294</v>
      </c>
      <c r="T619" s="6" t="s">
        <v>294</v>
      </c>
      <c r="U619" s="6" t="s">
        <v>251</v>
      </c>
      <c r="V619" s="6" t="s">
        <v>280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285</v>
      </c>
      <c r="AE619" s="6" t="s">
        <v>286</v>
      </c>
      <c r="AF619" s="6" t="s">
        <v>49</v>
      </c>
      <c r="AG619" s="6" t="s">
        <v>49</v>
      </c>
      <c r="AH619" s="1" t="s">
        <v>183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6" t="s">
        <v>49</v>
      </c>
      <c r="AW619" s="30" t="s">
        <v>49</v>
      </c>
    </row>
    <row r="620" spans="1:49">
      <c r="A620" s="6" t="s">
        <v>274</v>
      </c>
      <c r="B620" s="6" t="s">
        <v>38</v>
      </c>
      <c r="C620" s="6" t="s">
        <v>49</v>
      </c>
      <c r="D620" s="6" t="s">
        <v>275</v>
      </c>
      <c r="E620" s="6" t="s">
        <v>295</v>
      </c>
      <c r="F620" s="6">
        <v>2018</v>
      </c>
      <c r="G620" s="6" t="s">
        <v>276</v>
      </c>
      <c r="H620" s="6" t="s">
        <v>277</v>
      </c>
      <c r="I620" s="6" t="s">
        <v>278</v>
      </c>
      <c r="J620" s="6" t="str">
        <f t="shared" si="52"/>
        <v>Senecio_pinnatifolius</v>
      </c>
      <c r="K620" s="6" t="s">
        <v>279</v>
      </c>
      <c r="L620" s="6" t="s">
        <v>46</v>
      </c>
      <c r="M620" s="6" t="s">
        <v>49</v>
      </c>
      <c r="N620" s="6" t="s">
        <v>116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294</v>
      </c>
      <c r="T620" s="6" t="s">
        <v>294</v>
      </c>
      <c r="U620" s="6" t="s">
        <v>251</v>
      </c>
      <c r="V620" s="6" t="s">
        <v>280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285</v>
      </c>
      <c r="AE620" s="6" t="s">
        <v>287</v>
      </c>
      <c r="AF620" s="6" t="s">
        <v>49</v>
      </c>
      <c r="AG620" s="6" t="s">
        <v>49</v>
      </c>
      <c r="AH620" s="1" t="s">
        <v>183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6" t="s">
        <v>49</v>
      </c>
      <c r="AW620" s="30" t="s">
        <v>49</v>
      </c>
    </row>
    <row r="621" spans="1:49">
      <c r="A621" s="6" t="s">
        <v>274</v>
      </c>
      <c r="B621" s="6" t="s">
        <v>38</v>
      </c>
      <c r="C621" s="6" t="s">
        <v>49</v>
      </c>
      <c r="D621" s="6" t="s">
        <v>275</v>
      </c>
      <c r="E621" s="6" t="s">
        <v>295</v>
      </c>
      <c r="F621" s="6">
        <v>2018</v>
      </c>
      <c r="G621" s="6" t="s">
        <v>276</v>
      </c>
      <c r="H621" s="6" t="s">
        <v>277</v>
      </c>
      <c r="I621" s="6" t="s">
        <v>278</v>
      </c>
      <c r="J621" s="6" t="str">
        <f t="shared" si="52"/>
        <v>Senecio_pinnatifolius</v>
      </c>
      <c r="K621" s="6" t="s">
        <v>279</v>
      </c>
      <c r="L621" s="6" t="s">
        <v>46</v>
      </c>
      <c r="M621" s="6" t="s">
        <v>49</v>
      </c>
      <c r="N621" s="6" t="s">
        <v>116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294</v>
      </c>
      <c r="T621" s="6" t="s">
        <v>294</v>
      </c>
      <c r="U621" s="6" t="s">
        <v>251</v>
      </c>
      <c r="V621" s="6" t="s">
        <v>280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285</v>
      </c>
      <c r="AE621" s="6" t="s">
        <v>288</v>
      </c>
      <c r="AF621" s="6" t="s">
        <v>49</v>
      </c>
      <c r="AG621" s="6" t="s">
        <v>49</v>
      </c>
      <c r="AH621" s="1" t="s">
        <v>183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6" t="s">
        <v>49</v>
      </c>
      <c r="AW621" s="30" t="s">
        <v>49</v>
      </c>
    </row>
    <row r="622" spans="1:49">
      <c r="A622" s="6" t="s">
        <v>274</v>
      </c>
      <c r="B622" s="6" t="s">
        <v>38</v>
      </c>
      <c r="C622" s="6" t="s">
        <v>49</v>
      </c>
      <c r="D622" s="6" t="s">
        <v>275</v>
      </c>
      <c r="E622" s="6" t="s">
        <v>295</v>
      </c>
      <c r="F622" s="6">
        <v>2018</v>
      </c>
      <c r="G622" s="6" t="s">
        <v>276</v>
      </c>
      <c r="H622" s="6" t="s">
        <v>277</v>
      </c>
      <c r="I622" s="6" t="s">
        <v>278</v>
      </c>
      <c r="J622" s="6" t="str">
        <f t="shared" si="52"/>
        <v>Senecio_pinnatifolius</v>
      </c>
      <c r="K622" s="6" t="s">
        <v>279</v>
      </c>
      <c r="L622" s="6" t="s">
        <v>46</v>
      </c>
      <c r="M622" s="6" t="s">
        <v>49</v>
      </c>
      <c r="N622" s="6" t="s">
        <v>116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294</v>
      </c>
      <c r="T622" s="6" t="s">
        <v>294</v>
      </c>
      <c r="U622" s="6" t="s">
        <v>251</v>
      </c>
      <c r="V622" s="6" t="s">
        <v>280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285</v>
      </c>
      <c r="AE622" s="6" t="s">
        <v>289</v>
      </c>
      <c r="AF622" s="6" t="s">
        <v>49</v>
      </c>
      <c r="AG622" s="6" t="s">
        <v>49</v>
      </c>
      <c r="AH622" s="1" t="s">
        <v>183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6" t="s">
        <v>49</v>
      </c>
      <c r="AW622" s="30" t="s">
        <v>49</v>
      </c>
    </row>
    <row r="623" spans="1:49">
      <c r="A623" s="6" t="s">
        <v>274</v>
      </c>
      <c r="B623" s="6" t="s">
        <v>38</v>
      </c>
      <c r="C623" s="6" t="s">
        <v>49</v>
      </c>
      <c r="D623" s="6" t="s">
        <v>275</v>
      </c>
      <c r="E623" s="6" t="s">
        <v>295</v>
      </c>
      <c r="F623" s="6">
        <v>2018</v>
      </c>
      <c r="G623" s="6" t="s">
        <v>276</v>
      </c>
      <c r="H623" s="6" t="s">
        <v>277</v>
      </c>
      <c r="I623" s="6" t="s">
        <v>278</v>
      </c>
      <c r="J623" s="6" t="str">
        <f t="shared" si="52"/>
        <v>Senecio_pinnatifolius</v>
      </c>
      <c r="K623" s="6" t="s">
        <v>279</v>
      </c>
      <c r="L623" s="6" t="s">
        <v>46</v>
      </c>
      <c r="M623" s="6" t="s">
        <v>49</v>
      </c>
      <c r="N623" s="6" t="s">
        <v>116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294</v>
      </c>
      <c r="T623" s="6" t="s">
        <v>294</v>
      </c>
      <c r="U623" s="6" t="s">
        <v>251</v>
      </c>
      <c r="V623" s="6" t="s">
        <v>280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286</v>
      </c>
      <c r="AE623" s="6" t="s">
        <v>287</v>
      </c>
      <c r="AF623" s="6" t="s">
        <v>49</v>
      </c>
      <c r="AG623" s="6" t="s">
        <v>49</v>
      </c>
      <c r="AH623" s="1" t="s">
        <v>183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6" t="s">
        <v>49</v>
      </c>
      <c r="AW623" s="30" t="s">
        <v>49</v>
      </c>
    </row>
    <row r="624" spans="1:49">
      <c r="A624" s="6" t="s">
        <v>274</v>
      </c>
      <c r="B624" s="6" t="s">
        <v>38</v>
      </c>
      <c r="C624" s="6" t="s">
        <v>49</v>
      </c>
      <c r="D624" s="6" t="s">
        <v>275</v>
      </c>
      <c r="E624" s="6" t="s">
        <v>295</v>
      </c>
      <c r="F624" s="6">
        <v>2018</v>
      </c>
      <c r="G624" s="6" t="s">
        <v>276</v>
      </c>
      <c r="H624" s="6" t="s">
        <v>277</v>
      </c>
      <c r="I624" s="6" t="s">
        <v>278</v>
      </c>
      <c r="J624" s="6" t="str">
        <f t="shared" si="52"/>
        <v>Senecio_pinnatifolius</v>
      </c>
      <c r="K624" s="6" t="s">
        <v>279</v>
      </c>
      <c r="L624" s="6" t="s">
        <v>46</v>
      </c>
      <c r="M624" s="6" t="s">
        <v>49</v>
      </c>
      <c r="N624" s="6" t="s">
        <v>116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294</v>
      </c>
      <c r="T624" s="6" t="s">
        <v>294</v>
      </c>
      <c r="U624" s="6" t="s">
        <v>251</v>
      </c>
      <c r="V624" s="6" t="s">
        <v>280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286</v>
      </c>
      <c r="AE624" s="6" t="s">
        <v>288</v>
      </c>
      <c r="AF624" s="6" t="s">
        <v>49</v>
      </c>
      <c r="AG624" s="6" t="s">
        <v>49</v>
      </c>
      <c r="AH624" s="1" t="s">
        <v>183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6" t="s">
        <v>49</v>
      </c>
      <c r="AW624" s="30" t="s">
        <v>49</v>
      </c>
    </row>
    <row r="625" spans="1:49">
      <c r="A625" s="6" t="s">
        <v>274</v>
      </c>
      <c r="B625" s="6" t="s">
        <v>38</v>
      </c>
      <c r="C625" s="6" t="s">
        <v>49</v>
      </c>
      <c r="D625" s="6" t="s">
        <v>275</v>
      </c>
      <c r="E625" s="6" t="s">
        <v>295</v>
      </c>
      <c r="F625" s="6">
        <v>2018</v>
      </c>
      <c r="G625" s="6" t="s">
        <v>276</v>
      </c>
      <c r="H625" s="6" t="s">
        <v>277</v>
      </c>
      <c r="I625" s="6" t="s">
        <v>278</v>
      </c>
      <c r="J625" s="6" t="str">
        <f t="shared" si="52"/>
        <v>Senecio_pinnatifolius</v>
      </c>
      <c r="K625" s="6" t="s">
        <v>279</v>
      </c>
      <c r="L625" s="6" t="s">
        <v>46</v>
      </c>
      <c r="M625" s="6" t="s">
        <v>49</v>
      </c>
      <c r="N625" s="6" t="s">
        <v>116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294</v>
      </c>
      <c r="T625" s="6" t="s">
        <v>294</v>
      </c>
      <c r="U625" s="6" t="s">
        <v>251</v>
      </c>
      <c r="V625" s="6" t="s">
        <v>280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286</v>
      </c>
      <c r="AE625" s="6" t="s">
        <v>289</v>
      </c>
      <c r="AF625" s="6" t="s">
        <v>49</v>
      </c>
      <c r="AG625" s="6" t="s">
        <v>49</v>
      </c>
      <c r="AH625" s="1" t="s">
        <v>183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6" t="s">
        <v>49</v>
      </c>
      <c r="AW625" s="30" t="s">
        <v>49</v>
      </c>
    </row>
    <row r="626" spans="1:49">
      <c r="A626" s="6" t="s">
        <v>274</v>
      </c>
      <c r="B626" s="6" t="s">
        <v>38</v>
      </c>
      <c r="C626" s="6" t="s">
        <v>49</v>
      </c>
      <c r="D626" s="6" t="s">
        <v>275</v>
      </c>
      <c r="E626" s="6" t="s">
        <v>295</v>
      </c>
      <c r="F626" s="6">
        <v>2018</v>
      </c>
      <c r="G626" s="6" t="s">
        <v>276</v>
      </c>
      <c r="H626" s="6" t="s">
        <v>277</v>
      </c>
      <c r="I626" s="6" t="s">
        <v>278</v>
      </c>
      <c r="J626" s="6" t="str">
        <f t="shared" si="52"/>
        <v>Senecio_pinnatifolius</v>
      </c>
      <c r="K626" s="6" t="s">
        <v>279</v>
      </c>
      <c r="L626" s="6" t="s">
        <v>46</v>
      </c>
      <c r="M626" s="6" t="s">
        <v>49</v>
      </c>
      <c r="N626" s="6" t="s">
        <v>116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294</v>
      </c>
      <c r="T626" s="6" t="s">
        <v>294</v>
      </c>
      <c r="U626" s="6" t="s">
        <v>251</v>
      </c>
      <c r="V626" s="6" t="s">
        <v>280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287</v>
      </c>
      <c r="AE626" s="6" t="s">
        <v>288</v>
      </c>
      <c r="AF626" s="6" t="s">
        <v>49</v>
      </c>
      <c r="AG626" s="6" t="s">
        <v>49</v>
      </c>
      <c r="AH626" s="1" t="s">
        <v>183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6" t="s">
        <v>49</v>
      </c>
      <c r="AW626" s="30" t="s">
        <v>49</v>
      </c>
    </row>
    <row r="627" spans="1:49">
      <c r="A627" s="6" t="s">
        <v>274</v>
      </c>
      <c r="B627" s="6" t="s">
        <v>38</v>
      </c>
      <c r="C627" s="6" t="s">
        <v>49</v>
      </c>
      <c r="D627" s="6" t="s">
        <v>275</v>
      </c>
      <c r="E627" s="6" t="s">
        <v>295</v>
      </c>
      <c r="F627" s="6">
        <v>2018</v>
      </c>
      <c r="G627" s="6" t="s">
        <v>276</v>
      </c>
      <c r="H627" s="6" t="s">
        <v>277</v>
      </c>
      <c r="I627" s="6" t="s">
        <v>278</v>
      </c>
      <c r="J627" s="6" t="str">
        <f t="shared" si="52"/>
        <v>Senecio_pinnatifolius</v>
      </c>
      <c r="K627" s="6" t="s">
        <v>279</v>
      </c>
      <c r="L627" s="6" t="s">
        <v>46</v>
      </c>
      <c r="M627" s="6" t="s">
        <v>49</v>
      </c>
      <c r="N627" s="6" t="s">
        <v>116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294</v>
      </c>
      <c r="T627" s="6" t="s">
        <v>294</v>
      </c>
      <c r="U627" s="6" t="s">
        <v>251</v>
      </c>
      <c r="V627" s="6" t="s">
        <v>280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287</v>
      </c>
      <c r="AE627" s="6" t="s">
        <v>289</v>
      </c>
      <c r="AF627" s="6" t="s">
        <v>49</v>
      </c>
      <c r="AG627" s="6" t="s">
        <v>49</v>
      </c>
      <c r="AH627" s="1" t="s">
        <v>183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6" t="s">
        <v>49</v>
      </c>
      <c r="AW627" s="30" t="s">
        <v>49</v>
      </c>
    </row>
    <row r="628" spans="1:49">
      <c r="A628" s="6" t="s">
        <v>274</v>
      </c>
      <c r="B628" s="6" t="s">
        <v>38</v>
      </c>
      <c r="C628" s="6" t="s">
        <v>49</v>
      </c>
      <c r="D628" s="6" t="s">
        <v>275</v>
      </c>
      <c r="E628" s="6" t="s">
        <v>295</v>
      </c>
      <c r="F628" s="6">
        <v>2018</v>
      </c>
      <c r="G628" s="6" t="s">
        <v>276</v>
      </c>
      <c r="H628" s="6" t="s">
        <v>277</v>
      </c>
      <c r="I628" s="6" t="s">
        <v>278</v>
      </c>
      <c r="J628" s="6" t="str">
        <f t="shared" si="52"/>
        <v>Senecio_pinnatifolius</v>
      </c>
      <c r="K628" s="6" t="s">
        <v>279</v>
      </c>
      <c r="L628" s="6" t="s">
        <v>46</v>
      </c>
      <c r="M628" s="6" t="s">
        <v>49</v>
      </c>
      <c r="N628" s="6" t="s">
        <v>116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294</v>
      </c>
      <c r="T628" s="6" t="s">
        <v>294</v>
      </c>
      <c r="U628" s="6" t="s">
        <v>251</v>
      </c>
      <c r="V628" s="6" t="s">
        <v>280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288</v>
      </c>
      <c r="AE628" s="6" t="s">
        <v>289</v>
      </c>
      <c r="AF628" s="6" t="s">
        <v>49</v>
      </c>
      <c r="AG628" s="6" t="s">
        <v>49</v>
      </c>
      <c r="AH628" s="1" t="s">
        <v>183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6" t="s">
        <v>49</v>
      </c>
      <c r="AW628" s="30" t="s">
        <v>49</v>
      </c>
    </row>
    <row r="629" spans="1:49">
      <c r="A629" s="6" t="s">
        <v>274</v>
      </c>
      <c r="B629" s="6" t="s">
        <v>38</v>
      </c>
      <c r="C629" s="6" t="s">
        <v>49</v>
      </c>
      <c r="D629" s="6" t="s">
        <v>275</v>
      </c>
      <c r="E629" s="6" t="s">
        <v>295</v>
      </c>
      <c r="F629" s="6">
        <v>2018</v>
      </c>
      <c r="G629" s="6" t="s">
        <v>276</v>
      </c>
      <c r="H629" s="6" t="s">
        <v>277</v>
      </c>
      <c r="I629" s="6" t="s">
        <v>278</v>
      </c>
      <c r="J629" s="6" t="str">
        <f>H629&amp;"_"&amp;I629</f>
        <v>Senecio_pinnatifolius</v>
      </c>
      <c r="K629" s="6" t="s">
        <v>279</v>
      </c>
      <c r="L629" s="6" t="s">
        <v>46</v>
      </c>
      <c r="M629" s="6" t="s">
        <v>49</v>
      </c>
      <c r="N629" s="6" t="s">
        <v>116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294</v>
      </c>
      <c r="T629" s="6" t="s">
        <v>294</v>
      </c>
      <c r="U629" s="6" t="s">
        <v>251</v>
      </c>
      <c r="V629" s="6" t="s">
        <v>690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127</v>
      </c>
      <c r="AB629" s="6" t="s">
        <v>241</v>
      </c>
      <c r="AC629" s="6" t="s">
        <v>242</v>
      </c>
      <c r="AD629" s="6" t="s">
        <v>242</v>
      </c>
      <c r="AE629" s="6" t="s">
        <v>242</v>
      </c>
      <c r="AF629" s="6" t="s">
        <v>60</v>
      </c>
      <c r="AG629" s="6" t="s">
        <v>61</v>
      </c>
      <c r="AH629" s="1" t="s">
        <v>183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 t="s">
        <v>49</v>
      </c>
      <c r="AS629" s="6">
        <f>AN629*AL629</f>
        <v>2313.4622490000002</v>
      </c>
      <c r="AT629" s="6">
        <f>AS629/(AM629^2)*100</f>
        <v>0.73600423512707591</v>
      </c>
      <c r="AU629" s="6" t="s">
        <v>49</v>
      </c>
      <c r="AV629" s="4">
        <f>AT629*(1-AL629)/AL629</f>
        <v>1.4160549319111575</v>
      </c>
      <c r="AW629" s="30" t="s">
        <v>49</v>
      </c>
    </row>
    <row r="630" spans="1:49">
      <c r="A630" s="6" t="s">
        <v>274</v>
      </c>
      <c r="B630" s="6" t="s">
        <v>38</v>
      </c>
      <c r="C630" s="6" t="s">
        <v>49</v>
      </c>
      <c r="D630" s="6" t="s">
        <v>275</v>
      </c>
      <c r="E630" s="6" t="s">
        <v>295</v>
      </c>
      <c r="F630" s="6">
        <v>2018</v>
      </c>
      <c r="G630" s="6" t="s">
        <v>276</v>
      </c>
      <c r="H630" s="6" t="s">
        <v>277</v>
      </c>
      <c r="I630" s="6" t="s">
        <v>278</v>
      </c>
      <c r="J630" s="6" t="str">
        <f>H630&amp;"_"&amp;I630</f>
        <v>Senecio_pinnatifolius</v>
      </c>
      <c r="K630" s="6" t="s">
        <v>279</v>
      </c>
      <c r="L630" s="6" t="s">
        <v>46</v>
      </c>
      <c r="M630" s="6" t="s">
        <v>49</v>
      </c>
      <c r="N630" s="6" t="s">
        <v>116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294</v>
      </c>
      <c r="T630" s="6" t="s">
        <v>294</v>
      </c>
      <c r="U630" s="6" t="s">
        <v>251</v>
      </c>
      <c r="V630" s="6" t="s">
        <v>690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127</v>
      </c>
      <c r="AB630" s="6" t="s">
        <v>292</v>
      </c>
      <c r="AC630" s="6" t="s">
        <v>292</v>
      </c>
      <c r="AD630" s="6" t="s">
        <v>281</v>
      </c>
      <c r="AE630" s="6" t="s">
        <v>281</v>
      </c>
      <c r="AF630" s="6" t="s">
        <v>60</v>
      </c>
      <c r="AG630" s="6" t="s">
        <v>60</v>
      </c>
      <c r="AH630" s="1" t="s">
        <v>183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 t="s">
        <v>49</v>
      </c>
      <c r="AS630" s="6">
        <f t="shared" ref="AS630:AS638" si="53">AN630*AL630</f>
        <v>1.8746000000000002E-2</v>
      </c>
      <c r="AT630" s="6">
        <f t="shared" ref="AT630:AT638" si="54">AS630/(AM630^2)*100</f>
        <v>2.278736131691645</v>
      </c>
      <c r="AU630" s="6" t="s">
        <v>49</v>
      </c>
      <c r="AV630" s="4">
        <f t="shared" ref="AV630:AV638" si="55">AT630*(1-AL630)/AL630</f>
        <v>2.7294751467515304</v>
      </c>
      <c r="AW630" s="30" t="s">
        <v>49</v>
      </c>
    </row>
    <row r="631" spans="1:49">
      <c r="A631" s="6" t="s">
        <v>274</v>
      </c>
      <c r="B631" s="6" t="s">
        <v>38</v>
      </c>
      <c r="C631" s="6" t="s">
        <v>49</v>
      </c>
      <c r="D631" s="6" t="s">
        <v>275</v>
      </c>
      <c r="E631" s="6" t="s">
        <v>295</v>
      </c>
      <c r="F631" s="6">
        <v>2018</v>
      </c>
      <c r="G631" s="6" t="s">
        <v>276</v>
      </c>
      <c r="H631" s="6" t="s">
        <v>277</v>
      </c>
      <c r="I631" s="6" t="s">
        <v>278</v>
      </c>
      <c r="J631" s="6" t="str">
        <f t="shared" ref="J631:J683" si="56">H631&amp;"_"&amp;I631</f>
        <v>Senecio_pinnatifolius</v>
      </c>
      <c r="K631" s="6" t="s">
        <v>279</v>
      </c>
      <c r="L631" s="6" t="s">
        <v>46</v>
      </c>
      <c r="M631" s="6" t="s">
        <v>49</v>
      </c>
      <c r="N631" s="6" t="s">
        <v>116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294</v>
      </c>
      <c r="T631" s="6" t="s">
        <v>294</v>
      </c>
      <c r="U631" s="6" t="s">
        <v>251</v>
      </c>
      <c r="V631" s="6" t="s">
        <v>690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127</v>
      </c>
      <c r="AB631" s="6" t="s">
        <v>241</v>
      </c>
      <c r="AC631" s="6" t="s">
        <v>291</v>
      </c>
      <c r="AD631" s="6" t="s">
        <v>282</v>
      </c>
      <c r="AE631" s="6" t="s">
        <v>282</v>
      </c>
      <c r="AF631" s="6" t="s">
        <v>60</v>
      </c>
      <c r="AG631" s="6" t="s">
        <v>53</v>
      </c>
      <c r="AH631" s="1" t="s">
        <v>183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 t="s">
        <v>49</v>
      </c>
      <c r="AS631" s="6">
        <f t="shared" si="53"/>
        <v>1.453573</v>
      </c>
      <c r="AT631" s="6">
        <f t="shared" si="54"/>
        <v>0.27925174856175039</v>
      </c>
      <c r="AU631" s="6" t="s">
        <v>49</v>
      </c>
      <c r="AV631" s="4">
        <f t="shared" si="55"/>
        <v>0.87468109673473893</v>
      </c>
      <c r="AW631" s="30" t="s">
        <v>49</v>
      </c>
    </row>
    <row r="632" spans="1:49">
      <c r="A632" s="6" t="s">
        <v>274</v>
      </c>
      <c r="B632" s="6" t="s">
        <v>38</v>
      </c>
      <c r="C632" s="6" t="s">
        <v>49</v>
      </c>
      <c r="D632" s="6" t="s">
        <v>275</v>
      </c>
      <c r="E632" s="6" t="s">
        <v>295</v>
      </c>
      <c r="F632" s="6">
        <v>2018</v>
      </c>
      <c r="G632" s="6" t="s">
        <v>276</v>
      </c>
      <c r="H632" s="6" t="s">
        <v>277</v>
      </c>
      <c r="I632" s="6" t="s">
        <v>278</v>
      </c>
      <c r="J632" s="6" t="str">
        <f t="shared" si="56"/>
        <v>Senecio_pinnatifolius</v>
      </c>
      <c r="K632" s="6" t="s">
        <v>279</v>
      </c>
      <c r="L632" s="6" t="s">
        <v>46</v>
      </c>
      <c r="M632" s="6" t="s">
        <v>49</v>
      </c>
      <c r="N632" s="6" t="s">
        <v>116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294</v>
      </c>
      <c r="T632" s="6" t="s">
        <v>294</v>
      </c>
      <c r="U632" s="6" t="s">
        <v>251</v>
      </c>
      <c r="V632" s="6" t="s">
        <v>690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127</v>
      </c>
      <c r="AB632" s="6" t="s">
        <v>241</v>
      </c>
      <c r="AC632" s="6" t="s">
        <v>290</v>
      </c>
      <c r="AD632" s="6" t="s">
        <v>283</v>
      </c>
      <c r="AE632" s="6" t="s">
        <v>283</v>
      </c>
      <c r="AF632" s="6" t="s">
        <v>60</v>
      </c>
      <c r="AG632" s="6" t="s">
        <v>61</v>
      </c>
      <c r="AH632" s="1" t="s">
        <v>183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 t="s">
        <v>49</v>
      </c>
      <c r="AS632" s="6">
        <f t="shared" si="53"/>
        <v>0.40023480000000006</v>
      </c>
      <c r="AT632" s="6">
        <f t="shared" si="54"/>
        <v>0.85272090938932199</v>
      </c>
      <c r="AU632" s="6" t="s">
        <v>49</v>
      </c>
      <c r="AV632" s="4">
        <f t="shared" si="55"/>
        <v>0.19742799379949813</v>
      </c>
      <c r="AW632" s="30" t="s">
        <v>49</v>
      </c>
    </row>
    <row r="633" spans="1:49">
      <c r="A633" s="6" t="s">
        <v>274</v>
      </c>
      <c r="B633" s="6" t="s">
        <v>38</v>
      </c>
      <c r="C633" s="6" t="s">
        <v>49</v>
      </c>
      <c r="D633" s="6" t="s">
        <v>275</v>
      </c>
      <c r="E633" s="6" t="s">
        <v>295</v>
      </c>
      <c r="F633" s="6">
        <v>2018</v>
      </c>
      <c r="G633" s="6" t="s">
        <v>276</v>
      </c>
      <c r="H633" s="6" t="s">
        <v>277</v>
      </c>
      <c r="I633" s="6" t="s">
        <v>278</v>
      </c>
      <c r="J633" s="6" t="str">
        <f t="shared" si="56"/>
        <v>Senecio_pinnatifolius</v>
      </c>
      <c r="K633" s="6" t="s">
        <v>279</v>
      </c>
      <c r="L633" s="6" t="s">
        <v>46</v>
      </c>
      <c r="M633" s="6" t="s">
        <v>49</v>
      </c>
      <c r="N633" s="6" t="s">
        <v>116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294</v>
      </c>
      <c r="T633" s="6" t="s">
        <v>294</v>
      </c>
      <c r="U633" s="6" t="s">
        <v>251</v>
      </c>
      <c r="V633" s="6" t="s">
        <v>690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127</v>
      </c>
      <c r="AB633" s="6" t="s">
        <v>239</v>
      </c>
      <c r="AC633" s="6" t="s">
        <v>284</v>
      </c>
      <c r="AD633" s="6" t="s">
        <v>284</v>
      </c>
      <c r="AE633" s="6" t="s">
        <v>284</v>
      </c>
      <c r="AF633" s="6" t="s">
        <v>60</v>
      </c>
      <c r="AG633" s="6" t="s">
        <v>129</v>
      </c>
      <c r="AH633" s="1" t="s">
        <v>183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 t="s">
        <v>49</v>
      </c>
      <c r="AS633" s="6">
        <f t="shared" si="53"/>
        <v>57536.832213999995</v>
      </c>
      <c r="AT633" s="6">
        <f t="shared" si="54"/>
        <v>2.7407443221666794</v>
      </c>
      <c r="AU633" s="6" t="s">
        <v>49</v>
      </c>
      <c r="AV633" s="4">
        <f t="shared" si="55"/>
        <v>8.8725790768446746</v>
      </c>
      <c r="AW633" s="30" t="s">
        <v>49</v>
      </c>
    </row>
    <row r="634" spans="1:49">
      <c r="A634" s="6" t="s">
        <v>274</v>
      </c>
      <c r="B634" s="6" t="s">
        <v>38</v>
      </c>
      <c r="C634" s="6" t="s">
        <v>49</v>
      </c>
      <c r="D634" s="6" t="s">
        <v>275</v>
      </c>
      <c r="E634" s="6" t="s">
        <v>295</v>
      </c>
      <c r="F634" s="6">
        <v>2018</v>
      </c>
      <c r="G634" s="6" t="s">
        <v>276</v>
      </c>
      <c r="H634" s="6" t="s">
        <v>277</v>
      </c>
      <c r="I634" s="6" t="s">
        <v>278</v>
      </c>
      <c r="J634" s="6" t="str">
        <f t="shared" si="56"/>
        <v>Senecio_pinnatifolius</v>
      </c>
      <c r="K634" s="6" t="s">
        <v>279</v>
      </c>
      <c r="L634" s="6" t="s">
        <v>46</v>
      </c>
      <c r="M634" s="6" t="s">
        <v>49</v>
      </c>
      <c r="N634" s="6" t="s">
        <v>116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294</v>
      </c>
      <c r="T634" s="6" t="s">
        <v>294</v>
      </c>
      <c r="U634" s="6" t="s">
        <v>251</v>
      </c>
      <c r="V634" s="6" t="s">
        <v>690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127</v>
      </c>
      <c r="AB634" s="6" t="s">
        <v>292</v>
      </c>
      <c r="AC634" s="6" t="s">
        <v>292</v>
      </c>
      <c r="AD634" s="6" t="s">
        <v>285</v>
      </c>
      <c r="AE634" s="6" t="s">
        <v>285</v>
      </c>
      <c r="AF634" s="6" t="s">
        <v>60</v>
      </c>
      <c r="AG634" s="6" t="s">
        <v>60</v>
      </c>
      <c r="AH634" s="1" t="s">
        <v>183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 t="s">
        <v>49</v>
      </c>
      <c r="AS634" s="6">
        <f t="shared" si="53"/>
        <v>4.2999999999999995E-5</v>
      </c>
      <c r="AT634" s="6">
        <f t="shared" si="54"/>
        <v>2.6874999999999996</v>
      </c>
      <c r="AU634" s="6" t="s">
        <v>49</v>
      </c>
      <c r="AV634" s="4">
        <f t="shared" si="55"/>
        <v>28.562499999999996</v>
      </c>
      <c r="AW634" s="30" t="s">
        <v>49</v>
      </c>
    </row>
    <row r="635" spans="1:49">
      <c r="A635" s="6" t="s">
        <v>274</v>
      </c>
      <c r="B635" s="6" t="s">
        <v>38</v>
      </c>
      <c r="C635" s="6" t="s">
        <v>49</v>
      </c>
      <c r="D635" s="6" t="s">
        <v>275</v>
      </c>
      <c r="E635" s="6" t="s">
        <v>295</v>
      </c>
      <c r="F635" s="6">
        <v>2018</v>
      </c>
      <c r="G635" s="6" t="s">
        <v>276</v>
      </c>
      <c r="H635" s="6" t="s">
        <v>277</v>
      </c>
      <c r="I635" s="6" t="s">
        <v>278</v>
      </c>
      <c r="J635" s="6" t="str">
        <f t="shared" si="56"/>
        <v>Senecio_pinnatifolius</v>
      </c>
      <c r="K635" s="6" t="s">
        <v>279</v>
      </c>
      <c r="L635" s="6" t="s">
        <v>46</v>
      </c>
      <c r="M635" s="6" t="s">
        <v>49</v>
      </c>
      <c r="N635" s="6" t="s">
        <v>116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294</v>
      </c>
      <c r="T635" s="6" t="s">
        <v>294</v>
      </c>
      <c r="U635" s="6" t="s">
        <v>251</v>
      </c>
      <c r="V635" s="6" t="s">
        <v>690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127</v>
      </c>
      <c r="AB635" s="6" t="s">
        <v>292</v>
      </c>
      <c r="AC635" s="6" t="s">
        <v>292</v>
      </c>
      <c r="AD635" s="6" t="s">
        <v>286</v>
      </c>
      <c r="AE635" s="6" t="s">
        <v>286</v>
      </c>
      <c r="AF635" s="6" t="s">
        <v>49</v>
      </c>
      <c r="AG635" s="6" t="s">
        <v>49</v>
      </c>
      <c r="AH635" s="1" t="s">
        <v>183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 t="s">
        <v>49</v>
      </c>
      <c r="AS635" s="6">
        <f t="shared" si="53"/>
        <v>15.576880200000002</v>
      </c>
      <c r="AT635" s="6">
        <f t="shared" si="54"/>
        <v>0.56319348478824516</v>
      </c>
      <c r="AU635" s="6" t="s">
        <v>49</v>
      </c>
      <c r="AV635" s="4">
        <f t="shared" si="55"/>
        <v>1.5540752550171877</v>
      </c>
      <c r="AW635" s="30" t="s">
        <v>49</v>
      </c>
    </row>
    <row r="636" spans="1:49">
      <c r="A636" s="6" t="s">
        <v>274</v>
      </c>
      <c r="B636" s="6" t="s">
        <v>38</v>
      </c>
      <c r="C636" s="6" t="s">
        <v>49</v>
      </c>
      <c r="D636" s="6" t="s">
        <v>275</v>
      </c>
      <c r="E636" s="6" t="s">
        <v>295</v>
      </c>
      <c r="F636" s="6">
        <v>2018</v>
      </c>
      <c r="G636" s="6" t="s">
        <v>276</v>
      </c>
      <c r="H636" s="6" t="s">
        <v>277</v>
      </c>
      <c r="I636" s="6" t="s">
        <v>278</v>
      </c>
      <c r="J636" s="6" t="str">
        <f t="shared" si="56"/>
        <v>Senecio_pinnatifolius</v>
      </c>
      <c r="K636" s="6" t="s">
        <v>279</v>
      </c>
      <c r="L636" s="6" t="s">
        <v>46</v>
      </c>
      <c r="M636" s="6" t="s">
        <v>49</v>
      </c>
      <c r="N636" s="6" t="s">
        <v>116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294</v>
      </c>
      <c r="T636" s="6" t="s">
        <v>294</v>
      </c>
      <c r="U636" s="6" t="s">
        <v>251</v>
      </c>
      <c r="V636" s="6" t="s">
        <v>690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127</v>
      </c>
      <c r="AB636" s="6" t="s">
        <v>292</v>
      </c>
      <c r="AC636" s="6" t="s">
        <v>292</v>
      </c>
      <c r="AD636" s="6" t="s">
        <v>287</v>
      </c>
      <c r="AE636" s="6" t="s">
        <v>287</v>
      </c>
      <c r="AF636" s="6" t="s">
        <v>60</v>
      </c>
      <c r="AG636" s="6" t="s">
        <v>53</v>
      </c>
      <c r="AH636" s="1" t="s">
        <v>183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 t="s">
        <v>49</v>
      </c>
      <c r="AS636" s="6">
        <f t="shared" si="53"/>
        <v>9.8999999999999994E-5</v>
      </c>
      <c r="AT636" s="6">
        <f t="shared" si="54"/>
        <v>0.35497866542364365</v>
      </c>
      <c r="AU636" s="6" t="s">
        <v>49</v>
      </c>
      <c r="AV636" s="4">
        <f t="shared" si="55"/>
        <v>1.7964071856287418</v>
      </c>
      <c r="AW636" s="30" t="s">
        <v>49</v>
      </c>
    </row>
    <row r="637" spans="1:49">
      <c r="A637" s="6" t="s">
        <v>274</v>
      </c>
      <c r="B637" s="6" t="s">
        <v>38</v>
      </c>
      <c r="C637" s="6" t="s">
        <v>49</v>
      </c>
      <c r="D637" s="6" t="s">
        <v>275</v>
      </c>
      <c r="E637" s="6" t="s">
        <v>295</v>
      </c>
      <c r="F637" s="6">
        <v>2018</v>
      </c>
      <c r="G637" s="6" t="s">
        <v>276</v>
      </c>
      <c r="H637" s="6" t="s">
        <v>277</v>
      </c>
      <c r="I637" s="6" t="s">
        <v>278</v>
      </c>
      <c r="J637" s="6" t="str">
        <f t="shared" si="56"/>
        <v>Senecio_pinnatifolius</v>
      </c>
      <c r="K637" s="6" t="s">
        <v>279</v>
      </c>
      <c r="L637" s="6" t="s">
        <v>46</v>
      </c>
      <c r="M637" s="6" t="s">
        <v>49</v>
      </c>
      <c r="N637" s="6" t="s">
        <v>116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294</v>
      </c>
      <c r="T637" s="6" t="s">
        <v>294</v>
      </c>
      <c r="U637" s="6" t="s">
        <v>251</v>
      </c>
      <c r="V637" s="6" t="s">
        <v>690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127</v>
      </c>
      <c r="AB637" s="6" t="s">
        <v>239</v>
      </c>
      <c r="AC637" s="6" t="s">
        <v>293</v>
      </c>
      <c r="AD637" s="6" t="s">
        <v>288</v>
      </c>
      <c r="AE637" s="6" t="s">
        <v>288</v>
      </c>
      <c r="AF637" s="6" t="s">
        <v>60</v>
      </c>
      <c r="AG637" s="6" t="s">
        <v>61</v>
      </c>
      <c r="AH637" s="1" t="s">
        <v>183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 t="s">
        <v>49</v>
      </c>
      <c r="AS637" s="6">
        <f t="shared" si="53"/>
        <v>0.18295460000000002</v>
      </c>
      <c r="AT637" s="6">
        <f t="shared" si="54"/>
        <v>0.8582693118992355</v>
      </c>
      <c r="AU637" s="6" t="s">
        <v>49</v>
      </c>
      <c r="AV637" s="4">
        <f t="shared" si="55"/>
        <v>2.4175677564184572</v>
      </c>
      <c r="AW637" s="30" t="s">
        <v>49</v>
      </c>
    </row>
    <row r="638" spans="1:49">
      <c r="A638" s="6" t="s">
        <v>274</v>
      </c>
      <c r="B638" s="6" t="s">
        <v>38</v>
      </c>
      <c r="C638" s="6" t="s">
        <v>49</v>
      </c>
      <c r="D638" s="6" t="s">
        <v>275</v>
      </c>
      <c r="E638" s="6" t="s">
        <v>295</v>
      </c>
      <c r="F638" s="6">
        <v>2018</v>
      </c>
      <c r="G638" s="6" t="s">
        <v>276</v>
      </c>
      <c r="H638" s="6" t="s">
        <v>277</v>
      </c>
      <c r="I638" s="6" t="s">
        <v>278</v>
      </c>
      <c r="J638" s="6" t="str">
        <f t="shared" si="56"/>
        <v>Senecio_pinnatifolius</v>
      </c>
      <c r="K638" s="6" t="s">
        <v>279</v>
      </c>
      <c r="L638" s="6" t="s">
        <v>46</v>
      </c>
      <c r="M638" s="6" t="s">
        <v>49</v>
      </c>
      <c r="N638" s="6" t="s">
        <v>116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294</v>
      </c>
      <c r="T638" s="6" t="s">
        <v>294</v>
      </c>
      <c r="U638" s="6" t="s">
        <v>251</v>
      </c>
      <c r="V638" s="6" t="s">
        <v>690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127</v>
      </c>
      <c r="AB638" s="6" t="s">
        <v>239</v>
      </c>
      <c r="AC638" s="6" t="s">
        <v>293</v>
      </c>
      <c r="AD638" s="6" t="s">
        <v>289</v>
      </c>
      <c r="AE638" s="6" t="s">
        <v>289</v>
      </c>
      <c r="AF638" s="6" t="s">
        <v>60</v>
      </c>
      <c r="AG638" s="6" t="s">
        <v>61</v>
      </c>
      <c r="AH638" s="1" t="s">
        <v>183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 t="s">
        <v>49</v>
      </c>
      <c r="AS638" s="6">
        <f t="shared" si="53"/>
        <v>2.6265400000000001E-2</v>
      </c>
      <c r="AT638" s="6">
        <f t="shared" si="54"/>
        <v>1.9286006421962436</v>
      </c>
      <c r="AU638" s="6" t="s">
        <v>49</v>
      </c>
      <c r="AV638" s="4">
        <f t="shared" si="55"/>
        <v>1.8235406850338023</v>
      </c>
      <c r="AW638" s="30" t="s">
        <v>49</v>
      </c>
    </row>
    <row r="639" spans="1:49">
      <c r="A639" s="6" t="s">
        <v>274</v>
      </c>
      <c r="B639" s="6" t="s">
        <v>38</v>
      </c>
      <c r="C639" s="6" t="s">
        <v>49</v>
      </c>
      <c r="D639" s="6" t="s">
        <v>275</v>
      </c>
      <c r="E639" s="6" t="s">
        <v>295</v>
      </c>
      <c r="F639" s="6">
        <v>2018</v>
      </c>
      <c r="G639" s="6" t="s">
        <v>276</v>
      </c>
      <c r="H639" s="6" t="s">
        <v>277</v>
      </c>
      <c r="I639" s="6" t="s">
        <v>278</v>
      </c>
      <c r="J639" s="6" t="str">
        <f t="shared" si="56"/>
        <v>Senecio_pinnatifolius</v>
      </c>
      <c r="K639" s="6" t="s">
        <v>279</v>
      </c>
      <c r="L639" s="6" t="s">
        <v>46</v>
      </c>
      <c r="M639" s="6" t="s">
        <v>49</v>
      </c>
      <c r="N639" s="6" t="s">
        <v>116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294</v>
      </c>
      <c r="T639" s="6" t="s">
        <v>294</v>
      </c>
      <c r="U639" s="6" t="s">
        <v>251</v>
      </c>
      <c r="V639" s="6" t="s">
        <v>690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242</v>
      </c>
      <c r="AE639" s="6" t="s">
        <v>281</v>
      </c>
      <c r="AF639" s="6" t="s">
        <v>49</v>
      </c>
      <c r="AG639" s="6" t="s">
        <v>49</v>
      </c>
      <c r="AH639" s="1" t="s">
        <v>183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6" t="s">
        <v>49</v>
      </c>
      <c r="AW639" s="30" t="s">
        <v>49</v>
      </c>
    </row>
    <row r="640" spans="1:49">
      <c r="A640" s="6" t="s">
        <v>274</v>
      </c>
      <c r="B640" s="6" t="s">
        <v>38</v>
      </c>
      <c r="C640" s="6" t="s">
        <v>49</v>
      </c>
      <c r="D640" s="6" t="s">
        <v>275</v>
      </c>
      <c r="E640" s="6" t="s">
        <v>295</v>
      </c>
      <c r="F640" s="6">
        <v>2018</v>
      </c>
      <c r="G640" s="6" t="s">
        <v>276</v>
      </c>
      <c r="H640" s="6" t="s">
        <v>277</v>
      </c>
      <c r="I640" s="6" t="s">
        <v>278</v>
      </c>
      <c r="J640" s="6" t="str">
        <f t="shared" si="56"/>
        <v>Senecio_pinnatifolius</v>
      </c>
      <c r="K640" s="6" t="s">
        <v>279</v>
      </c>
      <c r="L640" s="6" t="s">
        <v>46</v>
      </c>
      <c r="M640" s="6" t="s">
        <v>49</v>
      </c>
      <c r="N640" s="6" t="s">
        <v>116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294</v>
      </c>
      <c r="T640" s="6" t="s">
        <v>294</v>
      </c>
      <c r="U640" s="6" t="s">
        <v>251</v>
      </c>
      <c r="V640" s="6" t="s">
        <v>690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242</v>
      </c>
      <c r="AE640" s="6" t="s">
        <v>282</v>
      </c>
      <c r="AF640" s="6" t="s">
        <v>49</v>
      </c>
      <c r="AG640" s="6" t="s">
        <v>49</v>
      </c>
      <c r="AH640" s="1" t="s">
        <v>183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6" t="s">
        <v>49</v>
      </c>
      <c r="AW640" s="30" t="s">
        <v>49</v>
      </c>
    </row>
    <row r="641" spans="1:49">
      <c r="A641" s="6" t="s">
        <v>274</v>
      </c>
      <c r="B641" s="6" t="s">
        <v>38</v>
      </c>
      <c r="C641" s="6" t="s">
        <v>49</v>
      </c>
      <c r="D641" s="6" t="s">
        <v>275</v>
      </c>
      <c r="E641" s="6" t="s">
        <v>295</v>
      </c>
      <c r="F641" s="6">
        <v>2018</v>
      </c>
      <c r="G641" s="6" t="s">
        <v>276</v>
      </c>
      <c r="H641" s="6" t="s">
        <v>277</v>
      </c>
      <c r="I641" s="6" t="s">
        <v>278</v>
      </c>
      <c r="J641" s="6" t="str">
        <f t="shared" si="56"/>
        <v>Senecio_pinnatifolius</v>
      </c>
      <c r="K641" s="6" t="s">
        <v>279</v>
      </c>
      <c r="L641" s="6" t="s">
        <v>46</v>
      </c>
      <c r="M641" s="6" t="s">
        <v>49</v>
      </c>
      <c r="N641" s="6" t="s">
        <v>116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294</v>
      </c>
      <c r="T641" s="6" t="s">
        <v>294</v>
      </c>
      <c r="U641" s="6" t="s">
        <v>251</v>
      </c>
      <c r="V641" s="6" t="s">
        <v>690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242</v>
      </c>
      <c r="AE641" s="6" t="s">
        <v>283</v>
      </c>
      <c r="AF641" s="6" t="s">
        <v>49</v>
      </c>
      <c r="AG641" s="6" t="s">
        <v>49</v>
      </c>
      <c r="AH641" s="1" t="s">
        <v>183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6" t="s">
        <v>49</v>
      </c>
      <c r="AW641" s="30" t="s">
        <v>49</v>
      </c>
    </row>
    <row r="642" spans="1:49">
      <c r="A642" s="6" t="s">
        <v>274</v>
      </c>
      <c r="B642" s="6" t="s">
        <v>38</v>
      </c>
      <c r="C642" s="6" t="s">
        <v>49</v>
      </c>
      <c r="D642" s="6" t="s">
        <v>275</v>
      </c>
      <c r="E642" s="6" t="s">
        <v>295</v>
      </c>
      <c r="F642" s="6">
        <v>2018</v>
      </c>
      <c r="G642" s="6" t="s">
        <v>276</v>
      </c>
      <c r="H642" s="6" t="s">
        <v>277</v>
      </c>
      <c r="I642" s="6" t="s">
        <v>278</v>
      </c>
      <c r="J642" s="6" t="str">
        <f t="shared" si="56"/>
        <v>Senecio_pinnatifolius</v>
      </c>
      <c r="K642" s="6" t="s">
        <v>279</v>
      </c>
      <c r="L642" s="6" t="s">
        <v>46</v>
      </c>
      <c r="M642" s="6" t="s">
        <v>49</v>
      </c>
      <c r="N642" s="6" t="s">
        <v>116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294</v>
      </c>
      <c r="T642" s="6" t="s">
        <v>294</v>
      </c>
      <c r="U642" s="6" t="s">
        <v>251</v>
      </c>
      <c r="V642" s="6" t="s">
        <v>690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242</v>
      </c>
      <c r="AE642" s="6" t="s">
        <v>284</v>
      </c>
      <c r="AF642" s="6" t="s">
        <v>49</v>
      </c>
      <c r="AG642" s="6" t="s">
        <v>49</v>
      </c>
      <c r="AH642" s="1" t="s">
        <v>183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6" t="s">
        <v>49</v>
      </c>
      <c r="AW642" s="30" t="s">
        <v>49</v>
      </c>
    </row>
    <row r="643" spans="1:49">
      <c r="A643" s="6" t="s">
        <v>274</v>
      </c>
      <c r="B643" s="6" t="s">
        <v>38</v>
      </c>
      <c r="C643" s="6" t="s">
        <v>49</v>
      </c>
      <c r="D643" s="6" t="s">
        <v>275</v>
      </c>
      <c r="E643" s="6" t="s">
        <v>295</v>
      </c>
      <c r="F643" s="6">
        <v>2018</v>
      </c>
      <c r="G643" s="6" t="s">
        <v>276</v>
      </c>
      <c r="H643" s="6" t="s">
        <v>277</v>
      </c>
      <c r="I643" s="6" t="s">
        <v>278</v>
      </c>
      <c r="J643" s="6" t="str">
        <f t="shared" si="56"/>
        <v>Senecio_pinnatifolius</v>
      </c>
      <c r="K643" s="6" t="s">
        <v>279</v>
      </c>
      <c r="L643" s="6" t="s">
        <v>46</v>
      </c>
      <c r="M643" s="6" t="s">
        <v>49</v>
      </c>
      <c r="N643" s="6" t="s">
        <v>116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294</v>
      </c>
      <c r="T643" s="6" t="s">
        <v>294</v>
      </c>
      <c r="U643" s="6" t="s">
        <v>251</v>
      </c>
      <c r="V643" s="6" t="s">
        <v>690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242</v>
      </c>
      <c r="AE643" s="6" t="s">
        <v>285</v>
      </c>
      <c r="AF643" s="6" t="s">
        <v>49</v>
      </c>
      <c r="AG643" s="6" t="s">
        <v>49</v>
      </c>
      <c r="AH643" s="1" t="s">
        <v>183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6" t="s">
        <v>49</v>
      </c>
      <c r="AW643" s="30" t="s">
        <v>49</v>
      </c>
    </row>
    <row r="644" spans="1:49">
      <c r="A644" s="6" t="s">
        <v>274</v>
      </c>
      <c r="B644" s="6" t="s">
        <v>38</v>
      </c>
      <c r="C644" s="6" t="s">
        <v>49</v>
      </c>
      <c r="D644" s="6" t="s">
        <v>275</v>
      </c>
      <c r="E644" s="6" t="s">
        <v>295</v>
      </c>
      <c r="F644" s="6">
        <v>2018</v>
      </c>
      <c r="G644" s="6" t="s">
        <v>276</v>
      </c>
      <c r="H644" s="6" t="s">
        <v>277</v>
      </c>
      <c r="I644" s="6" t="s">
        <v>278</v>
      </c>
      <c r="J644" s="6" t="str">
        <f t="shared" si="56"/>
        <v>Senecio_pinnatifolius</v>
      </c>
      <c r="K644" s="6" t="s">
        <v>279</v>
      </c>
      <c r="L644" s="6" t="s">
        <v>46</v>
      </c>
      <c r="M644" s="6" t="s">
        <v>49</v>
      </c>
      <c r="N644" s="6" t="s">
        <v>116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294</v>
      </c>
      <c r="T644" s="6" t="s">
        <v>294</v>
      </c>
      <c r="U644" s="6" t="s">
        <v>251</v>
      </c>
      <c r="V644" s="6" t="s">
        <v>690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242</v>
      </c>
      <c r="AE644" s="6" t="s">
        <v>286</v>
      </c>
      <c r="AF644" s="6" t="s">
        <v>49</v>
      </c>
      <c r="AG644" s="6" t="s">
        <v>49</v>
      </c>
      <c r="AH644" s="1" t="s">
        <v>183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6" t="s">
        <v>49</v>
      </c>
      <c r="AW644" s="30" t="s">
        <v>49</v>
      </c>
    </row>
    <row r="645" spans="1:49">
      <c r="A645" s="6" t="s">
        <v>274</v>
      </c>
      <c r="B645" s="6" t="s">
        <v>38</v>
      </c>
      <c r="C645" s="6" t="s">
        <v>49</v>
      </c>
      <c r="D645" s="6" t="s">
        <v>275</v>
      </c>
      <c r="E645" s="6" t="s">
        <v>295</v>
      </c>
      <c r="F645" s="6">
        <v>2018</v>
      </c>
      <c r="G645" s="6" t="s">
        <v>276</v>
      </c>
      <c r="H645" s="6" t="s">
        <v>277</v>
      </c>
      <c r="I645" s="6" t="s">
        <v>278</v>
      </c>
      <c r="J645" s="6" t="str">
        <f t="shared" si="56"/>
        <v>Senecio_pinnatifolius</v>
      </c>
      <c r="K645" s="6" t="s">
        <v>279</v>
      </c>
      <c r="L645" s="6" t="s">
        <v>46</v>
      </c>
      <c r="M645" s="6" t="s">
        <v>49</v>
      </c>
      <c r="N645" s="6" t="s">
        <v>116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294</v>
      </c>
      <c r="T645" s="6" t="s">
        <v>294</v>
      </c>
      <c r="U645" s="6" t="s">
        <v>251</v>
      </c>
      <c r="V645" s="6" t="s">
        <v>690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242</v>
      </c>
      <c r="AE645" s="6" t="s">
        <v>287</v>
      </c>
      <c r="AF645" s="6" t="s">
        <v>49</v>
      </c>
      <c r="AG645" s="6" t="s">
        <v>49</v>
      </c>
      <c r="AH645" s="1" t="s">
        <v>183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6" t="s">
        <v>49</v>
      </c>
      <c r="AW645" s="30" t="s">
        <v>49</v>
      </c>
    </row>
    <row r="646" spans="1:49">
      <c r="A646" s="6" t="s">
        <v>274</v>
      </c>
      <c r="B646" s="6" t="s">
        <v>38</v>
      </c>
      <c r="C646" s="6" t="s">
        <v>49</v>
      </c>
      <c r="D646" s="6" t="s">
        <v>275</v>
      </c>
      <c r="E646" s="6" t="s">
        <v>295</v>
      </c>
      <c r="F646" s="6">
        <v>2018</v>
      </c>
      <c r="G646" s="6" t="s">
        <v>276</v>
      </c>
      <c r="H646" s="6" t="s">
        <v>277</v>
      </c>
      <c r="I646" s="6" t="s">
        <v>278</v>
      </c>
      <c r="J646" s="6" t="str">
        <f t="shared" si="56"/>
        <v>Senecio_pinnatifolius</v>
      </c>
      <c r="K646" s="6" t="s">
        <v>279</v>
      </c>
      <c r="L646" s="6" t="s">
        <v>46</v>
      </c>
      <c r="M646" s="6" t="s">
        <v>49</v>
      </c>
      <c r="N646" s="6" t="s">
        <v>116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294</v>
      </c>
      <c r="T646" s="6" t="s">
        <v>294</v>
      </c>
      <c r="U646" s="6" t="s">
        <v>251</v>
      </c>
      <c r="V646" s="6" t="s">
        <v>690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242</v>
      </c>
      <c r="AE646" s="6" t="s">
        <v>288</v>
      </c>
      <c r="AF646" s="6" t="s">
        <v>49</v>
      </c>
      <c r="AG646" s="6" t="s">
        <v>49</v>
      </c>
      <c r="AH646" s="1" t="s">
        <v>183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6" t="s">
        <v>49</v>
      </c>
      <c r="AW646" s="30" t="s">
        <v>49</v>
      </c>
    </row>
    <row r="647" spans="1:49">
      <c r="A647" s="6" t="s">
        <v>274</v>
      </c>
      <c r="B647" s="6" t="s">
        <v>38</v>
      </c>
      <c r="C647" s="6" t="s">
        <v>49</v>
      </c>
      <c r="D647" s="6" t="s">
        <v>275</v>
      </c>
      <c r="E647" s="6" t="s">
        <v>295</v>
      </c>
      <c r="F647" s="6">
        <v>2018</v>
      </c>
      <c r="G647" s="6" t="s">
        <v>276</v>
      </c>
      <c r="H647" s="6" t="s">
        <v>277</v>
      </c>
      <c r="I647" s="6" t="s">
        <v>278</v>
      </c>
      <c r="J647" s="6" t="str">
        <f t="shared" si="56"/>
        <v>Senecio_pinnatifolius</v>
      </c>
      <c r="K647" s="6" t="s">
        <v>279</v>
      </c>
      <c r="L647" s="6" t="s">
        <v>46</v>
      </c>
      <c r="M647" s="6" t="s">
        <v>49</v>
      </c>
      <c r="N647" s="6" t="s">
        <v>116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294</v>
      </c>
      <c r="T647" s="6" t="s">
        <v>294</v>
      </c>
      <c r="U647" s="6" t="s">
        <v>251</v>
      </c>
      <c r="V647" s="6" t="s">
        <v>690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242</v>
      </c>
      <c r="AE647" s="6" t="s">
        <v>289</v>
      </c>
      <c r="AF647" s="6" t="s">
        <v>49</v>
      </c>
      <c r="AG647" s="6" t="s">
        <v>49</v>
      </c>
      <c r="AH647" s="1" t="s">
        <v>183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6" t="s">
        <v>49</v>
      </c>
      <c r="AW647" s="30" t="s">
        <v>49</v>
      </c>
    </row>
    <row r="648" spans="1:49">
      <c r="A648" s="6" t="s">
        <v>274</v>
      </c>
      <c r="B648" s="6" t="s">
        <v>38</v>
      </c>
      <c r="C648" s="6" t="s">
        <v>49</v>
      </c>
      <c r="D648" s="6" t="s">
        <v>275</v>
      </c>
      <c r="E648" s="6" t="s">
        <v>295</v>
      </c>
      <c r="F648" s="6">
        <v>2018</v>
      </c>
      <c r="G648" s="6" t="s">
        <v>276</v>
      </c>
      <c r="H648" s="6" t="s">
        <v>277</v>
      </c>
      <c r="I648" s="6" t="s">
        <v>278</v>
      </c>
      <c r="J648" s="6" t="str">
        <f t="shared" si="56"/>
        <v>Senecio_pinnatifolius</v>
      </c>
      <c r="K648" s="6" t="s">
        <v>279</v>
      </c>
      <c r="L648" s="6" t="s">
        <v>46</v>
      </c>
      <c r="M648" s="6" t="s">
        <v>49</v>
      </c>
      <c r="N648" s="6" t="s">
        <v>116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294</v>
      </c>
      <c r="T648" s="6" t="s">
        <v>294</v>
      </c>
      <c r="U648" s="6" t="s">
        <v>251</v>
      </c>
      <c r="V648" s="6" t="s">
        <v>690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281</v>
      </c>
      <c r="AE648" s="6" t="s">
        <v>282</v>
      </c>
      <c r="AF648" s="6" t="s">
        <v>49</v>
      </c>
      <c r="AG648" s="6" t="s">
        <v>49</v>
      </c>
      <c r="AH648" s="1" t="s">
        <v>183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6" t="s">
        <v>49</v>
      </c>
      <c r="AW648" s="30" t="s">
        <v>49</v>
      </c>
    </row>
    <row r="649" spans="1:49">
      <c r="A649" s="6" t="s">
        <v>274</v>
      </c>
      <c r="B649" s="6" t="s">
        <v>38</v>
      </c>
      <c r="C649" s="6" t="s">
        <v>49</v>
      </c>
      <c r="D649" s="6" t="s">
        <v>275</v>
      </c>
      <c r="E649" s="6" t="s">
        <v>295</v>
      </c>
      <c r="F649" s="6">
        <v>2018</v>
      </c>
      <c r="G649" s="6" t="s">
        <v>276</v>
      </c>
      <c r="H649" s="6" t="s">
        <v>277</v>
      </c>
      <c r="I649" s="6" t="s">
        <v>278</v>
      </c>
      <c r="J649" s="6" t="str">
        <f t="shared" si="56"/>
        <v>Senecio_pinnatifolius</v>
      </c>
      <c r="K649" s="6" t="s">
        <v>279</v>
      </c>
      <c r="L649" s="6" t="s">
        <v>46</v>
      </c>
      <c r="M649" s="6" t="s">
        <v>49</v>
      </c>
      <c r="N649" s="6" t="s">
        <v>116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294</v>
      </c>
      <c r="T649" s="6" t="s">
        <v>294</v>
      </c>
      <c r="U649" s="6" t="s">
        <v>251</v>
      </c>
      <c r="V649" s="6" t="s">
        <v>690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281</v>
      </c>
      <c r="AE649" s="6" t="s">
        <v>283</v>
      </c>
      <c r="AF649" s="6" t="s">
        <v>49</v>
      </c>
      <c r="AG649" s="6" t="s">
        <v>49</v>
      </c>
      <c r="AH649" s="1" t="s">
        <v>183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6" t="s">
        <v>49</v>
      </c>
      <c r="AW649" s="30" t="s">
        <v>49</v>
      </c>
    </row>
    <row r="650" spans="1:49">
      <c r="A650" s="6" t="s">
        <v>274</v>
      </c>
      <c r="B650" s="6" t="s">
        <v>38</v>
      </c>
      <c r="C650" s="6" t="s">
        <v>49</v>
      </c>
      <c r="D650" s="6" t="s">
        <v>275</v>
      </c>
      <c r="E650" s="6" t="s">
        <v>295</v>
      </c>
      <c r="F650" s="6">
        <v>2018</v>
      </c>
      <c r="G650" s="6" t="s">
        <v>276</v>
      </c>
      <c r="H650" s="6" t="s">
        <v>277</v>
      </c>
      <c r="I650" s="6" t="s">
        <v>278</v>
      </c>
      <c r="J650" s="6" t="str">
        <f t="shared" si="56"/>
        <v>Senecio_pinnatifolius</v>
      </c>
      <c r="K650" s="6" t="s">
        <v>279</v>
      </c>
      <c r="L650" s="6" t="s">
        <v>46</v>
      </c>
      <c r="M650" s="6" t="s">
        <v>49</v>
      </c>
      <c r="N650" s="6" t="s">
        <v>116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294</v>
      </c>
      <c r="T650" s="6" t="s">
        <v>294</v>
      </c>
      <c r="U650" s="6" t="s">
        <v>251</v>
      </c>
      <c r="V650" s="6" t="s">
        <v>690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281</v>
      </c>
      <c r="AE650" s="6" t="s">
        <v>284</v>
      </c>
      <c r="AF650" s="6" t="s">
        <v>49</v>
      </c>
      <c r="AG650" s="6" t="s">
        <v>49</v>
      </c>
      <c r="AH650" s="1" t="s">
        <v>183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6" t="s">
        <v>49</v>
      </c>
      <c r="AW650" s="30" t="s">
        <v>49</v>
      </c>
    </row>
    <row r="651" spans="1:49">
      <c r="A651" s="6" t="s">
        <v>274</v>
      </c>
      <c r="B651" s="6" t="s">
        <v>38</v>
      </c>
      <c r="C651" s="6" t="s">
        <v>49</v>
      </c>
      <c r="D651" s="6" t="s">
        <v>275</v>
      </c>
      <c r="E651" s="6" t="s">
        <v>295</v>
      </c>
      <c r="F651" s="6">
        <v>2018</v>
      </c>
      <c r="G651" s="6" t="s">
        <v>276</v>
      </c>
      <c r="H651" s="6" t="s">
        <v>277</v>
      </c>
      <c r="I651" s="6" t="s">
        <v>278</v>
      </c>
      <c r="J651" s="6" t="str">
        <f t="shared" si="56"/>
        <v>Senecio_pinnatifolius</v>
      </c>
      <c r="K651" s="6" t="s">
        <v>279</v>
      </c>
      <c r="L651" s="6" t="s">
        <v>46</v>
      </c>
      <c r="M651" s="6" t="s">
        <v>49</v>
      </c>
      <c r="N651" s="6" t="s">
        <v>116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294</v>
      </c>
      <c r="T651" s="6" t="s">
        <v>294</v>
      </c>
      <c r="U651" s="6" t="s">
        <v>251</v>
      </c>
      <c r="V651" s="6" t="s">
        <v>690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281</v>
      </c>
      <c r="AE651" s="6" t="s">
        <v>285</v>
      </c>
      <c r="AF651" s="6" t="s">
        <v>49</v>
      </c>
      <c r="AG651" s="6" t="s">
        <v>49</v>
      </c>
      <c r="AH651" s="1" t="s">
        <v>183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6" t="s">
        <v>49</v>
      </c>
      <c r="AW651" s="30" t="s">
        <v>49</v>
      </c>
    </row>
    <row r="652" spans="1:49">
      <c r="A652" s="6" t="s">
        <v>274</v>
      </c>
      <c r="B652" s="6" t="s">
        <v>38</v>
      </c>
      <c r="C652" s="6" t="s">
        <v>49</v>
      </c>
      <c r="D652" s="6" t="s">
        <v>275</v>
      </c>
      <c r="E652" s="6" t="s">
        <v>295</v>
      </c>
      <c r="F652" s="6">
        <v>2018</v>
      </c>
      <c r="G652" s="6" t="s">
        <v>276</v>
      </c>
      <c r="H652" s="6" t="s">
        <v>277</v>
      </c>
      <c r="I652" s="6" t="s">
        <v>278</v>
      </c>
      <c r="J652" s="6" t="str">
        <f t="shared" si="56"/>
        <v>Senecio_pinnatifolius</v>
      </c>
      <c r="K652" s="6" t="s">
        <v>279</v>
      </c>
      <c r="L652" s="6" t="s">
        <v>46</v>
      </c>
      <c r="M652" s="6" t="s">
        <v>49</v>
      </c>
      <c r="N652" s="6" t="s">
        <v>116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294</v>
      </c>
      <c r="T652" s="6" t="s">
        <v>294</v>
      </c>
      <c r="U652" s="6" t="s">
        <v>251</v>
      </c>
      <c r="V652" s="6" t="s">
        <v>690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281</v>
      </c>
      <c r="AE652" s="6" t="s">
        <v>286</v>
      </c>
      <c r="AF652" s="6" t="s">
        <v>49</v>
      </c>
      <c r="AG652" s="6" t="s">
        <v>49</v>
      </c>
      <c r="AH652" s="1" t="s">
        <v>183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6" t="s">
        <v>49</v>
      </c>
      <c r="AW652" s="30" t="s">
        <v>49</v>
      </c>
    </row>
    <row r="653" spans="1:49">
      <c r="A653" s="6" t="s">
        <v>274</v>
      </c>
      <c r="B653" s="6" t="s">
        <v>38</v>
      </c>
      <c r="C653" s="6" t="s">
        <v>49</v>
      </c>
      <c r="D653" s="6" t="s">
        <v>275</v>
      </c>
      <c r="E653" s="6" t="s">
        <v>295</v>
      </c>
      <c r="F653" s="6">
        <v>2018</v>
      </c>
      <c r="G653" s="6" t="s">
        <v>276</v>
      </c>
      <c r="H653" s="6" t="s">
        <v>277</v>
      </c>
      <c r="I653" s="6" t="s">
        <v>278</v>
      </c>
      <c r="J653" s="6" t="str">
        <f t="shared" si="56"/>
        <v>Senecio_pinnatifolius</v>
      </c>
      <c r="K653" s="6" t="s">
        <v>279</v>
      </c>
      <c r="L653" s="6" t="s">
        <v>46</v>
      </c>
      <c r="M653" s="6" t="s">
        <v>49</v>
      </c>
      <c r="N653" s="6" t="s">
        <v>116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294</v>
      </c>
      <c r="T653" s="6" t="s">
        <v>294</v>
      </c>
      <c r="U653" s="6" t="s">
        <v>251</v>
      </c>
      <c r="V653" s="6" t="s">
        <v>690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281</v>
      </c>
      <c r="AE653" s="6" t="s">
        <v>287</v>
      </c>
      <c r="AF653" s="6" t="s">
        <v>49</v>
      </c>
      <c r="AG653" s="6" t="s">
        <v>49</v>
      </c>
      <c r="AH653" s="1" t="s">
        <v>183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6" t="s">
        <v>49</v>
      </c>
      <c r="AW653" s="30" t="s">
        <v>49</v>
      </c>
    </row>
    <row r="654" spans="1:49">
      <c r="A654" s="6" t="s">
        <v>274</v>
      </c>
      <c r="B654" s="6" t="s">
        <v>38</v>
      </c>
      <c r="C654" s="6" t="s">
        <v>49</v>
      </c>
      <c r="D654" s="6" t="s">
        <v>275</v>
      </c>
      <c r="E654" s="6" t="s">
        <v>295</v>
      </c>
      <c r="F654" s="6">
        <v>2018</v>
      </c>
      <c r="G654" s="6" t="s">
        <v>276</v>
      </c>
      <c r="H654" s="6" t="s">
        <v>277</v>
      </c>
      <c r="I654" s="6" t="s">
        <v>278</v>
      </c>
      <c r="J654" s="6" t="str">
        <f t="shared" si="56"/>
        <v>Senecio_pinnatifolius</v>
      </c>
      <c r="K654" s="6" t="s">
        <v>279</v>
      </c>
      <c r="L654" s="6" t="s">
        <v>46</v>
      </c>
      <c r="M654" s="6" t="s">
        <v>49</v>
      </c>
      <c r="N654" s="6" t="s">
        <v>116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294</v>
      </c>
      <c r="T654" s="6" t="s">
        <v>294</v>
      </c>
      <c r="U654" s="6" t="s">
        <v>251</v>
      </c>
      <c r="V654" s="6" t="s">
        <v>690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281</v>
      </c>
      <c r="AE654" s="6" t="s">
        <v>288</v>
      </c>
      <c r="AF654" s="6" t="s">
        <v>49</v>
      </c>
      <c r="AG654" s="6" t="s">
        <v>49</v>
      </c>
      <c r="AH654" s="1" t="s">
        <v>183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6" t="s">
        <v>49</v>
      </c>
      <c r="AW654" s="30" t="s">
        <v>49</v>
      </c>
    </row>
    <row r="655" spans="1:49">
      <c r="A655" s="6" t="s">
        <v>274</v>
      </c>
      <c r="B655" s="6" t="s">
        <v>38</v>
      </c>
      <c r="C655" s="6" t="s">
        <v>49</v>
      </c>
      <c r="D655" s="6" t="s">
        <v>275</v>
      </c>
      <c r="E655" s="6" t="s">
        <v>295</v>
      </c>
      <c r="F655" s="6">
        <v>2018</v>
      </c>
      <c r="G655" s="6" t="s">
        <v>276</v>
      </c>
      <c r="H655" s="6" t="s">
        <v>277</v>
      </c>
      <c r="I655" s="6" t="s">
        <v>278</v>
      </c>
      <c r="J655" s="6" t="str">
        <f t="shared" si="56"/>
        <v>Senecio_pinnatifolius</v>
      </c>
      <c r="K655" s="6" t="s">
        <v>279</v>
      </c>
      <c r="L655" s="6" t="s">
        <v>46</v>
      </c>
      <c r="M655" s="6" t="s">
        <v>49</v>
      </c>
      <c r="N655" s="6" t="s">
        <v>116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294</v>
      </c>
      <c r="T655" s="6" t="s">
        <v>294</v>
      </c>
      <c r="U655" s="6" t="s">
        <v>251</v>
      </c>
      <c r="V655" s="6" t="s">
        <v>690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281</v>
      </c>
      <c r="AE655" s="6" t="s">
        <v>289</v>
      </c>
      <c r="AF655" s="6" t="s">
        <v>49</v>
      </c>
      <c r="AG655" s="6" t="s">
        <v>49</v>
      </c>
      <c r="AH655" s="1" t="s">
        <v>183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6" t="s">
        <v>49</v>
      </c>
      <c r="AW655" s="30" t="s">
        <v>49</v>
      </c>
    </row>
    <row r="656" spans="1:49">
      <c r="A656" s="6" t="s">
        <v>274</v>
      </c>
      <c r="B656" s="6" t="s">
        <v>38</v>
      </c>
      <c r="C656" s="6" t="s">
        <v>49</v>
      </c>
      <c r="D656" s="6" t="s">
        <v>275</v>
      </c>
      <c r="E656" s="6" t="s">
        <v>295</v>
      </c>
      <c r="F656" s="6">
        <v>2018</v>
      </c>
      <c r="G656" s="6" t="s">
        <v>276</v>
      </c>
      <c r="H656" s="6" t="s">
        <v>277</v>
      </c>
      <c r="I656" s="6" t="s">
        <v>278</v>
      </c>
      <c r="J656" s="6" t="str">
        <f t="shared" si="56"/>
        <v>Senecio_pinnatifolius</v>
      </c>
      <c r="K656" s="6" t="s">
        <v>279</v>
      </c>
      <c r="L656" s="6" t="s">
        <v>46</v>
      </c>
      <c r="M656" s="6" t="s">
        <v>49</v>
      </c>
      <c r="N656" s="6" t="s">
        <v>116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294</v>
      </c>
      <c r="T656" s="6" t="s">
        <v>294</v>
      </c>
      <c r="U656" s="6" t="s">
        <v>251</v>
      </c>
      <c r="V656" s="6" t="s">
        <v>690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282</v>
      </c>
      <c r="AE656" s="6" t="s">
        <v>283</v>
      </c>
      <c r="AF656" s="6" t="s">
        <v>49</v>
      </c>
      <c r="AG656" s="6" t="s">
        <v>49</v>
      </c>
      <c r="AH656" s="1" t="s">
        <v>183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6" t="s">
        <v>49</v>
      </c>
      <c r="AW656" s="30" t="s">
        <v>49</v>
      </c>
    </row>
    <row r="657" spans="1:49">
      <c r="A657" s="6" t="s">
        <v>274</v>
      </c>
      <c r="B657" s="6" t="s">
        <v>38</v>
      </c>
      <c r="C657" s="6" t="s">
        <v>49</v>
      </c>
      <c r="D657" s="6" t="s">
        <v>275</v>
      </c>
      <c r="E657" s="6" t="s">
        <v>295</v>
      </c>
      <c r="F657" s="6">
        <v>2018</v>
      </c>
      <c r="G657" s="6" t="s">
        <v>276</v>
      </c>
      <c r="H657" s="6" t="s">
        <v>277</v>
      </c>
      <c r="I657" s="6" t="s">
        <v>278</v>
      </c>
      <c r="J657" s="6" t="str">
        <f t="shared" si="56"/>
        <v>Senecio_pinnatifolius</v>
      </c>
      <c r="K657" s="6" t="s">
        <v>279</v>
      </c>
      <c r="L657" s="6" t="s">
        <v>46</v>
      </c>
      <c r="M657" s="6" t="s">
        <v>49</v>
      </c>
      <c r="N657" s="6" t="s">
        <v>116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294</v>
      </c>
      <c r="T657" s="6" t="s">
        <v>294</v>
      </c>
      <c r="U657" s="6" t="s">
        <v>251</v>
      </c>
      <c r="V657" s="6" t="s">
        <v>690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282</v>
      </c>
      <c r="AE657" s="6" t="s">
        <v>284</v>
      </c>
      <c r="AF657" s="6" t="s">
        <v>49</v>
      </c>
      <c r="AG657" s="6" t="s">
        <v>49</v>
      </c>
      <c r="AH657" s="1" t="s">
        <v>183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6" t="s">
        <v>49</v>
      </c>
      <c r="AW657" s="30" t="s">
        <v>49</v>
      </c>
    </row>
    <row r="658" spans="1:49">
      <c r="A658" s="6" t="s">
        <v>274</v>
      </c>
      <c r="B658" s="6" t="s">
        <v>38</v>
      </c>
      <c r="C658" s="6" t="s">
        <v>49</v>
      </c>
      <c r="D658" s="6" t="s">
        <v>275</v>
      </c>
      <c r="E658" s="6" t="s">
        <v>295</v>
      </c>
      <c r="F658" s="6">
        <v>2018</v>
      </c>
      <c r="G658" s="6" t="s">
        <v>276</v>
      </c>
      <c r="H658" s="6" t="s">
        <v>277</v>
      </c>
      <c r="I658" s="6" t="s">
        <v>278</v>
      </c>
      <c r="J658" s="6" t="str">
        <f t="shared" si="56"/>
        <v>Senecio_pinnatifolius</v>
      </c>
      <c r="K658" s="6" t="s">
        <v>279</v>
      </c>
      <c r="L658" s="6" t="s">
        <v>46</v>
      </c>
      <c r="M658" s="6" t="s">
        <v>49</v>
      </c>
      <c r="N658" s="6" t="s">
        <v>116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294</v>
      </c>
      <c r="T658" s="6" t="s">
        <v>294</v>
      </c>
      <c r="U658" s="6" t="s">
        <v>251</v>
      </c>
      <c r="V658" s="6" t="s">
        <v>690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282</v>
      </c>
      <c r="AE658" s="6" t="s">
        <v>285</v>
      </c>
      <c r="AF658" s="6" t="s">
        <v>49</v>
      </c>
      <c r="AG658" s="6" t="s">
        <v>49</v>
      </c>
      <c r="AH658" s="1" t="s">
        <v>183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6" t="s">
        <v>49</v>
      </c>
      <c r="AW658" s="30" t="s">
        <v>49</v>
      </c>
    </row>
    <row r="659" spans="1:49">
      <c r="A659" s="6" t="s">
        <v>274</v>
      </c>
      <c r="B659" s="6" t="s">
        <v>38</v>
      </c>
      <c r="C659" s="6" t="s">
        <v>49</v>
      </c>
      <c r="D659" s="6" t="s">
        <v>275</v>
      </c>
      <c r="E659" s="6" t="s">
        <v>295</v>
      </c>
      <c r="F659" s="6">
        <v>2018</v>
      </c>
      <c r="G659" s="6" t="s">
        <v>276</v>
      </c>
      <c r="H659" s="6" t="s">
        <v>277</v>
      </c>
      <c r="I659" s="6" t="s">
        <v>278</v>
      </c>
      <c r="J659" s="6" t="str">
        <f t="shared" si="56"/>
        <v>Senecio_pinnatifolius</v>
      </c>
      <c r="K659" s="6" t="s">
        <v>279</v>
      </c>
      <c r="L659" s="6" t="s">
        <v>46</v>
      </c>
      <c r="M659" s="6" t="s">
        <v>49</v>
      </c>
      <c r="N659" s="6" t="s">
        <v>116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294</v>
      </c>
      <c r="T659" s="6" t="s">
        <v>294</v>
      </c>
      <c r="U659" s="6" t="s">
        <v>251</v>
      </c>
      <c r="V659" s="6" t="s">
        <v>690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282</v>
      </c>
      <c r="AE659" s="6" t="s">
        <v>286</v>
      </c>
      <c r="AF659" s="6" t="s">
        <v>49</v>
      </c>
      <c r="AG659" s="6" t="s">
        <v>49</v>
      </c>
      <c r="AH659" s="1" t="s">
        <v>183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6" t="s">
        <v>49</v>
      </c>
      <c r="AW659" s="30" t="s">
        <v>49</v>
      </c>
    </row>
    <row r="660" spans="1:49">
      <c r="A660" s="6" t="s">
        <v>274</v>
      </c>
      <c r="B660" s="6" t="s">
        <v>38</v>
      </c>
      <c r="C660" s="6" t="s">
        <v>49</v>
      </c>
      <c r="D660" s="6" t="s">
        <v>275</v>
      </c>
      <c r="E660" s="6" t="s">
        <v>295</v>
      </c>
      <c r="F660" s="6">
        <v>2018</v>
      </c>
      <c r="G660" s="6" t="s">
        <v>276</v>
      </c>
      <c r="H660" s="6" t="s">
        <v>277</v>
      </c>
      <c r="I660" s="6" t="s">
        <v>278</v>
      </c>
      <c r="J660" s="6" t="str">
        <f t="shared" si="56"/>
        <v>Senecio_pinnatifolius</v>
      </c>
      <c r="K660" s="6" t="s">
        <v>279</v>
      </c>
      <c r="L660" s="6" t="s">
        <v>46</v>
      </c>
      <c r="M660" s="6" t="s">
        <v>49</v>
      </c>
      <c r="N660" s="6" t="s">
        <v>116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294</v>
      </c>
      <c r="T660" s="6" t="s">
        <v>294</v>
      </c>
      <c r="U660" s="6" t="s">
        <v>251</v>
      </c>
      <c r="V660" s="6" t="s">
        <v>690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282</v>
      </c>
      <c r="AE660" s="6" t="s">
        <v>287</v>
      </c>
      <c r="AF660" s="6" t="s">
        <v>49</v>
      </c>
      <c r="AG660" s="6" t="s">
        <v>49</v>
      </c>
      <c r="AH660" s="1" t="s">
        <v>183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6" t="s">
        <v>49</v>
      </c>
      <c r="AW660" s="30" t="s">
        <v>49</v>
      </c>
    </row>
    <row r="661" spans="1:49">
      <c r="A661" s="6" t="s">
        <v>274</v>
      </c>
      <c r="B661" s="6" t="s">
        <v>38</v>
      </c>
      <c r="C661" s="6" t="s">
        <v>49</v>
      </c>
      <c r="D661" s="6" t="s">
        <v>275</v>
      </c>
      <c r="E661" s="6" t="s">
        <v>295</v>
      </c>
      <c r="F661" s="6">
        <v>2018</v>
      </c>
      <c r="G661" s="6" t="s">
        <v>276</v>
      </c>
      <c r="H661" s="6" t="s">
        <v>277</v>
      </c>
      <c r="I661" s="6" t="s">
        <v>278</v>
      </c>
      <c r="J661" s="6" t="str">
        <f t="shared" si="56"/>
        <v>Senecio_pinnatifolius</v>
      </c>
      <c r="K661" s="6" t="s">
        <v>279</v>
      </c>
      <c r="L661" s="6" t="s">
        <v>46</v>
      </c>
      <c r="M661" s="6" t="s">
        <v>49</v>
      </c>
      <c r="N661" s="6" t="s">
        <v>116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294</v>
      </c>
      <c r="T661" s="6" t="s">
        <v>294</v>
      </c>
      <c r="U661" s="6" t="s">
        <v>251</v>
      </c>
      <c r="V661" s="6" t="s">
        <v>690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282</v>
      </c>
      <c r="AE661" s="6" t="s">
        <v>288</v>
      </c>
      <c r="AF661" s="6" t="s">
        <v>49</v>
      </c>
      <c r="AG661" s="6" t="s">
        <v>49</v>
      </c>
      <c r="AH661" s="1" t="s">
        <v>183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6" t="s">
        <v>49</v>
      </c>
      <c r="AW661" s="30" t="s">
        <v>49</v>
      </c>
    </row>
    <row r="662" spans="1:49">
      <c r="A662" s="6" t="s">
        <v>274</v>
      </c>
      <c r="B662" s="6" t="s">
        <v>38</v>
      </c>
      <c r="C662" s="6" t="s">
        <v>49</v>
      </c>
      <c r="D662" s="6" t="s">
        <v>275</v>
      </c>
      <c r="E662" s="6" t="s">
        <v>295</v>
      </c>
      <c r="F662" s="6">
        <v>2018</v>
      </c>
      <c r="G662" s="6" t="s">
        <v>276</v>
      </c>
      <c r="H662" s="6" t="s">
        <v>277</v>
      </c>
      <c r="I662" s="6" t="s">
        <v>278</v>
      </c>
      <c r="J662" s="6" t="str">
        <f t="shared" si="56"/>
        <v>Senecio_pinnatifolius</v>
      </c>
      <c r="K662" s="6" t="s">
        <v>279</v>
      </c>
      <c r="L662" s="6" t="s">
        <v>46</v>
      </c>
      <c r="M662" s="6" t="s">
        <v>49</v>
      </c>
      <c r="N662" s="6" t="s">
        <v>116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294</v>
      </c>
      <c r="T662" s="6" t="s">
        <v>294</v>
      </c>
      <c r="U662" s="6" t="s">
        <v>251</v>
      </c>
      <c r="V662" s="6" t="s">
        <v>690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282</v>
      </c>
      <c r="AE662" s="6" t="s">
        <v>289</v>
      </c>
      <c r="AF662" s="6" t="s">
        <v>49</v>
      </c>
      <c r="AG662" s="6" t="s">
        <v>49</v>
      </c>
      <c r="AH662" s="1" t="s">
        <v>183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6" t="s">
        <v>49</v>
      </c>
      <c r="AW662" s="30" t="s">
        <v>49</v>
      </c>
    </row>
    <row r="663" spans="1:49">
      <c r="A663" s="6" t="s">
        <v>274</v>
      </c>
      <c r="B663" s="6" t="s">
        <v>38</v>
      </c>
      <c r="C663" s="6" t="s">
        <v>49</v>
      </c>
      <c r="D663" s="6" t="s">
        <v>275</v>
      </c>
      <c r="E663" s="6" t="s">
        <v>295</v>
      </c>
      <c r="F663" s="6">
        <v>2018</v>
      </c>
      <c r="G663" s="6" t="s">
        <v>276</v>
      </c>
      <c r="H663" s="6" t="s">
        <v>277</v>
      </c>
      <c r="I663" s="6" t="s">
        <v>278</v>
      </c>
      <c r="J663" s="6" t="str">
        <f t="shared" si="56"/>
        <v>Senecio_pinnatifolius</v>
      </c>
      <c r="K663" s="6" t="s">
        <v>279</v>
      </c>
      <c r="L663" s="6" t="s">
        <v>46</v>
      </c>
      <c r="M663" s="6" t="s">
        <v>49</v>
      </c>
      <c r="N663" s="6" t="s">
        <v>116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294</v>
      </c>
      <c r="T663" s="6" t="s">
        <v>294</v>
      </c>
      <c r="U663" s="6" t="s">
        <v>251</v>
      </c>
      <c r="V663" s="6" t="s">
        <v>690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283</v>
      </c>
      <c r="AE663" s="6" t="s">
        <v>284</v>
      </c>
      <c r="AF663" s="6" t="s">
        <v>49</v>
      </c>
      <c r="AG663" s="6" t="s">
        <v>49</v>
      </c>
      <c r="AH663" s="1" t="s">
        <v>183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6" t="s">
        <v>49</v>
      </c>
      <c r="AW663" s="30" t="s">
        <v>49</v>
      </c>
    </row>
    <row r="664" spans="1:49">
      <c r="A664" s="6" t="s">
        <v>274</v>
      </c>
      <c r="B664" s="6" t="s">
        <v>38</v>
      </c>
      <c r="C664" s="6" t="s">
        <v>49</v>
      </c>
      <c r="D664" s="6" t="s">
        <v>275</v>
      </c>
      <c r="E664" s="6" t="s">
        <v>295</v>
      </c>
      <c r="F664" s="6">
        <v>2018</v>
      </c>
      <c r="G664" s="6" t="s">
        <v>276</v>
      </c>
      <c r="H664" s="6" t="s">
        <v>277</v>
      </c>
      <c r="I664" s="6" t="s">
        <v>278</v>
      </c>
      <c r="J664" s="6" t="str">
        <f t="shared" si="56"/>
        <v>Senecio_pinnatifolius</v>
      </c>
      <c r="K664" s="6" t="s">
        <v>279</v>
      </c>
      <c r="L664" s="6" t="s">
        <v>46</v>
      </c>
      <c r="M664" s="6" t="s">
        <v>49</v>
      </c>
      <c r="N664" s="6" t="s">
        <v>116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294</v>
      </c>
      <c r="T664" s="6" t="s">
        <v>294</v>
      </c>
      <c r="U664" s="6" t="s">
        <v>251</v>
      </c>
      <c r="V664" s="6" t="s">
        <v>690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283</v>
      </c>
      <c r="AE664" s="6" t="s">
        <v>285</v>
      </c>
      <c r="AF664" s="6" t="s">
        <v>49</v>
      </c>
      <c r="AG664" s="6" t="s">
        <v>49</v>
      </c>
      <c r="AH664" s="1" t="s">
        <v>183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6" t="s">
        <v>49</v>
      </c>
      <c r="AW664" s="30" t="s">
        <v>49</v>
      </c>
    </row>
    <row r="665" spans="1:49">
      <c r="A665" s="6" t="s">
        <v>274</v>
      </c>
      <c r="B665" s="6" t="s">
        <v>38</v>
      </c>
      <c r="C665" s="6" t="s">
        <v>49</v>
      </c>
      <c r="D665" s="6" t="s">
        <v>275</v>
      </c>
      <c r="E665" s="6" t="s">
        <v>295</v>
      </c>
      <c r="F665" s="6">
        <v>2018</v>
      </c>
      <c r="G665" s="6" t="s">
        <v>276</v>
      </c>
      <c r="H665" s="6" t="s">
        <v>277</v>
      </c>
      <c r="I665" s="6" t="s">
        <v>278</v>
      </c>
      <c r="J665" s="6" t="str">
        <f t="shared" si="56"/>
        <v>Senecio_pinnatifolius</v>
      </c>
      <c r="K665" s="6" t="s">
        <v>279</v>
      </c>
      <c r="L665" s="6" t="s">
        <v>46</v>
      </c>
      <c r="M665" s="6" t="s">
        <v>49</v>
      </c>
      <c r="N665" s="6" t="s">
        <v>116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294</v>
      </c>
      <c r="T665" s="6" t="s">
        <v>294</v>
      </c>
      <c r="U665" s="6" t="s">
        <v>251</v>
      </c>
      <c r="V665" s="6" t="s">
        <v>690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283</v>
      </c>
      <c r="AE665" s="6" t="s">
        <v>286</v>
      </c>
      <c r="AF665" s="6" t="s">
        <v>49</v>
      </c>
      <c r="AG665" s="6" t="s">
        <v>49</v>
      </c>
      <c r="AH665" s="1" t="s">
        <v>183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6" t="s">
        <v>49</v>
      </c>
      <c r="AW665" s="30" t="s">
        <v>49</v>
      </c>
    </row>
    <row r="666" spans="1:49">
      <c r="A666" s="6" t="s">
        <v>274</v>
      </c>
      <c r="B666" s="6" t="s">
        <v>38</v>
      </c>
      <c r="C666" s="6" t="s">
        <v>49</v>
      </c>
      <c r="D666" s="6" t="s">
        <v>275</v>
      </c>
      <c r="E666" s="6" t="s">
        <v>295</v>
      </c>
      <c r="F666" s="6">
        <v>2018</v>
      </c>
      <c r="G666" s="6" t="s">
        <v>276</v>
      </c>
      <c r="H666" s="6" t="s">
        <v>277</v>
      </c>
      <c r="I666" s="6" t="s">
        <v>278</v>
      </c>
      <c r="J666" s="6" t="str">
        <f t="shared" si="56"/>
        <v>Senecio_pinnatifolius</v>
      </c>
      <c r="K666" s="6" t="s">
        <v>279</v>
      </c>
      <c r="L666" s="6" t="s">
        <v>46</v>
      </c>
      <c r="M666" s="6" t="s">
        <v>49</v>
      </c>
      <c r="N666" s="6" t="s">
        <v>116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294</v>
      </c>
      <c r="T666" s="6" t="s">
        <v>294</v>
      </c>
      <c r="U666" s="6" t="s">
        <v>251</v>
      </c>
      <c r="V666" s="6" t="s">
        <v>690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283</v>
      </c>
      <c r="AE666" s="6" t="s">
        <v>287</v>
      </c>
      <c r="AF666" s="6" t="s">
        <v>49</v>
      </c>
      <c r="AG666" s="6" t="s">
        <v>49</v>
      </c>
      <c r="AH666" s="1" t="s">
        <v>183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6" t="s">
        <v>49</v>
      </c>
      <c r="AW666" s="30" t="s">
        <v>49</v>
      </c>
    </row>
    <row r="667" spans="1:49">
      <c r="A667" s="6" t="s">
        <v>274</v>
      </c>
      <c r="B667" s="6" t="s">
        <v>38</v>
      </c>
      <c r="C667" s="6" t="s">
        <v>49</v>
      </c>
      <c r="D667" s="6" t="s">
        <v>275</v>
      </c>
      <c r="E667" s="6" t="s">
        <v>295</v>
      </c>
      <c r="F667" s="6">
        <v>2018</v>
      </c>
      <c r="G667" s="6" t="s">
        <v>276</v>
      </c>
      <c r="H667" s="6" t="s">
        <v>277</v>
      </c>
      <c r="I667" s="6" t="s">
        <v>278</v>
      </c>
      <c r="J667" s="6" t="str">
        <f t="shared" si="56"/>
        <v>Senecio_pinnatifolius</v>
      </c>
      <c r="K667" s="6" t="s">
        <v>279</v>
      </c>
      <c r="L667" s="6" t="s">
        <v>46</v>
      </c>
      <c r="M667" s="6" t="s">
        <v>49</v>
      </c>
      <c r="N667" s="6" t="s">
        <v>116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294</v>
      </c>
      <c r="T667" s="6" t="s">
        <v>294</v>
      </c>
      <c r="U667" s="6" t="s">
        <v>251</v>
      </c>
      <c r="V667" s="6" t="s">
        <v>690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283</v>
      </c>
      <c r="AE667" s="6" t="s">
        <v>288</v>
      </c>
      <c r="AF667" s="6" t="s">
        <v>49</v>
      </c>
      <c r="AG667" s="6" t="s">
        <v>49</v>
      </c>
      <c r="AH667" s="1" t="s">
        <v>183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6" t="s">
        <v>49</v>
      </c>
      <c r="AW667" s="30" t="s">
        <v>49</v>
      </c>
    </row>
    <row r="668" spans="1:49">
      <c r="A668" s="6" t="s">
        <v>274</v>
      </c>
      <c r="B668" s="6" t="s">
        <v>38</v>
      </c>
      <c r="C668" s="6" t="s">
        <v>49</v>
      </c>
      <c r="D668" s="6" t="s">
        <v>275</v>
      </c>
      <c r="E668" s="6" t="s">
        <v>295</v>
      </c>
      <c r="F668" s="6">
        <v>2018</v>
      </c>
      <c r="G668" s="6" t="s">
        <v>276</v>
      </c>
      <c r="H668" s="6" t="s">
        <v>277</v>
      </c>
      <c r="I668" s="6" t="s">
        <v>278</v>
      </c>
      <c r="J668" s="6" t="str">
        <f t="shared" si="56"/>
        <v>Senecio_pinnatifolius</v>
      </c>
      <c r="K668" s="6" t="s">
        <v>279</v>
      </c>
      <c r="L668" s="6" t="s">
        <v>46</v>
      </c>
      <c r="M668" s="6" t="s">
        <v>49</v>
      </c>
      <c r="N668" s="6" t="s">
        <v>116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294</v>
      </c>
      <c r="T668" s="6" t="s">
        <v>294</v>
      </c>
      <c r="U668" s="6" t="s">
        <v>251</v>
      </c>
      <c r="V668" s="6" t="s">
        <v>690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283</v>
      </c>
      <c r="AE668" s="6" t="s">
        <v>289</v>
      </c>
      <c r="AF668" s="6" t="s">
        <v>49</v>
      </c>
      <c r="AG668" s="6" t="s">
        <v>49</v>
      </c>
      <c r="AH668" s="1" t="s">
        <v>183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6" t="s">
        <v>49</v>
      </c>
      <c r="AW668" s="30" t="s">
        <v>49</v>
      </c>
    </row>
    <row r="669" spans="1:49">
      <c r="A669" s="6" t="s">
        <v>274</v>
      </c>
      <c r="B669" s="6" t="s">
        <v>38</v>
      </c>
      <c r="C669" s="6" t="s">
        <v>49</v>
      </c>
      <c r="D669" s="6" t="s">
        <v>275</v>
      </c>
      <c r="E669" s="6" t="s">
        <v>295</v>
      </c>
      <c r="F669" s="6">
        <v>2018</v>
      </c>
      <c r="G669" s="6" t="s">
        <v>276</v>
      </c>
      <c r="H669" s="6" t="s">
        <v>277</v>
      </c>
      <c r="I669" s="6" t="s">
        <v>278</v>
      </c>
      <c r="J669" s="6" t="str">
        <f t="shared" si="56"/>
        <v>Senecio_pinnatifolius</v>
      </c>
      <c r="K669" s="6" t="s">
        <v>279</v>
      </c>
      <c r="L669" s="6" t="s">
        <v>46</v>
      </c>
      <c r="M669" s="6" t="s">
        <v>49</v>
      </c>
      <c r="N669" s="6" t="s">
        <v>116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294</v>
      </c>
      <c r="T669" s="6" t="s">
        <v>294</v>
      </c>
      <c r="U669" s="6" t="s">
        <v>251</v>
      </c>
      <c r="V669" s="6" t="s">
        <v>690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284</v>
      </c>
      <c r="AE669" s="6" t="s">
        <v>285</v>
      </c>
      <c r="AF669" s="6" t="s">
        <v>49</v>
      </c>
      <c r="AG669" s="6" t="s">
        <v>49</v>
      </c>
      <c r="AH669" s="1" t="s">
        <v>183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6" t="s">
        <v>49</v>
      </c>
      <c r="AW669" s="30" t="s">
        <v>49</v>
      </c>
    </row>
    <row r="670" spans="1:49">
      <c r="A670" s="6" t="s">
        <v>274</v>
      </c>
      <c r="B670" s="6" t="s">
        <v>38</v>
      </c>
      <c r="C670" s="6" t="s">
        <v>49</v>
      </c>
      <c r="D670" s="6" t="s">
        <v>275</v>
      </c>
      <c r="E670" s="6" t="s">
        <v>295</v>
      </c>
      <c r="F670" s="6">
        <v>2018</v>
      </c>
      <c r="G670" s="6" t="s">
        <v>276</v>
      </c>
      <c r="H670" s="6" t="s">
        <v>277</v>
      </c>
      <c r="I670" s="6" t="s">
        <v>278</v>
      </c>
      <c r="J670" s="6" t="str">
        <f t="shared" si="56"/>
        <v>Senecio_pinnatifolius</v>
      </c>
      <c r="K670" s="6" t="s">
        <v>279</v>
      </c>
      <c r="L670" s="6" t="s">
        <v>46</v>
      </c>
      <c r="M670" s="6" t="s">
        <v>49</v>
      </c>
      <c r="N670" s="6" t="s">
        <v>116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294</v>
      </c>
      <c r="T670" s="6" t="s">
        <v>294</v>
      </c>
      <c r="U670" s="6" t="s">
        <v>251</v>
      </c>
      <c r="V670" s="6" t="s">
        <v>690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284</v>
      </c>
      <c r="AE670" s="6" t="s">
        <v>286</v>
      </c>
      <c r="AF670" s="6" t="s">
        <v>49</v>
      </c>
      <c r="AG670" s="6" t="s">
        <v>49</v>
      </c>
      <c r="AH670" s="1" t="s">
        <v>183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6" t="s">
        <v>49</v>
      </c>
      <c r="AW670" s="30" t="s">
        <v>49</v>
      </c>
    </row>
    <row r="671" spans="1:49">
      <c r="A671" s="6" t="s">
        <v>274</v>
      </c>
      <c r="B671" s="6" t="s">
        <v>38</v>
      </c>
      <c r="C671" s="6" t="s">
        <v>49</v>
      </c>
      <c r="D671" s="6" t="s">
        <v>275</v>
      </c>
      <c r="E671" s="6" t="s">
        <v>295</v>
      </c>
      <c r="F671" s="6">
        <v>2018</v>
      </c>
      <c r="G671" s="6" t="s">
        <v>276</v>
      </c>
      <c r="H671" s="6" t="s">
        <v>277</v>
      </c>
      <c r="I671" s="6" t="s">
        <v>278</v>
      </c>
      <c r="J671" s="6" t="str">
        <f t="shared" si="56"/>
        <v>Senecio_pinnatifolius</v>
      </c>
      <c r="K671" s="6" t="s">
        <v>279</v>
      </c>
      <c r="L671" s="6" t="s">
        <v>46</v>
      </c>
      <c r="M671" s="6" t="s">
        <v>49</v>
      </c>
      <c r="N671" s="6" t="s">
        <v>116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294</v>
      </c>
      <c r="T671" s="6" t="s">
        <v>294</v>
      </c>
      <c r="U671" s="6" t="s">
        <v>251</v>
      </c>
      <c r="V671" s="6" t="s">
        <v>690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284</v>
      </c>
      <c r="AE671" s="6" t="s">
        <v>287</v>
      </c>
      <c r="AF671" s="6" t="s">
        <v>49</v>
      </c>
      <c r="AG671" s="6" t="s">
        <v>49</v>
      </c>
      <c r="AH671" s="1" t="s">
        <v>183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6" t="s">
        <v>49</v>
      </c>
      <c r="AW671" s="30" t="s">
        <v>49</v>
      </c>
    </row>
    <row r="672" spans="1:49">
      <c r="A672" s="6" t="s">
        <v>274</v>
      </c>
      <c r="B672" s="6" t="s">
        <v>38</v>
      </c>
      <c r="C672" s="6" t="s">
        <v>49</v>
      </c>
      <c r="D672" s="6" t="s">
        <v>275</v>
      </c>
      <c r="E672" s="6" t="s">
        <v>295</v>
      </c>
      <c r="F672" s="6">
        <v>2018</v>
      </c>
      <c r="G672" s="6" t="s">
        <v>276</v>
      </c>
      <c r="H672" s="6" t="s">
        <v>277</v>
      </c>
      <c r="I672" s="6" t="s">
        <v>278</v>
      </c>
      <c r="J672" s="6" t="str">
        <f t="shared" si="56"/>
        <v>Senecio_pinnatifolius</v>
      </c>
      <c r="K672" s="6" t="s">
        <v>279</v>
      </c>
      <c r="L672" s="6" t="s">
        <v>46</v>
      </c>
      <c r="M672" s="6" t="s">
        <v>49</v>
      </c>
      <c r="N672" s="6" t="s">
        <v>116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294</v>
      </c>
      <c r="T672" s="6" t="s">
        <v>294</v>
      </c>
      <c r="U672" s="6" t="s">
        <v>251</v>
      </c>
      <c r="V672" s="6" t="s">
        <v>690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284</v>
      </c>
      <c r="AE672" s="6" t="s">
        <v>288</v>
      </c>
      <c r="AF672" s="6" t="s">
        <v>49</v>
      </c>
      <c r="AG672" s="6" t="s">
        <v>49</v>
      </c>
      <c r="AH672" s="1" t="s">
        <v>183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6" t="s">
        <v>49</v>
      </c>
      <c r="AW672" s="30" t="s">
        <v>49</v>
      </c>
    </row>
    <row r="673" spans="1:49">
      <c r="A673" s="6" t="s">
        <v>274</v>
      </c>
      <c r="B673" s="6" t="s">
        <v>38</v>
      </c>
      <c r="C673" s="6" t="s">
        <v>49</v>
      </c>
      <c r="D673" s="6" t="s">
        <v>275</v>
      </c>
      <c r="E673" s="6" t="s">
        <v>295</v>
      </c>
      <c r="F673" s="6">
        <v>2018</v>
      </c>
      <c r="G673" s="6" t="s">
        <v>276</v>
      </c>
      <c r="H673" s="6" t="s">
        <v>277</v>
      </c>
      <c r="I673" s="6" t="s">
        <v>278</v>
      </c>
      <c r="J673" s="6" t="str">
        <f t="shared" si="56"/>
        <v>Senecio_pinnatifolius</v>
      </c>
      <c r="K673" s="6" t="s">
        <v>279</v>
      </c>
      <c r="L673" s="6" t="s">
        <v>46</v>
      </c>
      <c r="M673" s="6" t="s">
        <v>49</v>
      </c>
      <c r="N673" s="6" t="s">
        <v>116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294</v>
      </c>
      <c r="T673" s="6" t="s">
        <v>294</v>
      </c>
      <c r="U673" s="6" t="s">
        <v>251</v>
      </c>
      <c r="V673" s="6" t="s">
        <v>690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284</v>
      </c>
      <c r="AE673" s="6" t="s">
        <v>289</v>
      </c>
      <c r="AF673" s="6" t="s">
        <v>49</v>
      </c>
      <c r="AG673" s="6" t="s">
        <v>49</v>
      </c>
      <c r="AH673" s="1" t="s">
        <v>183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6" t="s">
        <v>49</v>
      </c>
      <c r="AW673" s="30" t="s">
        <v>49</v>
      </c>
    </row>
    <row r="674" spans="1:49">
      <c r="A674" s="6" t="s">
        <v>274</v>
      </c>
      <c r="B674" s="6" t="s">
        <v>38</v>
      </c>
      <c r="C674" s="6" t="s">
        <v>49</v>
      </c>
      <c r="D674" s="6" t="s">
        <v>275</v>
      </c>
      <c r="E674" s="6" t="s">
        <v>295</v>
      </c>
      <c r="F674" s="6">
        <v>2018</v>
      </c>
      <c r="G674" s="6" t="s">
        <v>276</v>
      </c>
      <c r="H674" s="6" t="s">
        <v>277</v>
      </c>
      <c r="I674" s="6" t="s">
        <v>278</v>
      </c>
      <c r="J674" s="6" t="str">
        <f t="shared" si="56"/>
        <v>Senecio_pinnatifolius</v>
      </c>
      <c r="K674" s="6" t="s">
        <v>279</v>
      </c>
      <c r="L674" s="6" t="s">
        <v>46</v>
      </c>
      <c r="M674" s="6" t="s">
        <v>49</v>
      </c>
      <c r="N674" s="6" t="s">
        <v>116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294</v>
      </c>
      <c r="T674" s="6" t="s">
        <v>294</v>
      </c>
      <c r="U674" s="6" t="s">
        <v>251</v>
      </c>
      <c r="V674" s="6" t="s">
        <v>690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285</v>
      </c>
      <c r="AE674" s="6" t="s">
        <v>286</v>
      </c>
      <c r="AF674" s="6" t="s">
        <v>49</v>
      </c>
      <c r="AG674" s="6" t="s">
        <v>49</v>
      </c>
      <c r="AH674" s="1" t="s">
        <v>183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6" t="s">
        <v>49</v>
      </c>
      <c r="AW674" s="30" t="s">
        <v>49</v>
      </c>
    </row>
    <row r="675" spans="1:49">
      <c r="A675" s="6" t="s">
        <v>274</v>
      </c>
      <c r="B675" s="6" t="s">
        <v>38</v>
      </c>
      <c r="C675" s="6" t="s">
        <v>49</v>
      </c>
      <c r="D675" s="6" t="s">
        <v>275</v>
      </c>
      <c r="E675" s="6" t="s">
        <v>295</v>
      </c>
      <c r="F675" s="6">
        <v>2018</v>
      </c>
      <c r="G675" s="6" t="s">
        <v>276</v>
      </c>
      <c r="H675" s="6" t="s">
        <v>277</v>
      </c>
      <c r="I675" s="6" t="s">
        <v>278</v>
      </c>
      <c r="J675" s="6" t="str">
        <f t="shared" si="56"/>
        <v>Senecio_pinnatifolius</v>
      </c>
      <c r="K675" s="6" t="s">
        <v>279</v>
      </c>
      <c r="L675" s="6" t="s">
        <v>46</v>
      </c>
      <c r="M675" s="6" t="s">
        <v>49</v>
      </c>
      <c r="N675" s="6" t="s">
        <v>116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294</v>
      </c>
      <c r="T675" s="6" t="s">
        <v>294</v>
      </c>
      <c r="U675" s="6" t="s">
        <v>251</v>
      </c>
      <c r="V675" s="6" t="s">
        <v>690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285</v>
      </c>
      <c r="AE675" s="6" t="s">
        <v>287</v>
      </c>
      <c r="AF675" s="6" t="s">
        <v>49</v>
      </c>
      <c r="AG675" s="6" t="s">
        <v>49</v>
      </c>
      <c r="AH675" s="1" t="s">
        <v>183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6" t="s">
        <v>49</v>
      </c>
      <c r="AW675" s="30" t="s">
        <v>49</v>
      </c>
    </row>
    <row r="676" spans="1:49">
      <c r="A676" s="6" t="s">
        <v>274</v>
      </c>
      <c r="B676" s="6" t="s">
        <v>38</v>
      </c>
      <c r="C676" s="6" t="s">
        <v>49</v>
      </c>
      <c r="D676" s="6" t="s">
        <v>275</v>
      </c>
      <c r="E676" s="6" t="s">
        <v>295</v>
      </c>
      <c r="F676" s="6">
        <v>2018</v>
      </c>
      <c r="G676" s="6" t="s">
        <v>276</v>
      </c>
      <c r="H676" s="6" t="s">
        <v>277</v>
      </c>
      <c r="I676" s="6" t="s">
        <v>278</v>
      </c>
      <c r="J676" s="6" t="str">
        <f t="shared" si="56"/>
        <v>Senecio_pinnatifolius</v>
      </c>
      <c r="K676" s="6" t="s">
        <v>279</v>
      </c>
      <c r="L676" s="6" t="s">
        <v>46</v>
      </c>
      <c r="M676" s="6" t="s">
        <v>49</v>
      </c>
      <c r="N676" s="6" t="s">
        <v>116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294</v>
      </c>
      <c r="T676" s="6" t="s">
        <v>294</v>
      </c>
      <c r="U676" s="6" t="s">
        <v>251</v>
      </c>
      <c r="V676" s="6" t="s">
        <v>690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285</v>
      </c>
      <c r="AE676" s="6" t="s">
        <v>288</v>
      </c>
      <c r="AF676" s="6" t="s">
        <v>49</v>
      </c>
      <c r="AG676" s="6" t="s">
        <v>49</v>
      </c>
      <c r="AH676" s="1" t="s">
        <v>183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6" t="s">
        <v>49</v>
      </c>
      <c r="AW676" s="30" t="s">
        <v>49</v>
      </c>
    </row>
    <row r="677" spans="1:49">
      <c r="A677" s="6" t="s">
        <v>274</v>
      </c>
      <c r="B677" s="6" t="s">
        <v>38</v>
      </c>
      <c r="C677" s="6" t="s">
        <v>49</v>
      </c>
      <c r="D677" s="6" t="s">
        <v>275</v>
      </c>
      <c r="E677" s="6" t="s">
        <v>295</v>
      </c>
      <c r="F677" s="6">
        <v>2018</v>
      </c>
      <c r="G677" s="6" t="s">
        <v>276</v>
      </c>
      <c r="H677" s="6" t="s">
        <v>277</v>
      </c>
      <c r="I677" s="6" t="s">
        <v>278</v>
      </c>
      <c r="J677" s="6" t="str">
        <f t="shared" si="56"/>
        <v>Senecio_pinnatifolius</v>
      </c>
      <c r="K677" s="6" t="s">
        <v>279</v>
      </c>
      <c r="L677" s="6" t="s">
        <v>46</v>
      </c>
      <c r="M677" s="6" t="s">
        <v>49</v>
      </c>
      <c r="N677" s="6" t="s">
        <v>116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294</v>
      </c>
      <c r="T677" s="6" t="s">
        <v>294</v>
      </c>
      <c r="U677" s="6" t="s">
        <v>251</v>
      </c>
      <c r="V677" s="6" t="s">
        <v>690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285</v>
      </c>
      <c r="AE677" s="6" t="s">
        <v>289</v>
      </c>
      <c r="AF677" s="6" t="s">
        <v>49</v>
      </c>
      <c r="AG677" s="6" t="s">
        <v>49</v>
      </c>
      <c r="AH677" s="1" t="s">
        <v>183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6" t="s">
        <v>49</v>
      </c>
      <c r="AW677" s="30" t="s">
        <v>49</v>
      </c>
    </row>
    <row r="678" spans="1:49">
      <c r="A678" s="6" t="s">
        <v>274</v>
      </c>
      <c r="B678" s="6" t="s">
        <v>38</v>
      </c>
      <c r="C678" s="6" t="s">
        <v>49</v>
      </c>
      <c r="D678" s="6" t="s">
        <v>275</v>
      </c>
      <c r="E678" s="6" t="s">
        <v>295</v>
      </c>
      <c r="F678" s="6">
        <v>2018</v>
      </c>
      <c r="G678" s="6" t="s">
        <v>276</v>
      </c>
      <c r="H678" s="6" t="s">
        <v>277</v>
      </c>
      <c r="I678" s="6" t="s">
        <v>278</v>
      </c>
      <c r="J678" s="6" t="str">
        <f t="shared" si="56"/>
        <v>Senecio_pinnatifolius</v>
      </c>
      <c r="K678" s="6" t="s">
        <v>279</v>
      </c>
      <c r="L678" s="6" t="s">
        <v>46</v>
      </c>
      <c r="M678" s="6" t="s">
        <v>49</v>
      </c>
      <c r="N678" s="6" t="s">
        <v>116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294</v>
      </c>
      <c r="T678" s="6" t="s">
        <v>294</v>
      </c>
      <c r="U678" s="6" t="s">
        <v>251</v>
      </c>
      <c r="V678" s="6" t="s">
        <v>690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286</v>
      </c>
      <c r="AE678" s="6" t="s">
        <v>287</v>
      </c>
      <c r="AF678" s="6" t="s">
        <v>49</v>
      </c>
      <c r="AG678" s="6" t="s">
        <v>49</v>
      </c>
      <c r="AH678" s="1" t="s">
        <v>183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6" t="s">
        <v>49</v>
      </c>
      <c r="AW678" s="30" t="s">
        <v>49</v>
      </c>
    </row>
    <row r="679" spans="1:49">
      <c r="A679" s="6" t="s">
        <v>274</v>
      </c>
      <c r="B679" s="6" t="s">
        <v>38</v>
      </c>
      <c r="C679" s="6" t="s">
        <v>49</v>
      </c>
      <c r="D679" s="6" t="s">
        <v>275</v>
      </c>
      <c r="E679" s="6" t="s">
        <v>295</v>
      </c>
      <c r="F679" s="6">
        <v>2018</v>
      </c>
      <c r="G679" s="6" t="s">
        <v>276</v>
      </c>
      <c r="H679" s="6" t="s">
        <v>277</v>
      </c>
      <c r="I679" s="6" t="s">
        <v>278</v>
      </c>
      <c r="J679" s="6" t="str">
        <f t="shared" si="56"/>
        <v>Senecio_pinnatifolius</v>
      </c>
      <c r="K679" s="6" t="s">
        <v>279</v>
      </c>
      <c r="L679" s="6" t="s">
        <v>46</v>
      </c>
      <c r="M679" s="6" t="s">
        <v>49</v>
      </c>
      <c r="N679" s="6" t="s">
        <v>116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294</v>
      </c>
      <c r="T679" s="6" t="s">
        <v>294</v>
      </c>
      <c r="U679" s="6" t="s">
        <v>251</v>
      </c>
      <c r="V679" s="6" t="s">
        <v>690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286</v>
      </c>
      <c r="AE679" s="6" t="s">
        <v>288</v>
      </c>
      <c r="AF679" s="6" t="s">
        <v>49</v>
      </c>
      <c r="AG679" s="6" t="s">
        <v>49</v>
      </c>
      <c r="AH679" s="1" t="s">
        <v>183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6" t="s">
        <v>49</v>
      </c>
      <c r="AW679" s="30" t="s">
        <v>49</v>
      </c>
    </row>
    <row r="680" spans="1:49">
      <c r="A680" s="6" t="s">
        <v>274</v>
      </c>
      <c r="B680" s="6" t="s">
        <v>38</v>
      </c>
      <c r="C680" s="6" t="s">
        <v>49</v>
      </c>
      <c r="D680" s="6" t="s">
        <v>275</v>
      </c>
      <c r="E680" s="6" t="s">
        <v>295</v>
      </c>
      <c r="F680" s="6">
        <v>2018</v>
      </c>
      <c r="G680" s="6" t="s">
        <v>276</v>
      </c>
      <c r="H680" s="6" t="s">
        <v>277</v>
      </c>
      <c r="I680" s="6" t="s">
        <v>278</v>
      </c>
      <c r="J680" s="6" t="str">
        <f t="shared" si="56"/>
        <v>Senecio_pinnatifolius</v>
      </c>
      <c r="K680" s="6" t="s">
        <v>279</v>
      </c>
      <c r="L680" s="6" t="s">
        <v>46</v>
      </c>
      <c r="M680" s="6" t="s">
        <v>49</v>
      </c>
      <c r="N680" s="6" t="s">
        <v>116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294</v>
      </c>
      <c r="T680" s="6" t="s">
        <v>294</v>
      </c>
      <c r="U680" s="6" t="s">
        <v>251</v>
      </c>
      <c r="V680" s="6" t="s">
        <v>690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286</v>
      </c>
      <c r="AE680" s="6" t="s">
        <v>289</v>
      </c>
      <c r="AF680" s="6" t="s">
        <v>49</v>
      </c>
      <c r="AG680" s="6" t="s">
        <v>49</v>
      </c>
      <c r="AH680" s="1" t="s">
        <v>183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6" t="s">
        <v>49</v>
      </c>
      <c r="AW680" s="30" t="s">
        <v>49</v>
      </c>
    </row>
    <row r="681" spans="1:49">
      <c r="A681" s="6" t="s">
        <v>274</v>
      </c>
      <c r="B681" s="6" t="s">
        <v>38</v>
      </c>
      <c r="C681" s="6" t="s">
        <v>49</v>
      </c>
      <c r="D681" s="6" t="s">
        <v>275</v>
      </c>
      <c r="E681" s="6" t="s">
        <v>295</v>
      </c>
      <c r="F681" s="6">
        <v>2018</v>
      </c>
      <c r="G681" s="6" t="s">
        <v>276</v>
      </c>
      <c r="H681" s="6" t="s">
        <v>277</v>
      </c>
      <c r="I681" s="6" t="s">
        <v>278</v>
      </c>
      <c r="J681" s="6" t="str">
        <f t="shared" si="56"/>
        <v>Senecio_pinnatifolius</v>
      </c>
      <c r="K681" s="6" t="s">
        <v>279</v>
      </c>
      <c r="L681" s="6" t="s">
        <v>46</v>
      </c>
      <c r="M681" s="6" t="s">
        <v>49</v>
      </c>
      <c r="N681" s="6" t="s">
        <v>116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294</v>
      </c>
      <c r="T681" s="6" t="s">
        <v>294</v>
      </c>
      <c r="U681" s="6" t="s">
        <v>251</v>
      </c>
      <c r="V681" s="6" t="s">
        <v>690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287</v>
      </c>
      <c r="AE681" s="6" t="s">
        <v>288</v>
      </c>
      <c r="AF681" s="6" t="s">
        <v>49</v>
      </c>
      <c r="AG681" s="6" t="s">
        <v>49</v>
      </c>
      <c r="AH681" s="1" t="s">
        <v>183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6" t="s">
        <v>49</v>
      </c>
      <c r="AW681" s="30" t="s">
        <v>49</v>
      </c>
    </row>
    <row r="682" spans="1:49">
      <c r="A682" s="6" t="s">
        <v>274</v>
      </c>
      <c r="B682" s="6" t="s">
        <v>38</v>
      </c>
      <c r="C682" s="6" t="s">
        <v>49</v>
      </c>
      <c r="D682" s="6" t="s">
        <v>275</v>
      </c>
      <c r="E682" s="6" t="s">
        <v>295</v>
      </c>
      <c r="F682" s="6">
        <v>2018</v>
      </c>
      <c r="G682" s="6" t="s">
        <v>276</v>
      </c>
      <c r="H682" s="6" t="s">
        <v>277</v>
      </c>
      <c r="I682" s="6" t="s">
        <v>278</v>
      </c>
      <c r="J682" s="6" t="str">
        <f t="shared" si="56"/>
        <v>Senecio_pinnatifolius</v>
      </c>
      <c r="K682" s="6" t="s">
        <v>279</v>
      </c>
      <c r="L682" s="6" t="s">
        <v>46</v>
      </c>
      <c r="M682" s="6" t="s">
        <v>49</v>
      </c>
      <c r="N682" s="6" t="s">
        <v>116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294</v>
      </c>
      <c r="T682" s="6" t="s">
        <v>294</v>
      </c>
      <c r="U682" s="6" t="s">
        <v>251</v>
      </c>
      <c r="V682" s="6" t="s">
        <v>690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287</v>
      </c>
      <c r="AE682" s="6" t="s">
        <v>289</v>
      </c>
      <c r="AF682" s="6" t="s">
        <v>49</v>
      </c>
      <c r="AG682" s="6" t="s">
        <v>49</v>
      </c>
      <c r="AH682" s="1" t="s">
        <v>183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6" t="s">
        <v>49</v>
      </c>
      <c r="AW682" s="30" t="s">
        <v>49</v>
      </c>
    </row>
    <row r="683" spans="1:49">
      <c r="A683" s="6" t="s">
        <v>274</v>
      </c>
      <c r="B683" s="6" t="s">
        <v>38</v>
      </c>
      <c r="C683" s="6" t="s">
        <v>49</v>
      </c>
      <c r="D683" s="6" t="s">
        <v>275</v>
      </c>
      <c r="E683" s="6" t="s">
        <v>295</v>
      </c>
      <c r="F683" s="6">
        <v>2018</v>
      </c>
      <c r="G683" s="6" t="s">
        <v>276</v>
      </c>
      <c r="H683" s="6" t="s">
        <v>277</v>
      </c>
      <c r="I683" s="6" t="s">
        <v>278</v>
      </c>
      <c r="J683" s="6" t="str">
        <f t="shared" si="56"/>
        <v>Senecio_pinnatifolius</v>
      </c>
      <c r="K683" s="6" t="s">
        <v>279</v>
      </c>
      <c r="L683" s="6" t="s">
        <v>46</v>
      </c>
      <c r="M683" s="6" t="s">
        <v>49</v>
      </c>
      <c r="N683" s="6" t="s">
        <v>116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294</v>
      </c>
      <c r="T683" s="6" t="s">
        <v>294</v>
      </c>
      <c r="U683" s="6" t="s">
        <v>251</v>
      </c>
      <c r="V683" s="6" t="s">
        <v>690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288</v>
      </c>
      <c r="AE683" s="6" t="s">
        <v>289</v>
      </c>
      <c r="AF683" s="6" t="s">
        <v>49</v>
      </c>
      <c r="AG683" s="6" t="s">
        <v>49</v>
      </c>
      <c r="AH683" s="1" t="s">
        <v>183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6" t="s">
        <v>49</v>
      </c>
      <c r="AW683" s="30" t="s">
        <v>49</v>
      </c>
    </row>
    <row r="684" spans="1:49">
      <c r="A684" s="6" t="s">
        <v>274</v>
      </c>
      <c r="B684" s="6" t="s">
        <v>38</v>
      </c>
      <c r="C684" s="6" t="s">
        <v>49</v>
      </c>
      <c r="D684" s="6" t="s">
        <v>275</v>
      </c>
      <c r="E684" s="6" t="s">
        <v>295</v>
      </c>
      <c r="F684" s="6">
        <v>2018</v>
      </c>
      <c r="G684" s="6" t="s">
        <v>276</v>
      </c>
      <c r="H684" s="6" t="s">
        <v>277</v>
      </c>
      <c r="I684" s="6" t="s">
        <v>278</v>
      </c>
      <c r="J684" s="6" t="str">
        <f>H684&amp;"_"&amp;I684</f>
        <v>Senecio_pinnatifolius</v>
      </c>
      <c r="K684" s="6" t="s">
        <v>279</v>
      </c>
      <c r="L684" s="6" t="s">
        <v>46</v>
      </c>
      <c r="M684" s="6" t="s">
        <v>49</v>
      </c>
      <c r="N684" s="6" t="s">
        <v>116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294</v>
      </c>
      <c r="T684" s="6" t="s">
        <v>294</v>
      </c>
      <c r="U684" s="6" t="s">
        <v>251</v>
      </c>
      <c r="V684" s="6" t="s">
        <v>691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127</v>
      </c>
      <c r="AB684" s="6" t="s">
        <v>241</v>
      </c>
      <c r="AC684" s="6" t="s">
        <v>242</v>
      </c>
      <c r="AD684" s="6" t="s">
        <v>242</v>
      </c>
      <c r="AE684" s="6" t="s">
        <v>242</v>
      </c>
      <c r="AF684" s="6" t="s">
        <v>60</v>
      </c>
      <c r="AG684" s="6" t="s">
        <v>61</v>
      </c>
      <c r="AH684" s="1" t="s">
        <v>183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 t="s">
        <v>49</v>
      </c>
      <c r="AS684" s="6">
        <f>AN684*AL684</f>
        <v>500.69803649999994</v>
      </c>
      <c r="AT684" s="6">
        <f>AS684/(AM684^2)*100</f>
        <v>6.087619605040544</v>
      </c>
      <c r="AU684" s="6" t="s">
        <v>49</v>
      </c>
      <c r="AV684" s="4">
        <f>AT684*(1-AL684)/AL684</f>
        <v>8.3722844449369944</v>
      </c>
      <c r="AW684" s="30" t="s">
        <v>49</v>
      </c>
    </row>
    <row r="685" spans="1:49">
      <c r="A685" s="6" t="s">
        <v>274</v>
      </c>
      <c r="B685" s="6" t="s">
        <v>38</v>
      </c>
      <c r="C685" s="6" t="s">
        <v>49</v>
      </c>
      <c r="D685" s="6" t="s">
        <v>275</v>
      </c>
      <c r="E685" s="6" t="s">
        <v>295</v>
      </c>
      <c r="F685" s="6">
        <v>2018</v>
      </c>
      <c r="G685" s="6" t="s">
        <v>276</v>
      </c>
      <c r="H685" s="6" t="s">
        <v>277</v>
      </c>
      <c r="I685" s="6" t="s">
        <v>278</v>
      </c>
      <c r="J685" s="6" t="str">
        <f>H685&amp;"_"&amp;I685</f>
        <v>Senecio_pinnatifolius</v>
      </c>
      <c r="K685" s="6" t="s">
        <v>279</v>
      </c>
      <c r="L685" s="6" t="s">
        <v>46</v>
      </c>
      <c r="M685" s="6" t="s">
        <v>49</v>
      </c>
      <c r="N685" s="6" t="s">
        <v>116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294</v>
      </c>
      <c r="T685" s="6" t="s">
        <v>294</v>
      </c>
      <c r="U685" s="6" t="s">
        <v>251</v>
      </c>
      <c r="V685" s="6" t="s">
        <v>691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127</v>
      </c>
      <c r="AB685" s="6" t="s">
        <v>292</v>
      </c>
      <c r="AC685" s="6" t="s">
        <v>292</v>
      </c>
      <c r="AD685" s="6" t="s">
        <v>281</v>
      </c>
      <c r="AE685" s="6" t="s">
        <v>281</v>
      </c>
      <c r="AF685" s="6" t="s">
        <v>60</v>
      </c>
      <c r="AG685" s="6" t="s">
        <v>60</v>
      </c>
      <c r="AH685" s="1" t="s">
        <v>183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 t="s">
        <v>49</v>
      </c>
      <c r="AS685" s="6">
        <f t="shared" ref="AS685:AS693" si="57">AN685*AL685</f>
        <v>7.1488999999999997E-3</v>
      </c>
      <c r="AT685" s="6">
        <f t="shared" ref="AT685:AT693" si="58">AS685/(AM685^2)*100</f>
        <v>15.04271525965828</v>
      </c>
      <c r="AU685" s="6" t="s">
        <v>49</v>
      </c>
      <c r="AV685" s="4">
        <f t="shared" ref="AV685:AV693" si="59">AT685*(1-AL685)/AL685</f>
        <v>5.3680245770558042</v>
      </c>
      <c r="AW685" s="30" t="s">
        <v>49</v>
      </c>
    </row>
    <row r="686" spans="1:49">
      <c r="A686" s="6" t="s">
        <v>274</v>
      </c>
      <c r="B686" s="6" t="s">
        <v>38</v>
      </c>
      <c r="C686" s="6" t="s">
        <v>49</v>
      </c>
      <c r="D686" s="6" t="s">
        <v>275</v>
      </c>
      <c r="E686" s="6" t="s">
        <v>295</v>
      </c>
      <c r="F686" s="6">
        <v>2018</v>
      </c>
      <c r="G686" s="6" t="s">
        <v>276</v>
      </c>
      <c r="H686" s="6" t="s">
        <v>277</v>
      </c>
      <c r="I686" s="6" t="s">
        <v>278</v>
      </c>
      <c r="J686" s="6" t="str">
        <f t="shared" ref="J686:J738" si="60">H686&amp;"_"&amp;I686</f>
        <v>Senecio_pinnatifolius</v>
      </c>
      <c r="K686" s="6" t="s">
        <v>279</v>
      </c>
      <c r="L686" s="6" t="s">
        <v>46</v>
      </c>
      <c r="M686" s="6" t="s">
        <v>49</v>
      </c>
      <c r="N686" s="6" t="s">
        <v>116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294</v>
      </c>
      <c r="T686" s="6" t="s">
        <v>294</v>
      </c>
      <c r="U686" s="6" t="s">
        <v>251</v>
      </c>
      <c r="V686" s="6" t="s">
        <v>691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127</v>
      </c>
      <c r="AB686" s="6" t="s">
        <v>241</v>
      </c>
      <c r="AC686" s="6" t="s">
        <v>291</v>
      </c>
      <c r="AD686" s="6" t="s">
        <v>282</v>
      </c>
      <c r="AE686" s="6" t="s">
        <v>282</v>
      </c>
      <c r="AF686" s="6" t="s">
        <v>60</v>
      </c>
      <c r="AG686" s="6" t="s">
        <v>53</v>
      </c>
      <c r="AH686" s="1" t="s">
        <v>183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 t="s">
        <v>49</v>
      </c>
      <c r="AS686" s="6">
        <f t="shared" si="57"/>
        <v>3.2313599999999996</v>
      </c>
      <c r="AT686" s="6">
        <f t="shared" si="58"/>
        <v>1.1629639473006623</v>
      </c>
      <c r="AU686" s="6" t="s">
        <v>49</v>
      </c>
      <c r="AV686" s="4">
        <f t="shared" si="59"/>
        <v>0.3513120257470751</v>
      </c>
      <c r="AW686" s="30" t="s">
        <v>49</v>
      </c>
    </row>
    <row r="687" spans="1:49">
      <c r="A687" s="6" t="s">
        <v>274</v>
      </c>
      <c r="B687" s="6" t="s">
        <v>38</v>
      </c>
      <c r="C687" s="6" t="s">
        <v>49</v>
      </c>
      <c r="D687" s="6" t="s">
        <v>275</v>
      </c>
      <c r="E687" s="6" t="s">
        <v>295</v>
      </c>
      <c r="F687" s="6">
        <v>2018</v>
      </c>
      <c r="G687" s="6" t="s">
        <v>276</v>
      </c>
      <c r="H687" s="6" t="s">
        <v>277</v>
      </c>
      <c r="I687" s="6" t="s">
        <v>278</v>
      </c>
      <c r="J687" s="6" t="str">
        <f t="shared" si="60"/>
        <v>Senecio_pinnatifolius</v>
      </c>
      <c r="K687" s="6" t="s">
        <v>279</v>
      </c>
      <c r="L687" s="6" t="s">
        <v>46</v>
      </c>
      <c r="M687" s="6" t="s">
        <v>49</v>
      </c>
      <c r="N687" s="6" t="s">
        <v>116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294</v>
      </c>
      <c r="T687" s="6" t="s">
        <v>294</v>
      </c>
      <c r="U687" s="6" t="s">
        <v>251</v>
      </c>
      <c r="V687" s="6" t="s">
        <v>691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127</v>
      </c>
      <c r="AB687" s="6" t="s">
        <v>241</v>
      </c>
      <c r="AC687" s="6" t="s">
        <v>290</v>
      </c>
      <c r="AD687" s="6" t="s">
        <v>283</v>
      </c>
      <c r="AE687" s="6" t="s">
        <v>283</v>
      </c>
      <c r="AF687" s="6" t="s">
        <v>60</v>
      </c>
      <c r="AG687" s="6" t="s">
        <v>61</v>
      </c>
      <c r="AH687" s="1" t="s">
        <v>183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 t="s">
        <v>49</v>
      </c>
      <c r="AS687" s="6">
        <f t="shared" si="57"/>
        <v>0.14245260000000001</v>
      </c>
      <c r="AT687" s="6">
        <f t="shared" si="58"/>
        <v>1.3395803940918107</v>
      </c>
      <c r="AU687" s="6" t="s">
        <v>49</v>
      </c>
      <c r="AV687" s="4">
        <f t="shared" si="59"/>
        <v>0.29007945273520969</v>
      </c>
      <c r="AW687" s="30" t="s">
        <v>49</v>
      </c>
    </row>
    <row r="688" spans="1:49">
      <c r="A688" s="6" t="s">
        <v>274</v>
      </c>
      <c r="B688" s="6" t="s">
        <v>38</v>
      </c>
      <c r="C688" s="6" t="s">
        <v>49</v>
      </c>
      <c r="D688" s="6" t="s">
        <v>275</v>
      </c>
      <c r="E688" s="6" t="s">
        <v>295</v>
      </c>
      <c r="F688" s="6">
        <v>2018</v>
      </c>
      <c r="G688" s="6" t="s">
        <v>276</v>
      </c>
      <c r="H688" s="6" t="s">
        <v>277</v>
      </c>
      <c r="I688" s="6" t="s">
        <v>278</v>
      </c>
      <c r="J688" s="6" t="str">
        <f t="shared" si="60"/>
        <v>Senecio_pinnatifolius</v>
      </c>
      <c r="K688" s="6" t="s">
        <v>279</v>
      </c>
      <c r="L688" s="6" t="s">
        <v>46</v>
      </c>
      <c r="M688" s="6" t="s">
        <v>49</v>
      </c>
      <c r="N688" s="6" t="s">
        <v>116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294</v>
      </c>
      <c r="T688" s="6" t="s">
        <v>294</v>
      </c>
      <c r="U688" s="6" t="s">
        <v>251</v>
      </c>
      <c r="V688" s="6" t="s">
        <v>691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127</v>
      </c>
      <c r="AB688" s="6" t="s">
        <v>239</v>
      </c>
      <c r="AC688" s="6" t="s">
        <v>284</v>
      </c>
      <c r="AD688" s="6" t="s">
        <v>284</v>
      </c>
      <c r="AE688" s="6" t="s">
        <v>284</v>
      </c>
      <c r="AF688" s="6" t="s">
        <v>60</v>
      </c>
      <c r="AG688" s="6" t="s">
        <v>129</v>
      </c>
      <c r="AH688" s="1" t="s">
        <v>183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 t="s">
        <v>49</v>
      </c>
      <c r="AS688" s="6">
        <f t="shared" si="57"/>
        <v>34925.5065302</v>
      </c>
      <c r="AT688" s="6">
        <f t="shared" si="58"/>
        <v>10.962554454533658</v>
      </c>
      <c r="AU688" s="6" t="s">
        <v>49</v>
      </c>
      <c r="AV688" s="4">
        <f t="shared" si="59"/>
        <v>-3.2789295477168287E-2</v>
      </c>
      <c r="AW688" s="30" t="s">
        <v>49</v>
      </c>
    </row>
    <row r="689" spans="1:49">
      <c r="A689" s="6" t="s">
        <v>274</v>
      </c>
      <c r="B689" s="6" t="s">
        <v>38</v>
      </c>
      <c r="C689" s="6" t="s">
        <v>49</v>
      </c>
      <c r="D689" s="6" t="s">
        <v>275</v>
      </c>
      <c r="E689" s="6" t="s">
        <v>295</v>
      </c>
      <c r="F689" s="6">
        <v>2018</v>
      </c>
      <c r="G689" s="6" t="s">
        <v>276</v>
      </c>
      <c r="H689" s="6" t="s">
        <v>277</v>
      </c>
      <c r="I689" s="6" t="s">
        <v>278</v>
      </c>
      <c r="J689" s="6" t="str">
        <f t="shared" si="60"/>
        <v>Senecio_pinnatifolius</v>
      </c>
      <c r="K689" s="6" t="s">
        <v>279</v>
      </c>
      <c r="L689" s="6" t="s">
        <v>46</v>
      </c>
      <c r="M689" s="6" t="s">
        <v>49</v>
      </c>
      <c r="N689" s="6" t="s">
        <v>116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294</v>
      </c>
      <c r="T689" s="6" t="s">
        <v>294</v>
      </c>
      <c r="U689" s="6" t="s">
        <v>251</v>
      </c>
      <c r="V689" s="6" t="s">
        <v>691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127</v>
      </c>
      <c r="AB689" s="6" t="s">
        <v>292</v>
      </c>
      <c r="AC689" s="6" t="s">
        <v>292</v>
      </c>
      <c r="AD689" s="6" t="s">
        <v>285</v>
      </c>
      <c r="AE689" s="6" t="s">
        <v>285</v>
      </c>
      <c r="AF689" s="6" t="s">
        <v>60</v>
      </c>
      <c r="AG689" s="6" t="s">
        <v>60</v>
      </c>
      <c r="AH689" s="1" t="s">
        <v>183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 t="s">
        <v>49</v>
      </c>
      <c r="AS689" s="6">
        <f t="shared" si="57"/>
        <v>3.5499999999999996E-4</v>
      </c>
      <c r="AT689" s="6">
        <f t="shared" si="58"/>
        <v>3.7729833138484423</v>
      </c>
      <c r="AU689" s="6" t="s">
        <v>49</v>
      </c>
      <c r="AV689" s="4">
        <f t="shared" si="59"/>
        <v>49.367626740354979</v>
      </c>
      <c r="AW689" s="30" t="s">
        <v>49</v>
      </c>
    </row>
    <row r="690" spans="1:49">
      <c r="A690" s="6" t="s">
        <v>274</v>
      </c>
      <c r="B690" s="6" t="s">
        <v>38</v>
      </c>
      <c r="C690" s="6" t="s">
        <v>49</v>
      </c>
      <c r="D690" s="6" t="s">
        <v>275</v>
      </c>
      <c r="E690" s="6" t="s">
        <v>295</v>
      </c>
      <c r="F690" s="6">
        <v>2018</v>
      </c>
      <c r="G690" s="6" t="s">
        <v>276</v>
      </c>
      <c r="H690" s="6" t="s">
        <v>277</v>
      </c>
      <c r="I690" s="6" t="s">
        <v>278</v>
      </c>
      <c r="J690" s="6" t="str">
        <f t="shared" si="60"/>
        <v>Senecio_pinnatifolius</v>
      </c>
      <c r="K690" s="6" t="s">
        <v>279</v>
      </c>
      <c r="L690" s="6" t="s">
        <v>46</v>
      </c>
      <c r="M690" s="6" t="s">
        <v>49</v>
      </c>
      <c r="N690" s="6" t="s">
        <v>116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294</v>
      </c>
      <c r="T690" s="6" t="s">
        <v>294</v>
      </c>
      <c r="U690" s="6" t="s">
        <v>251</v>
      </c>
      <c r="V690" s="6" t="s">
        <v>691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127</v>
      </c>
      <c r="AB690" s="6" t="s">
        <v>292</v>
      </c>
      <c r="AC690" s="6" t="s">
        <v>292</v>
      </c>
      <c r="AD690" s="6" t="s">
        <v>286</v>
      </c>
      <c r="AE690" s="6" t="s">
        <v>286</v>
      </c>
      <c r="AF690" s="6" t="s">
        <v>49</v>
      </c>
      <c r="AG690" s="6" t="s">
        <v>49</v>
      </c>
      <c r="AH690" s="1" t="s">
        <v>183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 t="s">
        <v>49</v>
      </c>
      <c r="AS690" s="6">
        <f t="shared" si="57"/>
        <v>5.3681660999999998</v>
      </c>
      <c r="AT690" s="6">
        <f t="shared" si="58"/>
        <v>0.24485415226329579</v>
      </c>
      <c r="AU690" s="6" t="s">
        <v>49</v>
      </c>
      <c r="AV690" s="4">
        <f t="shared" si="59"/>
        <v>2.7051958750053284</v>
      </c>
      <c r="AW690" s="30" t="s">
        <v>49</v>
      </c>
    </row>
    <row r="691" spans="1:49">
      <c r="A691" s="6" t="s">
        <v>274</v>
      </c>
      <c r="B691" s="6" t="s">
        <v>38</v>
      </c>
      <c r="C691" s="6" t="s">
        <v>49</v>
      </c>
      <c r="D691" s="6" t="s">
        <v>275</v>
      </c>
      <c r="E691" s="6" t="s">
        <v>295</v>
      </c>
      <c r="F691" s="6">
        <v>2018</v>
      </c>
      <c r="G691" s="6" t="s">
        <v>276</v>
      </c>
      <c r="H691" s="6" t="s">
        <v>277</v>
      </c>
      <c r="I691" s="6" t="s">
        <v>278</v>
      </c>
      <c r="J691" s="6" t="str">
        <f t="shared" si="60"/>
        <v>Senecio_pinnatifolius</v>
      </c>
      <c r="K691" s="6" t="s">
        <v>279</v>
      </c>
      <c r="L691" s="6" t="s">
        <v>46</v>
      </c>
      <c r="M691" s="6" t="s">
        <v>49</v>
      </c>
      <c r="N691" s="6" t="s">
        <v>116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294</v>
      </c>
      <c r="T691" s="6" t="s">
        <v>294</v>
      </c>
      <c r="U691" s="6" t="s">
        <v>251</v>
      </c>
      <c r="V691" s="6" t="s">
        <v>691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127</v>
      </c>
      <c r="AB691" s="6" t="s">
        <v>292</v>
      </c>
      <c r="AC691" s="6" t="s">
        <v>292</v>
      </c>
      <c r="AD691" s="6" t="s">
        <v>287</v>
      </c>
      <c r="AE691" s="6" t="s">
        <v>287</v>
      </c>
      <c r="AF691" s="6" t="s">
        <v>60</v>
      </c>
      <c r="AG691" s="6" t="s">
        <v>53</v>
      </c>
      <c r="AH691" s="1" t="s">
        <v>183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 t="s">
        <v>49</v>
      </c>
      <c r="AS691" s="6">
        <f t="shared" si="57"/>
        <v>1.9709999999999999E-4</v>
      </c>
      <c r="AT691" s="6">
        <f t="shared" si="58"/>
        <v>1.2614399999999999</v>
      </c>
      <c r="AU691" s="6" t="s">
        <v>49</v>
      </c>
      <c r="AV691" s="4">
        <f t="shared" si="59"/>
        <v>4.4985599999999994</v>
      </c>
      <c r="AW691" s="30" t="s">
        <v>49</v>
      </c>
    </row>
    <row r="692" spans="1:49">
      <c r="A692" s="6" t="s">
        <v>274</v>
      </c>
      <c r="B692" s="6" t="s">
        <v>38</v>
      </c>
      <c r="C692" s="6" t="s">
        <v>49</v>
      </c>
      <c r="D692" s="6" t="s">
        <v>275</v>
      </c>
      <c r="E692" s="6" t="s">
        <v>295</v>
      </c>
      <c r="F692" s="6">
        <v>2018</v>
      </c>
      <c r="G692" s="6" t="s">
        <v>276</v>
      </c>
      <c r="H692" s="6" t="s">
        <v>277</v>
      </c>
      <c r="I692" s="6" t="s">
        <v>278</v>
      </c>
      <c r="J692" s="6" t="str">
        <f t="shared" si="60"/>
        <v>Senecio_pinnatifolius</v>
      </c>
      <c r="K692" s="6" t="s">
        <v>279</v>
      </c>
      <c r="L692" s="6" t="s">
        <v>46</v>
      </c>
      <c r="M692" s="6" t="s">
        <v>49</v>
      </c>
      <c r="N692" s="6" t="s">
        <v>116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294</v>
      </c>
      <c r="T692" s="6" t="s">
        <v>294</v>
      </c>
      <c r="U692" s="6" t="s">
        <v>251</v>
      </c>
      <c r="V692" s="6" t="s">
        <v>691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127</v>
      </c>
      <c r="AB692" s="6" t="s">
        <v>239</v>
      </c>
      <c r="AC692" s="6" t="s">
        <v>293</v>
      </c>
      <c r="AD692" s="6" t="s">
        <v>288</v>
      </c>
      <c r="AE692" s="6" t="s">
        <v>288</v>
      </c>
      <c r="AF692" s="6" t="s">
        <v>60</v>
      </c>
      <c r="AG692" s="6" t="s">
        <v>61</v>
      </c>
      <c r="AH692" s="1" t="s">
        <v>183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 t="s">
        <v>49</v>
      </c>
      <c r="AS692" s="6">
        <f t="shared" si="57"/>
        <v>0.34219640000000001</v>
      </c>
      <c r="AT692" s="6">
        <f t="shared" si="58"/>
        <v>0.79858920335244832</v>
      </c>
      <c r="AU692" s="6" t="s">
        <v>49</v>
      </c>
      <c r="AV692" s="4">
        <f t="shared" si="59"/>
        <v>4.2557728431820347</v>
      </c>
      <c r="AW692" s="30" t="s">
        <v>49</v>
      </c>
    </row>
    <row r="693" spans="1:49">
      <c r="A693" s="6" t="s">
        <v>274</v>
      </c>
      <c r="B693" s="6" t="s">
        <v>38</v>
      </c>
      <c r="C693" s="6" t="s">
        <v>49</v>
      </c>
      <c r="D693" s="6" t="s">
        <v>275</v>
      </c>
      <c r="E693" s="6" t="s">
        <v>295</v>
      </c>
      <c r="F693" s="6">
        <v>2018</v>
      </c>
      <c r="G693" s="6" t="s">
        <v>276</v>
      </c>
      <c r="H693" s="6" t="s">
        <v>277</v>
      </c>
      <c r="I693" s="6" t="s">
        <v>278</v>
      </c>
      <c r="J693" s="6" t="str">
        <f t="shared" si="60"/>
        <v>Senecio_pinnatifolius</v>
      </c>
      <c r="K693" s="6" t="s">
        <v>279</v>
      </c>
      <c r="L693" s="6" t="s">
        <v>46</v>
      </c>
      <c r="M693" s="6" t="s">
        <v>49</v>
      </c>
      <c r="N693" s="6" t="s">
        <v>116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294</v>
      </c>
      <c r="T693" s="6" t="s">
        <v>294</v>
      </c>
      <c r="U693" s="6" t="s">
        <v>251</v>
      </c>
      <c r="V693" s="6" t="s">
        <v>691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127</v>
      </c>
      <c r="AB693" s="6" t="s">
        <v>239</v>
      </c>
      <c r="AC693" s="6" t="s">
        <v>293</v>
      </c>
      <c r="AD693" s="6" t="s">
        <v>289</v>
      </c>
      <c r="AE693" s="6" t="s">
        <v>289</v>
      </c>
      <c r="AF693" s="6" t="s">
        <v>60</v>
      </c>
      <c r="AG693" s="6" t="s">
        <v>61</v>
      </c>
      <c r="AH693" s="1" t="s">
        <v>183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 t="s">
        <v>49</v>
      </c>
      <c r="AS693" s="6">
        <f t="shared" si="57"/>
        <v>7.6049599999999995E-2</v>
      </c>
      <c r="AT693" s="6">
        <f t="shared" si="58"/>
        <v>4.8438957993234437</v>
      </c>
      <c r="AU693" s="6" t="s">
        <v>49</v>
      </c>
      <c r="AV693" s="4">
        <f t="shared" si="59"/>
        <v>22.678239424105215</v>
      </c>
      <c r="AW693" s="30" t="s">
        <v>49</v>
      </c>
    </row>
    <row r="694" spans="1:49">
      <c r="A694" s="6" t="s">
        <v>274</v>
      </c>
      <c r="B694" s="6" t="s">
        <v>38</v>
      </c>
      <c r="C694" s="6" t="s">
        <v>49</v>
      </c>
      <c r="D694" s="6" t="s">
        <v>275</v>
      </c>
      <c r="E694" s="6" t="s">
        <v>295</v>
      </c>
      <c r="F694" s="6">
        <v>2018</v>
      </c>
      <c r="G694" s="6" t="s">
        <v>276</v>
      </c>
      <c r="H694" s="6" t="s">
        <v>277</v>
      </c>
      <c r="I694" s="6" t="s">
        <v>278</v>
      </c>
      <c r="J694" s="6" t="str">
        <f t="shared" si="60"/>
        <v>Senecio_pinnatifolius</v>
      </c>
      <c r="K694" s="6" t="s">
        <v>279</v>
      </c>
      <c r="L694" s="6" t="s">
        <v>46</v>
      </c>
      <c r="M694" s="6" t="s">
        <v>49</v>
      </c>
      <c r="N694" s="6" t="s">
        <v>116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294</v>
      </c>
      <c r="T694" s="6" t="s">
        <v>294</v>
      </c>
      <c r="U694" s="6" t="s">
        <v>251</v>
      </c>
      <c r="V694" s="6" t="s">
        <v>691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242</v>
      </c>
      <c r="AE694" s="6" t="s">
        <v>281</v>
      </c>
      <c r="AF694" s="6" t="s">
        <v>49</v>
      </c>
      <c r="AG694" s="6" t="s">
        <v>49</v>
      </c>
      <c r="AH694" s="1" t="s">
        <v>183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6" t="s">
        <v>49</v>
      </c>
      <c r="AW694" s="30" t="s">
        <v>49</v>
      </c>
    </row>
    <row r="695" spans="1:49">
      <c r="A695" s="6" t="s">
        <v>274</v>
      </c>
      <c r="B695" s="6" t="s">
        <v>38</v>
      </c>
      <c r="C695" s="6" t="s">
        <v>49</v>
      </c>
      <c r="D695" s="6" t="s">
        <v>275</v>
      </c>
      <c r="E695" s="6" t="s">
        <v>295</v>
      </c>
      <c r="F695" s="6">
        <v>2018</v>
      </c>
      <c r="G695" s="6" t="s">
        <v>276</v>
      </c>
      <c r="H695" s="6" t="s">
        <v>277</v>
      </c>
      <c r="I695" s="6" t="s">
        <v>278</v>
      </c>
      <c r="J695" s="6" t="str">
        <f t="shared" si="60"/>
        <v>Senecio_pinnatifolius</v>
      </c>
      <c r="K695" s="6" t="s">
        <v>279</v>
      </c>
      <c r="L695" s="6" t="s">
        <v>46</v>
      </c>
      <c r="M695" s="6" t="s">
        <v>49</v>
      </c>
      <c r="N695" s="6" t="s">
        <v>116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294</v>
      </c>
      <c r="T695" s="6" t="s">
        <v>294</v>
      </c>
      <c r="U695" s="6" t="s">
        <v>251</v>
      </c>
      <c r="V695" s="6" t="s">
        <v>691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242</v>
      </c>
      <c r="AE695" s="6" t="s">
        <v>282</v>
      </c>
      <c r="AF695" s="6" t="s">
        <v>49</v>
      </c>
      <c r="AG695" s="6" t="s">
        <v>49</v>
      </c>
      <c r="AH695" s="1" t="s">
        <v>183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6" t="s">
        <v>49</v>
      </c>
      <c r="AW695" s="30" t="s">
        <v>49</v>
      </c>
    </row>
    <row r="696" spans="1:49">
      <c r="A696" s="6" t="s">
        <v>274</v>
      </c>
      <c r="B696" s="6" t="s">
        <v>38</v>
      </c>
      <c r="C696" s="6" t="s">
        <v>49</v>
      </c>
      <c r="D696" s="6" t="s">
        <v>275</v>
      </c>
      <c r="E696" s="6" t="s">
        <v>295</v>
      </c>
      <c r="F696" s="6">
        <v>2018</v>
      </c>
      <c r="G696" s="6" t="s">
        <v>276</v>
      </c>
      <c r="H696" s="6" t="s">
        <v>277</v>
      </c>
      <c r="I696" s="6" t="s">
        <v>278</v>
      </c>
      <c r="J696" s="6" t="str">
        <f t="shared" si="60"/>
        <v>Senecio_pinnatifolius</v>
      </c>
      <c r="K696" s="6" t="s">
        <v>279</v>
      </c>
      <c r="L696" s="6" t="s">
        <v>46</v>
      </c>
      <c r="M696" s="6" t="s">
        <v>49</v>
      </c>
      <c r="N696" s="6" t="s">
        <v>116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294</v>
      </c>
      <c r="T696" s="6" t="s">
        <v>294</v>
      </c>
      <c r="U696" s="6" t="s">
        <v>251</v>
      </c>
      <c r="V696" s="6" t="s">
        <v>691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242</v>
      </c>
      <c r="AE696" s="6" t="s">
        <v>283</v>
      </c>
      <c r="AF696" s="6" t="s">
        <v>49</v>
      </c>
      <c r="AG696" s="6" t="s">
        <v>49</v>
      </c>
      <c r="AH696" s="1" t="s">
        <v>183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6" t="s">
        <v>49</v>
      </c>
      <c r="AW696" s="30" t="s">
        <v>49</v>
      </c>
    </row>
    <row r="697" spans="1:49">
      <c r="A697" s="6" t="s">
        <v>274</v>
      </c>
      <c r="B697" s="6" t="s">
        <v>38</v>
      </c>
      <c r="C697" s="6" t="s">
        <v>49</v>
      </c>
      <c r="D697" s="6" t="s">
        <v>275</v>
      </c>
      <c r="E697" s="6" t="s">
        <v>295</v>
      </c>
      <c r="F697" s="6">
        <v>2018</v>
      </c>
      <c r="G697" s="6" t="s">
        <v>276</v>
      </c>
      <c r="H697" s="6" t="s">
        <v>277</v>
      </c>
      <c r="I697" s="6" t="s">
        <v>278</v>
      </c>
      <c r="J697" s="6" t="str">
        <f t="shared" si="60"/>
        <v>Senecio_pinnatifolius</v>
      </c>
      <c r="K697" s="6" t="s">
        <v>279</v>
      </c>
      <c r="L697" s="6" t="s">
        <v>46</v>
      </c>
      <c r="M697" s="6" t="s">
        <v>49</v>
      </c>
      <c r="N697" s="6" t="s">
        <v>116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294</v>
      </c>
      <c r="T697" s="6" t="s">
        <v>294</v>
      </c>
      <c r="U697" s="6" t="s">
        <v>251</v>
      </c>
      <c r="V697" s="6" t="s">
        <v>691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242</v>
      </c>
      <c r="AE697" s="6" t="s">
        <v>284</v>
      </c>
      <c r="AF697" s="6" t="s">
        <v>49</v>
      </c>
      <c r="AG697" s="6" t="s">
        <v>49</v>
      </c>
      <c r="AH697" s="1" t="s">
        <v>183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6" t="s">
        <v>49</v>
      </c>
      <c r="AW697" s="30" t="s">
        <v>49</v>
      </c>
    </row>
    <row r="698" spans="1:49">
      <c r="A698" s="6" t="s">
        <v>274</v>
      </c>
      <c r="B698" s="6" t="s">
        <v>38</v>
      </c>
      <c r="C698" s="6" t="s">
        <v>49</v>
      </c>
      <c r="D698" s="6" t="s">
        <v>275</v>
      </c>
      <c r="E698" s="6" t="s">
        <v>295</v>
      </c>
      <c r="F698" s="6">
        <v>2018</v>
      </c>
      <c r="G698" s="6" t="s">
        <v>276</v>
      </c>
      <c r="H698" s="6" t="s">
        <v>277</v>
      </c>
      <c r="I698" s="6" t="s">
        <v>278</v>
      </c>
      <c r="J698" s="6" t="str">
        <f t="shared" si="60"/>
        <v>Senecio_pinnatifolius</v>
      </c>
      <c r="K698" s="6" t="s">
        <v>279</v>
      </c>
      <c r="L698" s="6" t="s">
        <v>46</v>
      </c>
      <c r="M698" s="6" t="s">
        <v>49</v>
      </c>
      <c r="N698" s="6" t="s">
        <v>116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294</v>
      </c>
      <c r="T698" s="6" t="s">
        <v>294</v>
      </c>
      <c r="U698" s="6" t="s">
        <v>251</v>
      </c>
      <c r="V698" s="6" t="s">
        <v>691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242</v>
      </c>
      <c r="AE698" s="6" t="s">
        <v>285</v>
      </c>
      <c r="AF698" s="6" t="s">
        <v>49</v>
      </c>
      <c r="AG698" s="6" t="s">
        <v>49</v>
      </c>
      <c r="AH698" s="1" t="s">
        <v>183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6" t="s">
        <v>49</v>
      </c>
      <c r="AW698" s="30" t="s">
        <v>49</v>
      </c>
    </row>
    <row r="699" spans="1:49">
      <c r="A699" s="6" t="s">
        <v>274</v>
      </c>
      <c r="B699" s="6" t="s">
        <v>38</v>
      </c>
      <c r="C699" s="6" t="s">
        <v>49</v>
      </c>
      <c r="D699" s="6" t="s">
        <v>275</v>
      </c>
      <c r="E699" s="6" t="s">
        <v>295</v>
      </c>
      <c r="F699" s="6">
        <v>2018</v>
      </c>
      <c r="G699" s="6" t="s">
        <v>276</v>
      </c>
      <c r="H699" s="6" t="s">
        <v>277</v>
      </c>
      <c r="I699" s="6" t="s">
        <v>278</v>
      </c>
      <c r="J699" s="6" t="str">
        <f t="shared" si="60"/>
        <v>Senecio_pinnatifolius</v>
      </c>
      <c r="K699" s="6" t="s">
        <v>279</v>
      </c>
      <c r="L699" s="6" t="s">
        <v>46</v>
      </c>
      <c r="M699" s="6" t="s">
        <v>49</v>
      </c>
      <c r="N699" s="6" t="s">
        <v>116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294</v>
      </c>
      <c r="T699" s="6" t="s">
        <v>294</v>
      </c>
      <c r="U699" s="6" t="s">
        <v>251</v>
      </c>
      <c r="V699" s="6" t="s">
        <v>691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242</v>
      </c>
      <c r="AE699" s="6" t="s">
        <v>286</v>
      </c>
      <c r="AF699" s="6" t="s">
        <v>49</v>
      </c>
      <c r="AG699" s="6" t="s">
        <v>49</v>
      </c>
      <c r="AH699" s="1" t="s">
        <v>183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6" t="s">
        <v>49</v>
      </c>
      <c r="AW699" s="30" t="s">
        <v>49</v>
      </c>
    </row>
    <row r="700" spans="1:49">
      <c r="A700" s="6" t="s">
        <v>274</v>
      </c>
      <c r="B700" s="6" t="s">
        <v>38</v>
      </c>
      <c r="C700" s="6" t="s">
        <v>49</v>
      </c>
      <c r="D700" s="6" t="s">
        <v>275</v>
      </c>
      <c r="E700" s="6" t="s">
        <v>295</v>
      </c>
      <c r="F700" s="6">
        <v>2018</v>
      </c>
      <c r="G700" s="6" t="s">
        <v>276</v>
      </c>
      <c r="H700" s="6" t="s">
        <v>277</v>
      </c>
      <c r="I700" s="6" t="s">
        <v>278</v>
      </c>
      <c r="J700" s="6" t="str">
        <f t="shared" si="60"/>
        <v>Senecio_pinnatifolius</v>
      </c>
      <c r="K700" s="6" t="s">
        <v>279</v>
      </c>
      <c r="L700" s="6" t="s">
        <v>46</v>
      </c>
      <c r="M700" s="6" t="s">
        <v>49</v>
      </c>
      <c r="N700" s="6" t="s">
        <v>116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294</v>
      </c>
      <c r="T700" s="6" t="s">
        <v>294</v>
      </c>
      <c r="U700" s="6" t="s">
        <v>251</v>
      </c>
      <c r="V700" s="6" t="s">
        <v>691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242</v>
      </c>
      <c r="AE700" s="6" t="s">
        <v>287</v>
      </c>
      <c r="AF700" s="6" t="s">
        <v>49</v>
      </c>
      <c r="AG700" s="6" t="s">
        <v>49</v>
      </c>
      <c r="AH700" s="1" t="s">
        <v>183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6" t="s">
        <v>49</v>
      </c>
      <c r="AW700" s="30" t="s">
        <v>49</v>
      </c>
    </row>
    <row r="701" spans="1:49">
      <c r="A701" s="6" t="s">
        <v>274</v>
      </c>
      <c r="B701" s="6" t="s">
        <v>38</v>
      </c>
      <c r="C701" s="6" t="s">
        <v>49</v>
      </c>
      <c r="D701" s="6" t="s">
        <v>275</v>
      </c>
      <c r="E701" s="6" t="s">
        <v>295</v>
      </c>
      <c r="F701" s="6">
        <v>2018</v>
      </c>
      <c r="G701" s="6" t="s">
        <v>276</v>
      </c>
      <c r="H701" s="6" t="s">
        <v>277</v>
      </c>
      <c r="I701" s="6" t="s">
        <v>278</v>
      </c>
      <c r="J701" s="6" t="str">
        <f t="shared" si="60"/>
        <v>Senecio_pinnatifolius</v>
      </c>
      <c r="K701" s="6" t="s">
        <v>279</v>
      </c>
      <c r="L701" s="6" t="s">
        <v>46</v>
      </c>
      <c r="M701" s="6" t="s">
        <v>49</v>
      </c>
      <c r="N701" s="6" t="s">
        <v>116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294</v>
      </c>
      <c r="T701" s="6" t="s">
        <v>294</v>
      </c>
      <c r="U701" s="6" t="s">
        <v>251</v>
      </c>
      <c r="V701" s="6" t="s">
        <v>691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242</v>
      </c>
      <c r="AE701" s="6" t="s">
        <v>288</v>
      </c>
      <c r="AF701" s="6" t="s">
        <v>49</v>
      </c>
      <c r="AG701" s="6" t="s">
        <v>49</v>
      </c>
      <c r="AH701" s="1" t="s">
        <v>183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6" t="s">
        <v>49</v>
      </c>
      <c r="AW701" s="30" t="s">
        <v>49</v>
      </c>
    </row>
    <row r="702" spans="1:49">
      <c r="A702" s="6" t="s">
        <v>274</v>
      </c>
      <c r="B702" s="6" t="s">
        <v>38</v>
      </c>
      <c r="C702" s="6" t="s">
        <v>49</v>
      </c>
      <c r="D702" s="6" t="s">
        <v>275</v>
      </c>
      <c r="E702" s="6" t="s">
        <v>295</v>
      </c>
      <c r="F702" s="6">
        <v>2018</v>
      </c>
      <c r="G702" s="6" t="s">
        <v>276</v>
      </c>
      <c r="H702" s="6" t="s">
        <v>277</v>
      </c>
      <c r="I702" s="6" t="s">
        <v>278</v>
      </c>
      <c r="J702" s="6" t="str">
        <f t="shared" si="60"/>
        <v>Senecio_pinnatifolius</v>
      </c>
      <c r="K702" s="6" t="s">
        <v>279</v>
      </c>
      <c r="L702" s="6" t="s">
        <v>46</v>
      </c>
      <c r="M702" s="6" t="s">
        <v>49</v>
      </c>
      <c r="N702" s="6" t="s">
        <v>116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294</v>
      </c>
      <c r="T702" s="6" t="s">
        <v>294</v>
      </c>
      <c r="U702" s="6" t="s">
        <v>251</v>
      </c>
      <c r="V702" s="6" t="s">
        <v>691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242</v>
      </c>
      <c r="AE702" s="6" t="s">
        <v>289</v>
      </c>
      <c r="AF702" s="6" t="s">
        <v>49</v>
      </c>
      <c r="AG702" s="6" t="s">
        <v>49</v>
      </c>
      <c r="AH702" s="1" t="s">
        <v>183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6" t="s">
        <v>49</v>
      </c>
      <c r="AW702" s="30" t="s">
        <v>49</v>
      </c>
    </row>
    <row r="703" spans="1:49">
      <c r="A703" s="6" t="s">
        <v>274</v>
      </c>
      <c r="B703" s="6" t="s">
        <v>38</v>
      </c>
      <c r="C703" s="6" t="s">
        <v>49</v>
      </c>
      <c r="D703" s="6" t="s">
        <v>275</v>
      </c>
      <c r="E703" s="6" t="s">
        <v>295</v>
      </c>
      <c r="F703" s="6">
        <v>2018</v>
      </c>
      <c r="G703" s="6" t="s">
        <v>276</v>
      </c>
      <c r="H703" s="6" t="s">
        <v>277</v>
      </c>
      <c r="I703" s="6" t="s">
        <v>278</v>
      </c>
      <c r="J703" s="6" t="str">
        <f t="shared" si="60"/>
        <v>Senecio_pinnatifolius</v>
      </c>
      <c r="K703" s="6" t="s">
        <v>279</v>
      </c>
      <c r="L703" s="6" t="s">
        <v>46</v>
      </c>
      <c r="M703" s="6" t="s">
        <v>49</v>
      </c>
      <c r="N703" s="6" t="s">
        <v>116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294</v>
      </c>
      <c r="T703" s="6" t="s">
        <v>294</v>
      </c>
      <c r="U703" s="6" t="s">
        <v>251</v>
      </c>
      <c r="V703" s="6" t="s">
        <v>691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281</v>
      </c>
      <c r="AE703" s="6" t="s">
        <v>282</v>
      </c>
      <c r="AF703" s="6" t="s">
        <v>49</v>
      </c>
      <c r="AG703" s="6" t="s">
        <v>49</v>
      </c>
      <c r="AH703" s="1" t="s">
        <v>183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6" t="s">
        <v>49</v>
      </c>
      <c r="AW703" s="30" t="s">
        <v>49</v>
      </c>
    </row>
    <row r="704" spans="1:49">
      <c r="A704" s="6" t="s">
        <v>274</v>
      </c>
      <c r="B704" s="6" t="s">
        <v>38</v>
      </c>
      <c r="C704" s="6" t="s">
        <v>49</v>
      </c>
      <c r="D704" s="6" t="s">
        <v>275</v>
      </c>
      <c r="E704" s="6" t="s">
        <v>295</v>
      </c>
      <c r="F704" s="6">
        <v>2018</v>
      </c>
      <c r="G704" s="6" t="s">
        <v>276</v>
      </c>
      <c r="H704" s="6" t="s">
        <v>277</v>
      </c>
      <c r="I704" s="6" t="s">
        <v>278</v>
      </c>
      <c r="J704" s="6" t="str">
        <f t="shared" si="60"/>
        <v>Senecio_pinnatifolius</v>
      </c>
      <c r="K704" s="6" t="s">
        <v>279</v>
      </c>
      <c r="L704" s="6" t="s">
        <v>46</v>
      </c>
      <c r="M704" s="6" t="s">
        <v>49</v>
      </c>
      <c r="N704" s="6" t="s">
        <v>116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294</v>
      </c>
      <c r="T704" s="6" t="s">
        <v>294</v>
      </c>
      <c r="U704" s="6" t="s">
        <v>251</v>
      </c>
      <c r="V704" s="6" t="s">
        <v>691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281</v>
      </c>
      <c r="AE704" s="6" t="s">
        <v>283</v>
      </c>
      <c r="AF704" s="6" t="s">
        <v>49</v>
      </c>
      <c r="AG704" s="6" t="s">
        <v>49</v>
      </c>
      <c r="AH704" s="1" t="s">
        <v>183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6" t="s">
        <v>49</v>
      </c>
      <c r="AW704" s="30" t="s">
        <v>49</v>
      </c>
    </row>
    <row r="705" spans="1:49">
      <c r="A705" s="6" t="s">
        <v>274</v>
      </c>
      <c r="B705" s="6" t="s">
        <v>38</v>
      </c>
      <c r="C705" s="6" t="s">
        <v>49</v>
      </c>
      <c r="D705" s="6" t="s">
        <v>275</v>
      </c>
      <c r="E705" s="6" t="s">
        <v>295</v>
      </c>
      <c r="F705" s="6">
        <v>2018</v>
      </c>
      <c r="G705" s="6" t="s">
        <v>276</v>
      </c>
      <c r="H705" s="6" t="s">
        <v>277</v>
      </c>
      <c r="I705" s="6" t="s">
        <v>278</v>
      </c>
      <c r="J705" s="6" t="str">
        <f t="shared" si="60"/>
        <v>Senecio_pinnatifolius</v>
      </c>
      <c r="K705" s="6" t="s">
        <v>279</v>
      </c>
      <c r="L705" s="6" t="s">
        <v>46</v>
      </c>
      <c r="M705" s="6" t="s">
        <v>49</v>
      </c>
      <c r="N705" s="6" t="s">
        <v>116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294</v>
      </c>
      <c r="T705" s="6" t="s">
        <v>294</v>
      </c>
      <c r="U705" s="6" t="s">
        <v>251</v>
      </c>
      <c r="V705" s="6" t="s">
        <v>691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281</v>
      </c>
      <c r="AE705" s="6" t="s">
        <v>284</v>
      </c>
      <c r="AF705" s="6" t="s">
        <v>49</v>
      </c>
      <c r="AG705" s="6" t="s">
        <v>49</v>
      </c>
      <c r="AH705" s="1" t="s">
        <v>183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6" t="s">
        <v>49</v>
      </c>
      <c r="AW705" s="30" t="s">
        <v>49</v>
      </c>
    </row>
    <row r="706" spans="1:49">
      <c r="A706" s="6" t="s">
        <v>274</v>
      </c>
      <c r="B706" s="6" t="s">
        <v>38</v>
      </c>
      <c r="C706" s="6" t="s">
        <v>49</v>
      </c>
      <c r="D706" s="6" t="s">
        <v>275</v>
      </c>
      <c r="E706" s="6" t="s">
        <v>295</v>
      </c>
      <c r="F706" s="6">
        <v>2018</v>
      </c>
      <c r="G706" s="6" t="s">
        <v>276</v>
      </c>
      <c r="H706" s="6" t="s">
        <v>277</v>
      </c>
      <c r="I706" s="6" t="s">
        <v>278</v>
      </c>
      <c r="J706" s="6" t="str">
        <f t="shared" si="60"/>
        <v>Senecio_pinnatifolius</v>
      </c>
      <c r="K706" s="6" t="s">
        <v>279</v>
      </c>
      <c r="L706" s="6" t="s">
        <v>46</v>
      </c>
      <c r="M706" s="6" t="s">
        <v>49</v>
      </c>
      <c r="N706" s="6" t="s">
        <v>116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294</v>
      </c>
      <c r="T706" s="6" t="s">
        <v>294</v>
      </c>
      <c r="U706" s="6" t="s">
        <v>251</v>
      </c>
      <c r="V706" s="6" t="s">
        <v>691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281</v>
      </c>
      <c r="AE706" s="6" t="s">
        <v>285</v>
      </c>
      <c r="AF706" s="6" t="s">
        <v>49</v>
      </c>
      <c r="AG706" s="6" t="s">
        <v>49</v>
      </c>
      <c r="AH706" s="1" t="s">
        <v>183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6" t="s">
        <v>49</v>
      </c>
      <c r="AW706" s="30" t="s">
        <v>49</v>
      </c>
    </row>
    <row r="707" spans="1:49">
      <c r="A707" s="6" t="s">
        <v>274</v>
      </c>
      <c r="B707" s="6" t="s">
        <v>38</v>
      </c>
      <c r="C707" s="6" t="s">
        <v>49</v>
      </c>
      <c r="D707" s="6" t="s">
        <v>275</v>
      </c>
      <c r="E707" s="6" t="s">
        <v>295</v>
      </c>
      <c r="F707" s="6">
        <v>2018</v>
      </c>
      <c r="G707" s="6" t="s">
        <v>276</v>
      </c>
      <c r="H707" s="6" t="s">
        <v>277</v>
      </c>
      <c r="I707" s="6" t="s">
        <v>278</v>
      </c>
      <c r="J707" s="6" t="str">
        <f t="shared" si="60"/>
        <v>Senecio_pinnatifolius</v>
      </c>
      <c r="K707" s="6" t="s">
        <v>279</v>
      </c>
      <c r="L707" s="6" t="s">
        <v>46</v>
      </c>
      <c r="M707" s="6" t="s">
        <v>49</v>
      </c>
      <c r="N707" s="6" t="s">
        <v>116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294</v>
      </c>
      <c r="T707" s="6" t="s">
        <v>294</v>
      </c>
      <c r="U707" s="6" t="s">
        <v>251</v>
      </c>
      <c r="V707" s="6" t="s">
        <v>691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281</v>
      </c>
      <c r="AE707" s="6" t="s">
        <v>286</v>
      </c>
      <c r="AF707" s="6" t="s">
        <v>49</v>
      </c>
      <c r="AG707" s="6" t="s">
        <v>49</v>
      </c>
      <c r="AH707" s="1" t="s">
        <v>183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6" t="s">
        <v>49</v>
      </c>
      <c r="AW707" s="30" t="s">
        <v>49</v>
      </c>
    </row>
    <row r="708" spans="1:49">
      <c r="A708" s="6" t="s">
        <v>274</v>
      </c>
      <c r="B708" s="6" t="s">
        <v>38</v>
      </c>
      <c r="C708" s="6" t="s">
        <v>49</v>
      </c>
      <c r="D708" s="6" t="s">
        <v>275</v>
      </c>
      <c r="E708" s="6" t="s">
        <v>295</v>
      </c>
      <c r="F708" s="6">
        <v>2018</v>
      </c>
      <c r="G708" s="6" t="s">
        <v>276</v>
      </c>
      <c r="H708" s="6" t="s">
        <v>277</v>
      </c>
      <c r="I708" s="6" t="s">
        <v>278</v>
      </c>
      <c r="J708" s="6" t="str">
        <f t="shared" si="60"/>
        <v>Senecio_pinnatifolius</v>
      </c>
      <c r="K708" s="6" t="s">
        <v>279</v>
      </c>
      <c r="L708" s="6" t="s">
        <v>46</v>
      </c>
      <c r="M708" s="6" t="s">
        <v>49</v>
      </c>
      <c r="N708" s="6" t="s">
        <v>116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294</v>
      </c>
      <c r="T708" s="6" t="s">
        <v>294</v>
      </c>
      <c r="U708" s="6" t="s">
        <v>251</v>
      </c>
      <c r="V708" s="6" t="s">
        <v>691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281</v>
      </c>
      <c r="AE708" s="6" t="s">
        <v>287</v>
      </c>
      <c r="AF708" s="6" t="s">
        <v>49</v>
      </c>
      <c r="AG708" s="6" t="s">
        <v>49</v>
      </c>
      <c r="AH708" s="1" t="s">
        <v>183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6" t="s">
        <v>49</v>
      </c>
      <c r="AW708" s="30" t="s">
        <v>49</v>
      </c>
    </row>
    <row r="709" spans="1:49">
      <c r="A709" s="6" t="s">
        <v>274</v>
      </c>
      <c r="B709" s="6" t="s">
        <v>38</v>
      </c>
      <c r="C709" s="6" t="s">
        <v>49</v>
      </c>
      <c r="D709" s="6" t="s">
        <v>275</v>
      </c>
      <c r="E709" s="6" t="s">
        <v>295</v>
      </c>
      <c r="F709" s="6">
        <v>2018</v>
      </c>
      <c r="G709" s="6" t="s">
        <v>276</v>
      </c>
      <c r="H709" s="6" t="s">
        <v>277</v>
      </c>
      <c r="I709" s="6" t="s">
        <v>278</v>
      </c>
      <c r="J709" s="6" t="str">
        <f t="shared" si="60"/>
        <v>Senecio_pinnatifolius</v>
      </c>
      <c r="K709" s="6" t="s">
        <v>279</v>
      </c>
      <c r="L709" s="6" t="s">
        <v>46</v>
      </c>
      <c r="M709" s="6" t="s">
        <v>49</v>
      </c>
      <c r="N709" s="6" t="s">
        <v>116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294</v>
      </c>
      <c r="T709" s="6" t="s">
        <v>294</v>
      </c>
      <c r="U709" s="6" t="s">
        <v>251</v>
      </c>
      <c r="V709" s="6" t="s">
        <v>691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281</v>
      </c>
      <c r="AE709" s="6" t="s">
        <v>288</v>
      </c>
      <c r="AF709" s="6" t="s">
        <v>49</v>
      </c>
      <c r="AG709" s="6" t="s">
        <v>49</v>
      </c>
      <c r="AH709" s="1" t="s">
        <v>183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6" t="s">
        <v>49</v>
      </c>
      <c r="AW709" s="30" t="s">
        <v>49</v>
      </c>
    </row>
    <row r="710" spans="1:49">
      <c r="A710" s="6" t="s">
        <v>274</v>
      </c>
      <c r="B710" s="6" t="s">
        <v>38</v>
      </c>
      <c r="C710" s="6" t="s">
        <v>49</v>
      </c>
      <c r="D710" s="6" t="s">
        <v>275</v>
      </c>
      <c r="E710" s="6" t="s">
        <v>295</v>
      </c>
      <c r="F710" s="6">
        <v>2018</v>
      </c>
      <c r="G710" s="6" t="s">
        <v>276</v>
      </c>
      <c r="H710" s="6" t="s">
        <v>277</v>
      </c>
      <c r="I710" s="6" t="s">
        <v>278</v>
      </c>
      <c r="J710" s="6" t="str">
        <f t="shared" si="60"/>
        <v>Senecio_pinnatifolius</v>
      </c>
      <c r="K710" s="6" t="s">
        <v>279</v>
      </c>
      <c r="L710" s="6" t="s">
        <v>46</v>
      </c>
      <c r="M710" s="6" t="s">
        <v>49</v>
      </c>
      <c r="N710" s="6" t="s">
        <v>116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294</v>
      </c>
      <c r="T710" s="6" t="s">
        <v>294</v>
      </c>
      <c r="U710" s="6" t="s">
        <v>251</v>
      </c>
      <c r="V710" s="6" t="s">
        <v>691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281</v>
      </c>
      <c r="AE710" s="6" t="s">
        <v>289</v>
      </c>
      <c r="AF710" s="6" t="s">
        <v>49</v>
      </c>
      <c r="AG710" s="6" t="s">
        <v>49</v>
      </c>
      <c r="AH710" s="1" t="s">
        <v>183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6" t="s">
        <v>49</v>
      </c>
      <c r="AW710" s="30" t="s">
        <v>49</v>
      </c>
    </row>
    <row r="711" spans="1:49">
      <c r="A711" s="6" t="s">
        <v>274</v>
      </c>
      <c r="B711" s="6" t="s">
        <v>38</v>
      </c>
      <c r="C711" s="6" t="s">
        <v>49</v>
      </c>
      <c r="D711" s="6" t="s">
        <v>275</v>
      </c>
      <c r="E711" s="6" t="s">
        <v>295</v>
      </c>
      <c r="F711" s="6">
        <v>2018</v>
      </c>
      <c r="G711" s="6" t="s">
        <v>276</v>
      </c>
      <c r="H711" s="6" t="s">
        <v>277</v>
      </c>
      <c r="I711" s="6" t="s">
        <v>278</v>
      </c>
      <c r="J711" s="6" t="str">
        <f t="shared" si="60"/>
        <v>Senecio_pinnatifolius</v>
      </c>
      <c r="K711" s="6" t="s">
        <v>279</v>
      </c>
      <c r="L711" s="6" t="s">
        <v>46</v>
      </c>
      <c r="M711" s="6" t="s">
        <v>49</v>
      </c>
      <c r="N711" s="6" t="s">
        <v>116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294</v>
      </c>
      <c r="T711" s="6" t="s">
        <v>294</v>
      </c>
      <c r="U711" s="6" t="s">
        <v>251</v>
      </c>
      <c r="V711" s="6" t="s">
        <v>691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282</v>
      </c>
      <c r="AE711" s="6" t="s">
        <v>283</v>
      </c>
      <c r="AF711" s="6" t="s">
        <v>49</v>
      </c>
      <c r="AG711" s="6" t="s">
        <v>49</v>
      </c>
      <c r="AH711" s="1" t="s">
        <v>183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6" t="s">
        <v>49</v>
      </c>
      <c r="AW711" s="30" t="s">
        <v>49</v>
      </c>
    </row>
    <row r="712" spans="1:49">
      <c r="A712" s="6" t="s">
        <v>274</v>
      </c>
      <c r="B712" s="6" t="s">
        <v>38</v>
      </c>
      <c r="C712" s="6" t="s">
        <v>49</v>
      </c>
      <c r="D712" s="6" t="s">
        <v>275</v>
      </c>
      <c r="E712" s="6" t="s">
        <v>295</v>
      </c>
      <c r="F712" s="6">
        <v>2018</v>
      </c>
      <c r="G712" s="6" t="s">
        <v>276</v>
      </c>
      <c r="H712" s="6" t="s">
        <v>277</v>
      </c>
      <c r="I712" s="6" t="s">
        <v>278</v>
      </c>
      <c r="J712" s="6" t="str">
        <f t="shared" si="60"/>
        <v>Senecio_pinnatifolius</v>
      </c>
      <c r="K712" s="6" t="s">
        <v>279</v>
      </c>
      <c r="L712" s="6" t="s">
        <v>46</v>
      </c>
      <c r="M712" s="6" t="s">
        <v>49</v>
      </c>
      <c r="N712" s="6" t="s">
        <v>116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294</v>
      </c>
      <c r="T712" s="6" t="s">
        <v>294</v>
      </c>
      <c r="U712" s="6" t="s">
        <v>251</v>
      </c>
      <c r="V712" s="6" t="s">
        <v>691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282</v>
      </c>
      <c r="AE712" s="6" t="s">
        <v>284</v>
      </c>
      <c r="AF712" s="6" t="s">
        <v>49</v>
      </c>
      <c r="AG712" s="6" t="s">
        <v>49</v>
      </c>
      <c r="AH712" s="1" t="s">
        <v>183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6" t="s">
        <v>49</v>
      </c>
      <c r="AW712" s="30" t="s">
        <v>49</v>
      </c>
    </row>
    <row r="713" spans="1:49">
      <c r="A713" s="6" t="s">
        <v>274</v>
      </c>
      <c r="B713" s="6" t="s">
        <v>38</v>
      </c>
      <c r="C713" s="6" t="s">
        <v>49</v>
      </c>
      <c r="D713" s="6" t="s">
        <v>275</v>
      </c>
      <c r="E713" s="6" t="s">
        <v>295</v>
      </c>
      <c r="F713" s="6">
        <v>2018</v>
      </c>
      <c r="G713" s="6" t="s">
        <v>276</v>
      </c>
      <c r="H713" s="6" t="s">
        <v>277</v>
      </c>
      <c r="I713" s="6" t="s">
        <v>278</v>
      </c>
      <c r="J713" s="6" t="str">
        <f t="shared" si="60"/>
        <v>Senecio_pinnatifolius</v>
      </c>
      <c r="K713" s="6" t="s">
        <v>279</v>
      </c>
      <c r="L713" s="6" t="s">
        <v>46</v>
      </c>
      <c r="M713" s="6" t="s">
        <v>49</v>
      </c>
      <c r="N713" s="6" t="s">
        <v>116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294</v>
      </c>
      <c r="T713" s="6" t="s">
        <v>294</v>
      </c>
      <c r="U713" s="6" t="s">
        <v>251</v>
      </c>
      <c r="V713" s="6" t="s">
        <v>691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282</v>
      </c>
      <c r="AE713" s="6" t="s">
        <v>285</v>
      </c>
      <c r="AF713" s="6" t="s">
        <v>49</v>
      </c>
      <c r="AG713" s="6" t="s">
        <v>49</v>
      </c>
      <c r="AH713" s="1" t="s">
        <v>183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6" t="s">
        <v>49</v>
      </c>
      <c r="AW713" s="30" t="s">
        <v>49</v>
      </c>
    </row>
    <row r="714" spans="1:49">
      <c r="A714" s="6" t="s">
        <v>274</v>
      </c>
      <c r="B714" s="6" t="s">
        <v>38</v>
      </c>
      <c r="C714" s="6" t="s">
        <v>49</v>
      </c>
      <c r="D714" s="6" t="s">
        <v>275</v>
      </c>
      <c r="E714" s="6" t="s">
        <v>295</v>
      </c>
      <c r="F714" s="6">
        <v>2018</v>
      </c>
      <c r="G714" s="6" t="s">
        <v>276</v>
      </c>
      <c r="H714" s="6" t="s">
        <v>277</v>
      </c>
      <c r="I714" s="6" t="s">
        <v>278</v>
      </c>
      <c r="J714" s="6" t="str">
        <f t="shared" si="60"/>
        <v>Senecio_pinnatifolius</v>
      </c>
      <c r="K714" s="6" t="s">
        <v>279</v>
      </c>
      <c r="L714" s="6" t="s">
        <v>46</v>
      </c>
      <c r="M714" s="6" t="s">
        <v>49</v>
      </c>
      <c r="N714" s="6" t="s">
        <v>116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294</v>
      </c>
      <c r="T714" s="6" t="s">
        <v>294</v>
      </c>
      <c r="U714" s="6" t="s">
        <v>251</v>
      </c>
      <c r="V714" s="6" t="s">
        <v>691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282</v>
      </c>
      <c r="AE714" s="6" t="s">
        <v>286</v>
      </c>
      <c r="AF714" s="6" t="s">
        <v>49</v>
      </c>
      <c r="AG714" s="6" t="s">
        <v>49</v>
      </c>
      <c r="AH714" s="1" t="s">
        <v>183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6" t="s">
        <v>49</v>
      </c>
      <c r="AW714" s="30" t="s">
        <v>49</v>
      </c>
    </row>
    <row r="715" spans="1:49">
      <c r="A715" s="6" t="s">
        <v>274</v>
      </c>
      <c r="B715" s="6" t="s">
        <v>38</v>
      </c>
      <c r="C715" s="6" t="s">
        <v>49</v>
      </c>
      <c r="D715" s="6" t="s">
        <v>275</v>
      </c>
      <c r="E715" s="6" t="s">
        <v>295</v>
      </c>
      <c r="F715" s="6">
        <v>2018</v>
      </c>
      <c r="G715" s="6" t="s">
        <v>276</v>
      </c>
      <c r="H715" s="6" t="s">
        <v>277</v>
      </c>
      <c r="I715" s="6" t="s">
        <v>278</v>
      </c>
      <c r="J715" s="6" t="str">
        <f t="shared" si="60"/>
        <v>Senecio_pinnatifolius</v>
      </c>
      <c r="K715" s="6" t="s">
        <v>279</v>
      </c>
      <c r="L715" s="6" t="s">
        <v>46</v>
      </c>
      <c r="M715" s="6" t="s">
        <v>49</v>
      </c>
      <c r="N715" s="6" t="s">
        <v>116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294</v>
      </c>
      <c r="T715" s="6" t="s">
        <v>294</v>
      </c>
      <c r="U715" s="6" t="s">
        <v>251</v>
      </c>
      <c r="V715" s="6" t="s">
        <v>691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282</v>
      </c>
      <c r="AE715" s="6" t="s">
        <v>287</v>
      </c>
      <c r="AF715" s="6" t="s">
        <v>49</v>
      </c>
      <c r="AG715" s="6" t="s">
        <v>49</v>
      </c>
      <c r="AH715" s="1" t="s">
        <v>183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6" t="s">
        <v>49</v>
      </c>
      <c r="AW715" s="30" t="s">
        <v>49</v>
      </c>
    </row>
    <row r="716" spans="1:49">
      <c r="A716" s="6" t="s">
        <v>274</v>
      </c>
      <c r="B716" s="6" t="s">
        <v>38</v>
      </c>
      <c r="C716" s="6" t="s">
        <v>49</v>
      </c>
      <c r="D716" s="6" t="s">
        <v>275</v>
      </c>
      <c r="E716" s="6" t="s">
        <v>295</v>
      </c>
      <c r="F716" s="6">
        <v>2018</v>
      </c>
      <c r="G716" s="6" t="s">
        <v>276</v>
      </c>
      <c r="H716" s="6" t="s">
        <v>277</v>
      </c>
      <c r="I716" s="6" t="s">
        <v>278</v>
      </c>
      <c r="J716" s="6" t="str">
        <f t="shared" si="60"/>
        <v>Senecio_pinnatifolius</v>
      </c>
      <c r="K716" s="6" t="s">
        <v>279</v>
      </c>
      <c r="L716" s="6" t="s">
        <v>46</v>
      </c>
      <c r="M716" s="6" t="s">
        <v>49</v>
      </c>
      <c r="N716" s="6" t="s">
        <v>116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294</v>
      </c>
      <c r="T716" s="6" t="s">
        <v>294</v>
      </c>
      <c r="U716" s="6" t="s">
        <v>251</v>
      </c>
      <c r="V716" s="6" t="s">
        <v>691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282</v>
      </c>
      <c r="AE716" s="6" t="s">
        <v>288</v>
      </c>
      <c r="AF716" s="6" t="s">
        <v>49</v>
      </c>
      <c r="AG716" s="6" t="s">
        <v>49</v>
      </c>
      <c r="AH716" s="1" t="s">
        <v>183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6" t="s">
        <v>49</v>
      </c>
      <c r="AW716" s="30" t="s">
        <v>49</v>
      </c>
    </row>
    <row r="717" spans="1:49">
      <c r="A717" s="6" t="s">
        <v>274</v>
      </c>
      <c r="B717" s="6" t="s">
        <v>38</v>
      </c>
      <c r="C717" s="6" t="s">
        <v>49</v>
      </c>
      <c r="D717" s="6" t="s">
        <v>275</v>
      </c>
      <c r="E717" s="6" t="s">
        <v>295</v>
      </c>
      <c r="F717" s="6">
        <v>2018</v>
      </c>
      <c r="G717" s="6" t="s">
        <v>276</v>
      </c>
      <c r="H717" s="6" t="s">
        <v>277</v>
      </c>
      <c r="I717" s="6" t="s">
        <v>278</v>
      </c>
      <c r="J717" s="6" t="str">
        <f t="shared" si="60"/>
        <v>Senecio_pinnatifolius</v>
      </c>
      <c r="K717" s="6" t="s">
        <v>279</v>
      </c>
      <c r="L717" s="6" t="s">
        <v>46</v>
      </c>
      <c r="M717" s="6" t="s">
        <v>49</v>
      </c>
      <c r="N717" s="6" t="s">
        <v>116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294</v>
      </c>
      <c r="T717" s="6" t="s">
        <v>294</v>
      </c>
      <c r="U717" s="6" t="s">
        <v>251</v>
      </c>
      <c r="V717" s="6" t="s">
        <v>691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282</v>
      </c>
      <c r="AE717" s="6" t="s">
        <v>289</v>
      </c>
      <c r="AF717" s="6" t="s">
        <v>49</v>
      </c>
      <c r="AG717" s="6" t="s">
        <v>49</v>
      </c>
      <c r="AH717" s="1" t="s">
        <v>183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6" t="s">
        <v>49</v>
      </c>
      <c r="AW717" s="30" t="s">
        <v>49</v>
      </c>
    </row>
    <row r="718" spans="1:49">
      <c r="A718" s="6" t="s">
        <v>274</v>
      </c>
      <c r="B718" s="6" t="s">
        <v>38</v>
      </c>
      <c r="C718" s="6" t="s">
        <v>49</v>
      </c>
      <c r="D718" s="6" t="s">
        <v>275</v>
      </c>
      <c r="E718" s="6" t="s">
        <v>295</v>
      </c>
      <c r="F718" s="6">
        <v>2018</v>
      </c>
      <c r="G718" s="6" t="s">
        <v>276</v>
      </c>
      <c r="H718" s="6" t="s">
        <v>277</v>
      </c>
      <c r="I718" s="6" t="s">
        <v>278</v>
      </c>
      <c r="J718" s="6" t="str">
        <f t="shared" si="60"/>
        <v>Senecio_pinnatifolius</v>
      </c>
      <c r="K718" s="6" t="s">
        <v>279</v>
      </c>
      <c r="L718" s="6" t="s">
        <v>46</v>
      </c>
      <c r="M718" s="6" t="s">
        <v>49</v>
      </c>
      <c r="N718" s="6" t="s">
        <v>116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294</v>
      </c>
      <c r="T718" s="6" t="s">
        <v>294</v>
      </c>
      <c r="U718" s="6" t="s">
        <v>251</v>
      </c>
      <c r="V718" s="6" t="s">
        <v>691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283</v>
      </c>
      <c r="AE718" s="6" t="s">
        <v>284</v>
      </c>
      <c r="AF718" s="6" t="s">
        <v>49</v>
      </c>
      <c r="AG718" s="6" t="s">
        <v>49</v>
      </c>
      <c r="AH718" s="1" t="s">
        <v>183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6" t="s">
        <v>49</v>
      </c>
      <c r="AW718" s="30" t="s">
        <v>49</v>
      </c>
    </row>
    <row r="719" spans="1:49">
      <c r="A719" s="6" t="s">
        <v>274</v>
      </c>
      <c r="B719" s="6" t="s">
        <v>38</v>
      </c>
      <c r="C719" s="6" t="s">
        <v>49</v>
      </c>
      <c r="D719" s="6" t="s">
        <v>275</v>
      </c>
      <c r="E719" s="6" t="s">
        <v>295</v>
      </c>
      <c r="F719" s="6">
        <v>2018</v>
      </c>
      <c r="G719" s="6" t="s">
        <v>276</v>
      </c>
      <c r="H719" s="6" t="s">
        <v>277</v>
      </c>
      <c r="I719" s="6" t="s">
        <v>278</v>
      </c>
      <c r="J719" s="6" t="str">
        <f t="shared" si="60"/>
        <v>Senecio_pinnatifolius</v>
      </c>
      <c r="K719" s="6" t="s">
        <v>279</v>
      </c>
      <c r="L719" s="6" t="s">
        <v>46</v>
      </c>
      <c r="M719" s="6" t="s">
        <v>49</v>
      </c>
      <c r="N719" s="6" t="s">
        <v>116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294</v>
      </c>
      <c r="T719" s="6" t="s">
        <v>294</v>
      </c>
      <c r="U719" s="6" t="s">
        <v>251</v>
      </c>
      <c r="V719" s="6" t="s">
        <v>691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283</v>
      </c>
      <c r="AE719" s="6" t="s">
        <v>285</v>
      </c>
      <c r="AF719" s="6" t="s">
        <v>49</v>
      </c>
      <c r="AG719" s="6" t="s">
        <v>49</v>
      </c>
      <c r="AH719" s="1" t="s">
        <v>183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6" t="s">
        <v>49</v>
      </c>
      <c r="AW719" s="30" t="s">
        <v>49</v>
      </c>
    </row>
    <row r="720" spans="1:49">
      <c r="A720" s="6" t="s">
        <v>274</v>
      </c>
      <c r="B720" s="6" t="s">
        <v>38</v>
      </c>
      <c r="C720" s="6" t="s">
        <v>49</v>
      </c>
      <c r="D720" s="6" t="s">
        <v>275</v>
      </c>
      <c r="E720" s="6" t="s">
        <v>295</v>
      </c>
      <c r="F720" s="6">
        <v>2018</v>
      </c>
      <c r="G720" s="6" t="s">
        <v>276</v>
      </c>
      <c r="H720" s="6" t="s">
        <v>277</v>
      </c>
      <c r="I720" s="6" t="s">
        <v>278</v>
      </c>
      <c r="J720" s="6" t="str">
        <f t="shared" si="60"/>
        <v>Senecio_pinnatifolius</v>
      </c>
      <c r="K720" s="6" t="s">
        <v>279</v>
      </c>
      <c r="L720" s="6" t="s">
        <v>46</v>
      </c>
      <c r="M720" s="6" t="s">
        <v>49</v>
      </c>
      <c r="N720" s="6" t="s">
        <v>116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294</v>
      </c>
      <c r="T720" s="6" t="s">
        <v>294</v>
      </c>
      <c r="U720" s="6" t="s">
        <v>251</v>
      </c>
      <c r="V720" s="6" t="s">
        <v>691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283</v>
      </c>
      <c r="AE720" s="6" t="s">
        <v>286</v>
      </c>
      <c r="AF720" s="6" t="s">
        <v>49</v>
      </c>
      <c r="AG720" s="6" t="s">
        <v>49</v>
      </c>
      <c r="AH720" s="1" t="s">
        <v>183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6" t="s">
        <v>49</v>
      </c>
      <c r="AW720" s="30" t="s">
        <v>49</v>
      </c>
    </row>
    <row r="721" spans="1:49">
      <c r="A721" s="6" t="s">
        <v>274</v>
      </c>
      <c r="B721" s="6" t="s">
        <v>38</v>
      </c>
      <c r="C721" s="6" t="s">
        <v>49</v>
      </c>
      <c r="D721" s="6" t="s">
        <v>275</v>
      </c>
      <c r="E721" s="6" t="s">
        <v>295</v>
      </c>
      <c r="F721" s="6">
        <v>2018</v>
      </c>
      <c r="G721" s="6" t="s">
        <v>276</v>
      </c>
      <c r="H721" s="6" t="s">
        <v>277</v>
      </c>
      <c r="I721" s="6" t="s">
        <v>278</v>
      </c>
      <c r="J721" s="6" t="str">
        <f t="shared" si="60"/>
        <v>Senecio_pinnatifolius</v>
      </c>
      <c r="K721" s="6" t="s">
        <v>279</v>
      </c>
      <c r="L721" s="6" t="s">
        <v>46</v>
      </c>
      <c r="M721" s="6" t="s">
        <v>49</v>
      </c>
      <c r="N721" s="6" t="s">
        <v>116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294</v>
      </c>
      <c r="T721" s="6" t="s">
        <v>294</v>
      </c>
      <c r="U721" s="6" t="s">
        <v>251</v>
      </c>
      <c r="V721" s="6" t="s">
        <v>691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283</v>
      </c>
      <c r="AE721" s="6" t="s">
        <v>287</v>
      </c>
      <c r="AF721" s="6" t="s">
        <v>49</v>
      </c>
      <c r="AG721" s="6" t="s">
        <v>49</v>
      </c>
      <c r="AH721" s="1" t="s">
        <v>183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6" t="s">
        <v>49</v>
      </c>
      <c r="AW721" s="30" t="s">
        <v>49</v>
      </c>
    </row>
    <row r="722" spans="1:49">
      <c r="A722" s="6" t="s">
        <v>274</v>
      </c>
      <c r="B722" s="6" t="s">
        <v>38</v>
      </c>
      <c r="C722" s="6" t="s">
        <v>49</v>
      </c>
      <c r="D722" s="6" t="s">
        <v>275</v>
      </c>
      <c r="E722" s="6" t="s">
        <v>295</v>
      </c>
      <c r="F722" s="6">
        <v>2018</v>
      </c>
      <c r="G722" s="6" t="s">
        <v>276</v>
      </c>
      <c r="H722" s="6" t="s">
        <v>277</v>
      </c>
      <c r="I722" s="6" t="s">
        <v>278</v>
      </c>
      <c r="J722" s="6" t="str">
        <f t="shared" si="60"/>
        <v>Senecio_pinnatifolius</v>
      </c>
      <c r="K722" s="6" t="s">
        <v>279</v>
      </c>
      <c r="L722" s="6" t="s">
        <v>46</v>
      </c>
      <c r="M722" s="6" t="s">
        <v>49</v>
      </c>
      <c r="N722" s="6" t="s">
        <v>116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294</v>
      </c>
      <c r="T722" s="6" t="s">
        <v>294</v>
      </c>
      <c r="U722" s="6" t="s">
        <v>251</v>
      </c>
      <c r="V722" s="6" t="s">
        <v>691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283</v>
      </c>
      <c r="AE722" s="6" t="s">
        <v>288</v>
      </c>
      <c r="AF722" s="6" t="s">
        <v>49</v>
      </c>
      <c r="AG722" s="6" t="s">
        <v>49</v>
      </c>
      <c r="AH722" s="1" t="s">
        <v>183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6" t="s">
        <v>49</v>
      </c>
      <c r="AW722" s="30" t="s">
        <v>49</v>
      </c>
    </row>
    <row r="723" spans="1:49">
      <c r="A723" s="6" t="s">
        <v>274</v>
      </c>
      <c r="B723" s="6" t="s">
        <v>38</v>
      </c>
      <c r="C723" s="6" t="s">
        <v>49</v>
      </c>
      <c r="D723" s="6" t="s">
        <v>275</v>
      </c>
      <c r="E723" s="6" t="s">
        <v>295</v>
      </c>
      <c r="F723" s="6">
        <v>2018</v>
      </c>
      <c r="G723" s="6" t="s">
        <v>276</v>
      </c>
      <c r="H723" s="6" t="s">
        <v>277</v>
      </c>
      <c r="I723" s="6" t="s">
        <v>278</v>
      </c>
      <c r="J723" s="6" t="str">
        <f t="shared" si="60"/>
        <v>Senecio_pinnatifolius</v>
      </c>
      <c r="K723" s="6" t="s">
        <v>279</v>
      </c>
      <c r="L723" s="6" t="s">
        <v>46</v>
      </c>
      <c r="M723" s="6" t="s">
        <v>49</v>
      </c>
      <c r="N723" s="6" t="s">
        <v>116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294</v>
      </c>
      <c r="T723" s="6" t="s">
        <v>294</v>
      </c>
      <c r="U723" s="6" t="s">
        <v>251</v>
      </c>
      <c r="V723" s="6" t="s">
        <v>691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283</v>
      </c>
      <c r="AE723" s="6" t="s">
        <v>289</v>
      </c>
      <c r="AF723" s="6" t="s">
        <v>49</v>
      </c>
      <c r="AG723" s="6" t="s">
        <v>49</v>
      </c>
      <c r="AH723" s="1" t="s">
        <v>183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6" t="s">
        <v>49</v>
      </c>
      <c r="AW723" s="30" t="s">
        <v>49</v>
      </c>
    </row>
    <row r="724" spans="1:49">
      <c r="A724" s="6" t="s">
        <v>274</v>
      </c>
      <c r="B724" s="6" t="s">
        <v>38</v>
      </c>
      <c r="C724" s="6" t="s">
        <v>49</v>
      </c>
      <c r="D724" s="6" t="s">
        <v>275</v>
      </c>
      <c r="E724" s="6" t="s">
        <v>295</v>
      </c>
      <c r="F724" s="6">
        <v>2018</v>
      </c>
      <c r="G724" s="6" t="s">
        <v>276</v>
      </c>
      <c r="H724" s="6" t="s">
        <v>277</v>
      </c>
      <c r="I724" s="6" t="s">
        <v>278</v>
      </c>
      <c r="J724" s="6" t="str">
        <f t="shared" si="60"/>
        <v>Senecio_pinnatifolius</v>
      </c>
      <c r="K724" s="6" t="s">
        <v>279</v>
      </c>
      <c r="L724" s="6" t="s">
        <v>46</v>
      </c>
      <c r="M724" s="6" t="s">
        <v>49</v>
      </c>
      <c r="N724" s="6" t="s">
        <v>116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294</v>
      </c>
      <c r="T724" s="6" t="s">
        <v>294</v>
      </c>
      <c r="U724" s="6" t="s">
        <v>251</v>
      </c>
      <c r="V724" s="6" t="s">
        <v>691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284</v>
      </c>
      <c r="AE724" s="6" t="s">
        <v>285</v>
      </c>
      <c r="AF724" s="6" t="s">
        <v>49</v>
      </c>
      <c r="AG724" s="6" t="s">
        <v>49</v>
      </c>
      <c r="AH724" s="1" t="s">
        <v>183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6" t="s">
        <v>49</v>
      </c>
      <c r="AW724" s="30" t="s">
        <v>49</v>
      </c>
    </row>
    <row r="725" spans="1:49">
      <c r="A725" s="6" t="s">
        <v>274</v>
      </c>
      <c r="B725" s="6" t="s">
        <v>38</v>
      </c>
      <c r="C725" s="6" t="s">
        <v>49</v>
      </c>
      <c r="D725" s="6" t="s">
        <v>275</v>
      </c>
      <c r="E725" s="6" t="s">
        <v>295</v>
      </c>
      <c r="F725" s="6">
        <v>2018</v>
      </c>
      <c r="G725" s="6" t="s">
        <v>276</v>
      </c>
      <c r="H725" s="6" t="s">
        <v>277</v>
      </c>
      <c r="I725" s="6" t="s">
        <v>278</v>
      </c>
      <c r="J725" s="6" t="str">
        <f t="shared" si="60"/>
        <v>Senecio_pinnatifolius</v>
      </c>
      <c r="K725" s="6" t="s">
        <v>279</v>
      </c>
      <c r="L725" s="6" t="s">
        <v>46</v>
      </c>
      <c r="M725" s="6" t="s">
        <v>49</v>
      </c>
      <c r="N725" s="6" t="s">
        <v>116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294</v>
      </c>
      <c r="T725" s="6" t="s">
        <v>294</v>
      </c>
      <c r="U725" s="6" t="s">
        <v>251</v>
      </c>
      <c r="V725" s="6" t="s">
        <v>691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284</v>
      </c>
      <c r="AE725" s="6" t="s">
        <v>286</v>
      </c>
      <c r="AF725" s="6" t="s">
        <v>49</v>
      </c>
      <c r="AG725" s="6" t="s">
        <v>49</v>
      </c>
      <c r="AH725" s="1" t="s">
        <v>183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6" t="s">
        <v>49</v>
      </c>
      <c r="AW725" s="30" t="s">
        <v>49</v>
      </c>
    </row>
    <row r="726" spans="1:49">
      <c r="A726" s="6" t="s">
        <v>274</v>
      </c>
      <c r="B726" s="6" t="s">
        <v>38</v>
      </c>
      <c r="C726" s="6" t="s">
        <v>49</v>
      </c>
      <c r="D726" s="6" t="s">
        <v>275</v>
      </c>
      <c r="E726" s="6" t="s">
        <v>295</v>
      </c>
      <c r="F726" s="6">
        <v>2018</v>
      </c>
      <c r="G726" s="6" t="s">
        <v>276</v>
      </c>
      <c r="H726" s="6" t="s">
        <v>277</v>
      </c>
      <c r="I726" s="6" t="s">
        <v>278</v>
      </c>
      <c r="J726" s="6" t="str">
        <f t="shared" si="60"/>
        <v>Senecio_pinnatifolius</v>
      </c>
      <c r="K726" s="6" t="s">
        <v>279</v>
      </c>
      <c r="L726" s="6" t="s">
        <v>46</v>
      </c>
      <c r="M726" s="6" t="s">
        <v>49</v>
      </c>
      <c r="N726" s="6" t="s">
        <v>116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294</v>
      </c>
      <c r="T726" s="6" t="s">
        <v>294</v>
      </c>
      <c r="U726" s="6" t="s">
        <v>251</v>
      </c>
      <c r="V726" s="6" t="s">
        <v>691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284</v>
      </c>
      <c r="AE726" s="6" t="s">
        <v>287</v>
      </c>
      <c r="AF726" s="6" t="s">
        <v>49</v>
      </c>
      <c r="AG726" s="6" t="s">
        <v>49</v>
      </c>
      <c r="AH726" s="1" t="s">
        <v>183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6" t="s">
        <v>49</v>
      </c>
      <c r="AW726" s="30" t="s">
        <v>49</v>
      </c>
    </row>
    <row r="727" spans="1:49">
      <c r="A727" s="6" t="s">
        <v>274</v>
      </c>
      <c r="B727" s="6" t="s">
        <v>38</v>
      </c>
      <c r="C727" s="6" t="s">
        <v>49</v>
      </c>
      <c r="D727" s="6" t="s">
        <v>275</v>
      </c>
      <c r="E727" s="6" t="s">
        <v>295</v>
      </c>
      <c r="F727" s="6">
        <v>2018</v>
      </c>
      <c r="G727" s="6" t="s">
        <v>276</v>
      </c>
      <c r="H727" s="6" t="s">
        <v>277</v>
      </c>
      <c r="I727" s="6" t="s">
        <v>278</v>
      </c>
      <c r="J727" s="6" t="str">
        <f t="shared" si="60"/>
        <v>Senecio_pinnatifolius</v>
      </c>
      <c r="K727" s="6" t="s">
        <v>279</v>
      </c>
      <c r="L727" s="6" t="s">
        <v>46</v>
      </c>
      <c r="M727" s="6" t="s">
        <v>49</v>
      </c>
      <c r="N727" s="6" t="s">
        <v>116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294</v>
      </c>
      <c r="T727" s="6" t="s">
        <v>294</v>
      </c>
      <c r="U727" s="6" t="s">
        <v>251</v>
      </c>
      <c r="V727" s="6" t="s">
        <v>691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284</v>
      </c>
      <c r="AE727" s="6" t="s">
        <v>288</v>
      </c>
      <c r="AF727" s="6" t="s">
        <v>49</v>
      </c>
      <c r="AG727" s="6" t="s">
        <v>49</v>
      </c>
      <c r="AH727" s="1" t="s">
        <v>183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6" t="s">
        <v>49</v>
      </c>
      <c r="AW727" s="30" t="s">
        <v>49</v>
      </c>
    </row>
    <row r="728" spans="1:49">
      <c r="A728" s="6" t="s">
        <v>274</v>
      </c>
      <c r="B728" s="6" t="s">
        <v>38</v>
      </c>
      <c r="C728" s="6" t="s">
        <v>49</v>
      </c>
      <c r="D728" s="6" t="s">
        <v>275</v>
      </c>
      <c r="E728" s="6" t="s">
        <v>295</v>
      </c>
      <c r="F728" s="6">
        <v>2018</v>
      </c>
      <c r="G728" s="6" t="s">
        <v>276</v>
      </c>
      <c r="H728" s="6" t="s">
        <v>277</v>
      </c>
      <c r="I728" s="6" t="s">
        <v>278</v>
      </c>
      <c r="J728" s="6" t="str">
        <f t="shared" si="60"/>
        <v>Senecio_pinnatifolius</v>
      </c>
      <c r="K728" s="6" t="s">
        <v>279</v>
      </c>
      <c r="L728" s="6" t="s">
        <v>46</v>
      </c>
      <c r="M728" s="6" t="s">
        <v>49</v>
      </c>
      <c r="N728" s="6" t="s">
        <v>116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294</v>
      </c>
      <c r="T728" s="6" t="s">
        <v>294</v>
      </c>
      <c r="U728" s="6" t="s">
        <v>251</v>
      </c>
      <c r="V728" s="6" t="s">
        <v>691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284</v>
      </c>
      <c r="AE728" s="6" t="s">
        <v>289</v>
      </c>
      <c r="AF728" s="6" t="s">
        <v>49</v>
      </c>
      <c r="AG728" s="6" t="s">
        <v>49</v>
      </c>
      <c r="AH728" s="1" t="s">
        <v>183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6" t="s">
        <v>49</v>
      </c>
      <c r="AW728" s="30" t="s">
        <v>49</v>
      </c>
    </row>
    <row r="729" spans="1:49">
      <c r="A729" s="6" t="s">
        <v>274</v>
      </c>
      <c r="B729" s="6" t="s">
        <v>38</v>
      </c>
      <c r="C729" s="6" t="s">
        <v>49</v>
      </c>
      <c r="D729" s="6" t="s">
        <v>275</v>
      </c>
      <c r="E729" s="6" t="s">
        <v>295</v>
      </c>
      <c r="F729" s="6">
        <v>2018</v>
      </c>
      <c r="G729" s="6" t="s">
        <v>276</v>
      </c>
      <c r="H729" s="6" t="s">
        <v>277</v>
      </c>
      <c r="I729" s="6" t="s">
        <v>278</v>
      </c>
      <c r="J729" s="6" t="str">
        <f t="shared" si="60"/>
        <v>Senecio_pinnatifolius</v>
      </c>
      <c r="K729" s="6" t="s">
        <v>279</v>
      </c>
      <c r="L729" s="6" t="s">
        <v>46</v>
      </c>
      <c r="M729" s="6" t="s">
        <v>49</v>
      </c>
      <c r="N729" s="6" t="s">
        <v>116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294</v>
      </c>
      <c r="T729" s="6" t="s">
        <v>294</v>
      </c>
      <c r="U729" s="6" t="s">
        <v>251</v>
      </c>
      <c r="V729" s="6" t="s">
        <v>691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285</v>
      </c>
      <c r="AE729" s="6" t="s">
        <v>286</v>
      </c>
      <c r="AF729" s="6" t="s">
        <v>49</v>
      </c>
      <c r="AG729" s="6" t="s">
        <v>49</v>
      </c>
      <c r="AH729" s="1" t="s">
        <v>183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6" t="s">
        <v>49</v>
      </c>
      <c r="AW729" s="30" t="s">
        <v>49</v>
      </c>
    </row>
    <row r="730" spans="1:49">
      <c r="A730" s="6" t="s">
        <v>274</v>
      </c>
      <c r="B730" s="6" t="s">
        <v>38</v>
      </c>
      <c r="C730" s="6" t="s">
        <v>49</v>
      </c>
      <c r="D730" s="6" t="s">
        <v>275</v>
      </c>
      <c r="E730" s="6" t="s">
        <v>295</v>
      </c>
      <c r="F730" s="6">
        <v>2018</v>
      </c>
      <c r="G730" s="6" t="s">
        <v>276</v>
      </c>
      <c r="H730" s="6" t="s">
        <v>277</v>
      </c>
      <c r="I730" s="6" t="s">
        <v>278</v>
      </c>
      <c r="J730" s="6" t="str">
        <f t="shared" si="60"/>
        <v>Senecio_pinnatifolius</v>
      </c>
      <c r="K730" s="6" t="s">
        <v>279</v>
      </c>
      <c r="L730" s="6" t="s">
        <v>46</v>
      </c>
      <c r="M730" s="6" t="s">
        <v>49</v>
      </c>
      <c r="N730" s="6" t="s">
        <v>116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294</v>
      </c>
      <c r="T730" s="6" t="s">
        <v>294</v>
      </c>
      <c r="U730" s="6" t="s">
        <v>251</v>
      </c>
      <c r="V730" s="6" t="s">
        <v>691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285</v>
      </c>
      <c r="AE730" s="6" t="s">
        <v>287</v>
      </c>
      <c r="AF730" s="6" t="s">
        <v>49</v>
      </c>
      <c r="AG730" s="6" t="s">
        <v>49</v>
      </c>
      <c r="AH730" s="1" t="s">
        <v>183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6" t="s">
        <v>49</v>
      </c>
      <c r="AW730" s="30" t="s">
        <v>49</v>
      </c>
    </row>
    <row r="731" spans="1:49">
      <c r="A731" s="6" t="s">
        <v>274</v>
      </c>
      <c r="B731" s="6" t="s">
        <v>38</v>
      </c>
      <c r="C731" s="6" t="s">
        <v>49</v>
      </c>
      <c r="D731" s="6" t="s">
        <v>275</v>
      </c>
      <c r="E731" s="6" t="s">
        <v>295</v>
      </c>
      <c r="F731" s="6">
        <v>2018</v>
      </c>
      <c r="G731" s="6" t="s">
        <v>276</v>
      </c>
      <c r="H731" s="6" t="s">
        <v>277</v>
      </c>
      <c r="I731" s="6" t="s">
        <v>278</v>
      </c>
      <c r="J731" s="6" t="str">
        <f t="shared" si="60"/>
        <v>Senecio_pinnatifolius</v>
      </c>
      <c r="K731" s="6" t="s">
        <v>279</v>
      </c>
      <c r="L731" s="6" t="s">
        <v>46</v>
      </c>
      <c r="M731" s="6" t="s">
        <v>49</v>
      </c>
      <c r="N731" s="6" t="s">
        <v>116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294</v>
      </c>
      <c r="T731" s="6" t="s">
        <v>294</v>
      </c>
      <c r="U731" s="6" t="s">
        <v>251</v>
      </c>
      <c r="V731" s="6" t="s">
        <v>691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285</v>
      </c>
      <c r="AE731" s="6" t="s">
        <v>288</v>
      </c>
      <c r="AF731" s="6" t="s">
        <v>49</v>
      </c>
      <c r="AG731" s="6" t="s">
        <v>49</v>
      </c>
      <c r="AH731" s="1" t="s">
        <v>183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6" t="s">
        <v>49</v>
      </c>
      <c r="AW731" s="30" t="s">
        <v>49</v>
      </c>
    </row>
    <row r="732" spans="1:49">
      <c r="A732" s="6" t="s">
        <v>274</v>
      </c>
      <c r="B732" s="6" t="s">
        <v>38</v>
      </c>
      <c r="C732" s="6" t="s">
        <v>49</v>
      </c>
      <c r="D732" s="6" t="s">
        <v>275</v>
      </c>
      <c r="E732" s="6" t="s">
        <v>295</v>
      </c>
      <c r="F732" s="6">
        <v>2018</v>
      </c>
      <c r="G732" s="6" t="s">
        <v>276</v>
      </c>
      <c r="H732" s="6" t="s">
        <v>277</v>
      </c>
      <c r="I732" s="6" t="s">
        <v>278</v>
      </c>
      <c r="J732" s="6" t="str">
        <f t="shared" si="60"/>
        <v>Senecio_pinnatifolius</v>
      </c>
      <c r="K732" s="6" t="s">
        <v>279</v>
      </c>
      <c r="L732" s="6" t="s">
        <v>46</v>
      </c>
      <c r="M732" s="6" t="s">
        <v>49</v>
      </c>
      <c r="N732" s="6" t="s">
        <v>116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294</v>
      </c>
      <c r="T732" s="6" t="s">
        <v>294</v>
      </c>
      <c r="U732" s="6" t="s">
        <v>251</v>
      </c>
      <c r="V732" s="6" t="s">
        <v>691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285</v>
      </c>
      <c r="AE732" s="6" t="s">
        <v>289</v>
      </c>
      <c r="AF732" s="6" t="s">
        <v>49</v>
      </c>
      <c r="AG732" s="6" t="s">
        <v>49</v>
      </c>
      <c r="AH732" s="1" t="s">
        <v>183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6" t="s">
        <v>49</v>
      </c>
      <c r="AW732" s="30" t="s">
        <v>49</v>
      </c>
    </row>
    <row r="733" spans="1:49">
      <c r="A733" s="6" t="s">
        <v>274</v>
      </c>
      <c r="B733" s="6" t="s">
        <v>38</v>
      </c>
      <c r="C733" s="6" t="s">
        <v>49</v>
      </c>
      <c r="D733" s="6" t="s">
        <v>275</v>
      </c>
      <c r="E733" s="6" t="s">
        <v>295</v>
      </c>
      <c r="F733" s="6">
        <v>2018</v>
      </c>
      <c r="G733" s="6" t="s">
        <v>276</v>
      </c>
      <c r="H733" s="6" t="s">
        <v>277</v>
      </c>
      <c r="I733" s="6" t="s">
        <v>278</v>
      </c>
      <c r="J733" s="6" t="str">
        <f t="shared" si="60"/>
        <v>Senecio_pinnatifolius</v>
      </c>
      <c r="K733" s="6" t="s">
        <v>279</v>
      </c>
      <c r="L733" s="6" t="s">
        <v>46</v>
      </c>
      <c r="M733" s="6" t="s">
        <v>49</v>
      </c>
      <c r="N733" s="6" t="s">
        <v>116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294</v>
      </c>
      <c r="T733" s="6" t="s">
        <v>294</v>
      </c>
      <c r="U733" s="6" t="s">
        <v>251</v>
      </c>
      <c r="V733" s="6" t="s">
        <v>691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286</v>
      </c>
      <c r="AE733" s="6" t="s">
        <v>287</v>
      </c>
      <c r="AF733" s="6" t="s">
        <v>49</v>
      </c>
      <c r="AG733" s="6" t="s">
        <v>49</v>
      </c>
      <c r="AH733" s="1" t="s">
        <v>183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6" t="s">
        <v>49</v>
      </c>
      <c r="AW733" s="30" t="s">
        <v>49</v>
      </c>
    </row>
    <row r="734" spans="1:49">
      <c r="A734" s="6" t="s">
        <v>274</v>
      </c>
      <c r="B734" s="6" t="s">
        <v>38</v>
      </c>
      <c r="C734" s="6" t="s">
        <v>49</v>
      </c>
      <c r="D734" s="6" t="s">
        <v>275</v>
      </c>
      <c r="E734" s="6" t="s">
        <v>295</v>
      </c>
      <c r="F734" s="6">
        <v>2018</v>
      </c>
      <c r="G734" s="6" t="s">
        <v>276</v>
      </c>
      <c r="H734" s="6" t="s">
        <v>277</v>
      </c>
      <c r="I734" s="6" t="s">
        <v>278</v>
      </c>
      <c r="J734" s="6" t="str">
        <f t="shared" si="60"/>
        <v>Senecio_pinnatifolius</v>
      </c>
      <c r="K734" s="6" t="s">
        <v>279</v>
      </c>
      <c r="L734" s="6" t="s">
        <v>46</v>
      </c>
      <c r="M734" s="6" t="s">
        <v>49</v>
      </c>
      <c r="N734" s="6" t="s">
        <v>116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294</v>
      </c>
      <c r="T734" s="6" t="s">
        <v>294</v>
      </c>
      <c r="U734" s="6" t="s">
        <v>251</v>
      </c>
      <c r="V734" s="6" t="s">
        <v>691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286</v>
      </c>
      <c r="AE734" s="6" t="s">
        <v>288</v>
      </c>
      <c r="AF734" s="6" t="s">
        <v>49</v>
      </c>
      <c r="AG734" s="6" t="s">
        <v>49</v>
      </c>
      <c r="AH734" s="1" t="s">
        <v>183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6" t="s">
        <v>49</v>
      </c>
      <c r="AW734" s="30" t="s">
        <v>49</v>
      </c>
    </row>
    <row r="735" spans="1:49">
      <c r="A735" s="6" t="s">
        <v>274</v>
      </c>
      <c r="B735" s="6" t="s">
        <v>38</v>
      </c>
      <c r="C735" s="6" t="s">
        <v>49</v>
      </c>
      <c r="D735" s="6" t="s">
        <v>275</v>
      </c>
      <c r="E735" s="6" t="s">
        <v>295</v>
      </c>
      <c r="F735" s="6">
        <v>2018</v>
      </c>
      <c r="G735" s="6" t="s">
        <v>276</v>
      </c>
      <c r="H735" s="6" t="s">
        <v>277</v>
      </c>
      <c r="I735" s="6" t="s">
        <v>278</v>
      </c>
      <c r="J735" s="6" t="str">
        <f t="shared" si="60"/>
        <v>Senecio_pinnatifolius</v>
      </c>
      <c r="K735" s="6" t="s">
        <v>279</v>
      </c>
      <c r="L735" s="6" t="s">
        <v>46</v>
      </c>
      <c r="M735" s="6" t="s">
        <v>49</v>
      </c>
      <c r="N735" s="6" t="s">
        <v>116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294</v>
      </c>
      <c r="T735" s="6" t="s">
        <v>294</v>
      </c>
      <c r="U735" s="6" t="s">
        <v>251</v>
      </c>
      <c r="V735" s="6" t="s">
        <v>691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286</v>
      </c>
      <c r="AE735" s="6" t="s">
        <v>289</v>
      </c>
      <c r="AF735" s="6" t="s">
        <v>49</v>
      </c>
      <c r="AG735" s="6" t="s">
        <v>49</v>
      </c>
      <c r="AH735" s="1" t="s">
        <v>183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6" t="s">
        <v>49</v>
      </c>
      <c r="AW735" s="30" t="s">
        <v>49</v>
      </c>
    </row>
    <row r="736" spans="1:49">
      <c r="A736" s="6" t="s">
        <v>274</v>
      </c>
      <c r="B736" s="6" t="s">
        <v>38</v>
      </c>
      <c r="C736" s="6" t="s">
        <v>49</v>
      </c>
      <c r="D736" s="6" t="s">
        <v>275</v>
      </c>
      <c r="E736" s="6" t="s">
        <v>295</v>
      </c>
      <c r="F736" s="6">
        <v>2018</v>
      </c>
      <c r="G736" s="6" t="s">
        <v>276</v>
      </c>
      <c r="H736" s="6" t="s">
        <v>277</v>
      </c>
      <c r="I736" s="6" t="s">
        <v>278</v>
      </c>
      <c r="J736" s="6" t="str">
        <f t="shared" si="60"/>
        <v>Senecio_pinnatifolius</v>
      </c>
      <c r="K736" s="6" t="s">
        <v>279</v>
      </c>
      <c r="L736" s="6" t="s">
        <v>46</v>
      </c>
      <c r="M736" s="6" t="s">
        <v>49</v>
      </c>
      <c r="N736" s="6" t="s">
        <v>116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294</v>
      </c>
      <c r="T736" s="6" t="s">
        <v>294</v>
      </c>
      <c r="U736" s="6" t="s">
        <v>251</v>
      </c>
      <c r="V736" s="6" t="s">
        <v>691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287</v>
      </c>
      <c r="AE736" s="6" t="s">
        <v>288</v>
      </c>
      <c r="AF736" s="6" t="s">
        <v>49</v>
      </c>
      <c r="AG736" s="6" t="s">
        <v>49</v>
      </c>
      <c r="AH736" s="1" t="s">
        <v>183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6" t="s">
        <v>49</v>
      </c>
      <c r="AW736" s="30" t="s">
        <v>49</v>
      </c>
    </row>
    <row r="737" spans="1:49">
      <c r="A737" s="6" t="s">
        <v>274</v>
      </c>
      <c r="B737" s="6" t="s">
        <v>38</v>
      </c>
      <c r="C737" s="6" t="s">
        <v>49</v>
      </c>
      <c r="D737" s="6" t="s">
        <v>275</v>
      </c>
      <c r="E737" s="6" t="s">
        <v>295</v>
      </c>
      <c r="F737" s="6">
        <v>2018</v>
      </c>
      <c r="G737" s="6" t="s">
        <v>276</v>
      </c>
      <c r="H737" s="6" t="s">
        <v>277</v>
      </c>
      <c r="I737" s="6" t="s">
        <v>278</v>
      </c>
      <c r="J737" s="6" t="str">
        <f t="shared" si="60"/>
        <v>Senecio_pinnatifolius</v>
      </c>
      <c r="K737" s="6" t="s">
        <v>279</v>
      </c>
      <c r="L737" s="6" t="s">
        <v>46</v>
      </c>
      <c r="M737" s="6" t="s">
        <v>49</v>
      </c>
      <c r="N737" s="6" t="s">
        <v>116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294</v>
      </c>
      <c r="T737" s="6" t="s">
        <v>294</v>
      </c>
      <c r="U737" s="6" t="s">
        <v>251</v>
      </c>
      <c r="V737" s="6" t="s">
        <v>691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287</v>
      </c>
      <c r="AE737" s="6" t="s">
        <v>289</v>
      </c>
      <c r="AF737" s="6" t="s">
        <v>49</v>
      </c>
      <c r="AG737" s="6" t="s">
        <v>49</v>
      </c>
      <c r="AH737" s="1" t="s">
        <v>183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6" t="s">
        <v>49</v>
      </c>
      <c r="AW737" s="30" t="s">
        <v>49</v>
      </c>
    </row>
    <row r="738" spans="1:49">
      <c r="A738" s="6" t="s">
        <v>274</v>
      </c>
      <c r="B738" s="6" t="s">
        <v>38</v>
      </c>
      <c r="C738" s="6" t="s">
        <v>49</v>
      </c>
      <c r="D738" s="6" t="s">
        <v>275</v>
      </c>
      <c r="E738" s="6" t="s">
        <v>295</v>
      </c>
      <c r="F738" s="6">
        <v>2018</v>
      </c>
      <c r="G738" s="6" t="s">
        <v>276</v>
      </c>
      <c r="H738" s="6" t="s">
        <v>277</v>
      </c>
      <c r="I738" s="6" t="s">
        <v>278</v>
      </c>
      <c r="J738" s="6" t="str">
        <f t="shared" si="60"/>
        <v>Senecio_pinnatifolius</v>
      </c>
      <c r="K738" s="6" t="s">
        <v>279</v>
      </c>
      <c r="L738" s="6" t="s">
        <v>46</v>
      </c>
      <c r="M738" s="6" t="s">
        <v>49</v>
      </c>
      <c r="N738" s="6" t="s">
        <v>116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294</v>
      </c>
      <c r="T738" s="6" t="s">
        <v>294</v>
      </c>
      <c r="U738" s="6" t="s">
        <v>251</v>
      </c>
      <c r="V738" s="6" t="s">
        <v>691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288</v>
      </c>
      <c r="AE738" s="6" t="s">
        <v>289</v>
      </c>
      <c r="AF738" s="6" t="s">
        <v>49</v>
      </c>
      <c r="AG738" s="6" t="s">
        <v>49</v>
      </c>
      <c r="AH738" s="1" t="s">
        <v>183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6" t="s">
        <v>49</v>
      </c>
      <c r="AW738" s="30" t="s">
        <v>49</v>
      </c>
    </row>
    <row r="739" spans="1:49">
      <c r="A739" s="6" t="s">
        <v>274</v>
      </c>
      <c r="B739" s="6" t="s">
        <v>38</v>
      </c>
      <c r="C739" s="6" t="s">
        <v>49</v>
      </c>
      <c r="D739" s="6" t="s">
        <v>275</v>
      </c>
      <c r="E739" s="6" t="s">
        <v>295</v>
      </c>
      <c r="F739" s="6">
        <v>2018</v>
      </c>
      <c r="G739" s="6" t="s">
        <v>276</v>
      </c>
      <c r="H739" s="6" t="s">
        <v>277</v>
      </c>
      <c r="I739" s="6" t="s">
        <v>278</v>
      </c>
      <c r="J739" s="6" t="str">
        <f>H739&amp;"_"&amp;I739</f>
        <v>Senecio_pinnatifolius</v>
      </c>
      <c r="K739" s="6" t="s">
        <v>279</v>
      </c>
      <c r="L739" s="6" t="s">
        <v>46</v>
      </c>
      <c r="M739" s="6" t="s">
        <v>49</v>
      </c>
      <c r="N739" s="6" t="s">
        <v>116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294</v>
      </c>
      <c r="T739" s="6" t="s">
        <v>294</v>
      </c>
      <c r="U739" s="6" t="s">
        <v>251</v>
      </c>
      <c r="V739" s="6" t="s">
        <v>692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127</v>
      </c>
      <c r="AB739" s="6" t="s">
        <v>241</v>
      </c>
      <c r="AC739" s="6" t="s">
        <v>242</v>
      </c>
      <c r="AD739" s="6" t="s">
        <v>242</v>
      </c>
      <c r="AE739" s="6" t="s">
        <v>242</v>
      </c>
      <c r="AF739" s="6" t="s">
        <v>60</v>
      </c>
      <c r="AG739" s="6" t="s">
        <v>61</v>
      </c>
      <c r="AH739" s="1" t="s">
        <v>183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 t="s">
        <v>49</v>
      </c>
      <c r="AS739" s="6">
        <f>AN739*AL739</f>
        <v>848.47849999999994</v>
      </c>
      <c r="AT739" s="6">
        <f>AS739/(AM739^2)*100</f>
        <v>0.72521068104359721</v>
      </c>
      <c r="AU739" s="6" t="s">
        <v>49</v>
      </c>
      <c r="AV739" s="4">
        <f>AT739*(1-AL739)/AL739</f>
        <v>3.4667585735436699</v>
      </c>
      <c r="AW739" s="30" t="s">
        <v>49</v>
      </c>
    </row>
    <row r="740" spans="1:49">
      <c r="A740" s="6" t="s">
        <v>274</v>
      </c>
      <c r="B740" s="6" t="s">
        <v>38</v>
      </c>
      <c r="C740" s="6" t="s">
        <v>49</v>
      </c>
      <c r="D740" s="6" t="s">
        <v>275</v>
      </c>
      <c r="E740" s="6" t="s">
        <v>295</v>
      </c>
      <c r="F740" s="6">
        <v>2018</v>
      </c>
      <c r="G740" s="6" t="s">
        <v>276</v>
      </c>
      <c r="H740" s="6" t="s">
        <v>277</v>
      </c>
      <c r="I740" s="6" t="s">
        <v>278</v>
      </c>
      <c r="J740" s="6" t="str">
        <f>H740&amp;"_"&amp;I740</f>
        <v>Senecio_pinnatifolius</v>
      </c>
      <c r="K740" s="6" t="s">
        <v>279</v>
      </c>
      <c r="L740" s="6" t="s">
        <v>46</v>
      </c>
      <c r="M740" s="6" t="s">
        <v>49</v>
      </c>
      <c r="N740" s="6" t="s">
        <v>116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294</v>
      </c>
      <c r="T740" s="6" t="s">
        <v>294</v>
      </c>
      <c r="U740" s="6" t="s">
        <v>251</v>
      </c>
      <c r="V740" s="6" t="s">
        <v>692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127</v>
      </c>
      <c r="AB740" s="6" t="s">
        <v>292</v>
      </c>
      <c r="AC740" s="6" t="s">
        <v>292</v>
      </c>
      <c r="AD740" s="6" t="s">
        <v>281</v>
      </c>
      <c r="AE740" s="6" t="s">
        <v>281</v>
      </c>
      <c r="AF740" s="6" t="s">
        <v>60</v>
      </c>
      <c r="AG740" s="6" t="s">
        <v>60</v>
      </c>
      <c r="AH740" s="1" t="s">
        <v>183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 t="s">
        <v>49</v>
      </c>
      <c r="AS740" s="6">
        <f t="shared" ref="AS740:AS748" si="61">AN740*AL740</f>
        <v>1.7490000000000001E-3</v>
      </c>
      <c r="AT740" s="6">
        <f t="shared" ref="AT740:AT748" si="62">AS740/(AM740^2)*100</f>
        <v>1.5584762753397192</v>
      </c>
      <c r="AU740" s="6" t="s">
        <v>49</v>
      </c>
      <c r="AV740" s="4">
        <f t="shared" ref="AV740:AV748" si="63">AT740*(1-AL740)/AL740</f>
        <v>13.144130095789707</v>
      </c>
      <c r="AW740" s="30" t="s">
        <v>49</v>
      </c>
    </row>
    <row r="741" spans="1:49">
      <c r="A741" s="6" t="s">
        <v>274</v>
      </c>
      <c r="B741" s="6" t="s">
        <v>38</v>
      </c>
      <c r="C741" s="6" t="s">
        <v>49</v>
      </c>
      <c r="D741" s="6" t="s">
        <v>275</v>
      </c>
      <c r="E741" s="6" t="s">
        <v>295</v>
      </c>
      <c r="F741" s="6">
        <v>2018</v>
      </c>
      <c r="G741" s="6" t="s">
        <v>276</v>
      </c>
      <c r="H741" s="6" t="s">
        <v>277</v>
      </c>
      <c r="I741" s="6" t="s">
        <v>278</v>
      </c>
      <c r="J741" s="6" t="str">
        <f t="shared" ref="J741:J793" si="64">H741&amp;"_"&amp;I741</f>
        <v>Senecio_pinnatifolius</v>
      </c>
      <c r="K741" s="6" t="s">
        <v>279</v>
      </c>
      <c r="L741" s="6" t="s">
        <v>46</v>
      </c>
      <c r="M741" s="6" t="s">
        <v>49</v>
      </c>
      <c r="N741" s="6" t="s">
        <v>116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294</v>
      </c>
      <c r="T741" s="6" t="s">
        <v>294</v>
      </c>
      <c r="U741" s="6" t="s">
        <v>251</v>
      </c>
      <c r="V741" s="6" t="s">
        <v>692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127</v>
      </c>
      <c r="AB741" s="6" t="s">
        <v>241</v>
      </c>
      <c r="AC741" s="6" t="s">
        <v>291</v>
      </c>
      <c r="AD741" s="6" t="s">
        <v>282</v>
      </c>
      <c r="AE741" s="6" t="s">
        <v>282</v>
      </c>
      <c r="AF741" s="6" t="s">
        <v>60</v>
      </c>
      <c r="AG741" s="6" t="s">
        <v>53</v>
      </c>
      <c r="AH741" s="1" t="s">
        <v>183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 t="s">
        <v>49</v>
      </c>
      <c r="AS741" s="6">
        <f t="shared" si="61"/>
        <v>0.58104780000000011</v>
      </c>
      <c r="AT741" s="6">
        <f t="shared" si="62"/>
        <v>0.19371633182486073</v>
      </c>
      <c r="AU741" s="6" t="s">
        <v>49</v>
      </c>
      <c r="AV741" s="4">
        <f t="shared" si="63"/>
        <v>0.50310500567463823</v>
      </c>
      <c r="AW741" s="30" t="s">
        <v>49</v>
      </c>
    </row>
    <row r="742" spans="1:49">
      <c r="A742" s="6" t="s">
        <v>274</v>
      </c>
      <c r="B742" s="6" t="s">
        <v>38</v>
      </c>
      <c r="C742" s="6" t="s">
        <v>49</v>
      </c>
      <c r="D742" s="6" t="s">
        <v>275</v>
      </c>
      <c r="E742" s="6" t="s">
        <v>295</v>
      </c>
      <c r="F742" s="6">
        <v>2018</v>
      </c>
      <c r="G742" s="6" t="s">
        <v>276</v>
      </c>
      <c r="H742" s="6" t="s">
        <v>277</v>
      </c>
      <c r="I742" s="6" t="s">
        <v>278</v>
      </c>
      <c r="J742" s="6" t="str">
        <f t="shared" si="64"/>
        <v>Senecio_pinnatifolius</v>
      </c>
      <c r="K742" s="6" t="s">
        <v>279</v>
      </c>
      <c r="L742" s="6" t="s">
        <v>46</v>
      </c>
      <c r="M742" s="6" t="s">
        <v>49</v>
      </c>
      <c r="N742" s="6" t="s">
        <v>116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294</v>
      </c>
      <c r="T742" s="6" t="s">
        <v>294</v>
      </c>
      <c r="U742" s="6" t="s">
        <v>251</v>
      </c>
      <c r="V742" s="6" t="s">
        <v>692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127</v>
      </c>
      <c r="AB742" s="6" t="s">
        <v>241</v>
      </c>
      <c r="AC742" s="6" t="s">
        <v>290</v>
      </c>
      <c r="AD742" s="6" t="s">
        <v>283</v>
      </c>
      <c r="AE742" s="6" t="s">
        <v>283</v>
      </c>
      <c r="AF742" s="6" t="s">
        <v>60</v>
      </c>
      <c r="AG742" s="6" t="s">
        <v>61</v>
      </c>
      <c r="AH742" s="1" t="s">
        <v>183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 t="s">
        <v>49</v>
      </c>
      <c r="AS742" s="6">
        <f t="shared" si="61"/>
        <v>6.9241500000000011E-2</v>
      </c>
      <c r="AT742" s="6">
        <f t="shared" si="62"/>
        <v>0.25577542547139287</v>
      </c>
      <c r="AU742" s="6" t="s">
        <v>49</v>
      </c>
      <c r="AV742" s="4">
        <f t="shared" si="63"/>
        <v>1.6388573557981838</v>
      </c>
      <c r="AW742" s="30" t="s">
        <v>49</v>
      </c>
    </row>
    <row r="743" spans="1:49">
      <c r="A743" s="6" t="s">
        <v>274</v>
      </c>
      <c r="B743" s="6" t="s">
        <v>38</v>
      </c>
      <c r="C743" s="6" t="s">
        <v>49</v>
      </c>
      <c r="D743" s="6" t="s">
        <v>275</v>
      </c>
      <c r="E743" s="6" t="s">
        <v>295</v>
      </c>
      <c r="F743" s="6">
        <v>2018</v>
      </c>
      <c r="G743" s="6" t="s">
        <v>276</v>
      </c>
      <c r="H743" s="6" t="s">
        <v>277</v>
      </c>
      <c r="I743" s="6" t="s">
        <v>278</v>
      </c>
      <c r="J743" s="6" t="str">
        <f t="shared" si="64"/>
        <v>Senecio_pinnatifolius</v>
      </c>
      <c r="K743" s="6" t="s">
        <v>279</v>
      </c>
      <c r="L743" s="6" t="s">
        <v>46</v>
      </c>
      <c r="M743" s="6" t="s">
        <v>49</v>
      </c>
      <c r="N743" s="6" t="s">
        <v>116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294</v>
      </c>
      <c r="T743" s="6" t="s">
        <v>294</v>
      </c>
      <c r="U743" s="6" t="s">
        <v>251</v>
      </c>
      <c r="V743" s="6" t="s">
        <v>692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127</v>
      </c>
      <c r="AB743" s="6" t="s">
        <v>239</v>
      </c>
      <c r="AC743" s="6" t="s">
        <v>284</v>
      </c>
      <c r="AD743" s="6" t="s">
        <v>284</v>
      </c>
      <c r="AE743" s="6" t="s">
        <v>284</v>
      </c>
      <c r="AF743" s="6" t="s">
        <v>60</v>
      </c>
      <c r="AG743" s="6" t="s">
        <v>129</v>
      </c>
      <c r="AH743" s="1" t="s">
        <v>183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 t="s">
        <v>49</v>
      </c>
      <c r="AS743" s="6">
        <f t="shared" si="61"/>
        <v>9147.2256455999996</v>
      </c>
      <c r="AT743" s="6">
        <f t="shared" si="62"/>
        <v>2.1491438327165073</v>
      </c>
      <c r="AU743" s="6" t="s">
        <v>49</v>
      </c>
      <c r="AV743" s="4">
        <f t="shared" si="63"/>
        <v>23.43590179486096</v>
      </c>
      <c r="AW743" s="30" t="s">
        <v>49</v>
      </c>
    </row>
    <row r="744" spans="1:49">
      <c r="A744" s="6" t="s">
        <v>274</v>
      </c>
      <c r="B744" s="6" t="s">
        <v>38</v>
      </c>
      <c r="C744" s="6" t="s">
        <v>49</v>
      </c>
      <c r="D744" s="6" t="s">
        <v>275</v>
      </c>
      <c r="E744" s="6" t="s">
        <v>295</v>
      </c>
      <c r="F744" s="6">
        <v>2018</v>
      </c>
      <c r="G744" s="6" t="s">
        <v>276</v>
      </c>
      <c r="H744" s="6" t="s">
        <v>277</v>
      </c>
      <c r="I744" s="6" t="s">
        <v>278</v>
      </c>
      <c r="J744" s="6" t="str">
        <f t="shared" si="64"/>
        <v>Senecio_pinnatifolius</v>
      </c>
      <c r="K744" s="6" t="s">
        <v>279</v>
      </c>
      <c r="L744" s="6" t="s">
        <v>46</v>
      </c>
      <c r="M744" s="6" t="s">
        <v>49</v>
      </c>
      <c r="N744" s="6" t="s">
        <v>116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294</v>
      </c>
      <c r="T744" s="6" t="s">
        <v>294</v>
      </c>
      <c r="U744" s="6" t="s">
        <v>251</v>
      </c>
      <c r="V744" s="6" t="s">
        <v>692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127</v>
      </c>
      <c r="AB744" s="6" t="s">
        <v>292</v>
      </c>
      <c r="AC744" s="6" t="s">
        <v>292</v>
      </c>
      <c r="AD744" s="6" t="s">
        <v>285</v>
      </c>
      <c r="AE744" s="6" t="s">
        <v>285</v>
      </c>
      <c r="AF744" s="6" t="s">
        <v>60</v>
      </c>
      <c r="AG744" s="6" t="s">
        <v>60</v>
      </c>
      <c r="AH744" s="1" t="s">
        <v>183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 t="s">
        <v>49</v>
      </c>
      <c r="AS744" s="6">
        <f t="shared" si="61"/>
        <v>0.85234680000000007</v>
      </c>
      <c r="AT744" s="6">
        <f t="shared" si="62"/>
        <v>8.5034373030888446</v>
      </c>
      <c r="AU744" s="6" t="s">
        <v>49</v>
      </c>
      <c r="AV744" s="4">
        <f t="shared" si="63"/>
        <v>43.986916419681798</v>
      </c>
      <c r="AW744" s="30" t="s">
        <v>49</v>
      </c>
    </row>
    <row r="745" spans="1:49">
      <c r="A745" s="6" t="s">
        <v>274</v>
      </c>
      <c r="B745" s="6" t="s">
        <v>38</v>
      </c>
      <c r="C745" s="6" t="s">
        <v>49</v>
      </c>
      <c r="D745" s="6" t="s">
        <v>275</v>
      </c>
      <c r="E745" s="6" t="s">
        <v>295</v>
      </c>
      <c r="F745" s="6">
        <v>2018</v>
      </c>
      <c r="G745" s="6" t="s">
        <v>276</v>
      </c>
      <c r="H745" s="6" t="s">
        <v>277</v>
      </c>
      <c r="I745" s="6" t="s">
        <v>278</v>
      </c>
      <c r="J745" s="6" t="str">
        <f t="shared" si="64"/>
        <v>Senecio_pinnatifolius</v>
      </c>
      <c r="K745" s="6" t="s">
        <v>279</v>
      </c>
      <c r="L745" s="6" t="s">
        <v>46</v>
      </c>
      <c r="M745" s="6" t="s">
        <v>49</v>
      </c>
      <c r="N745" s="6" t="s">
        <v>116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294</v>
      </c>
      <c r="T745" s="6" t="s">
        <v>294</v>
      </c>
      <c r="U745" s="6" t="s">
        <v>251</v>
      </c>
      <c r="V745" s="6" t="s">
        <v>692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127</v>
      </c>
      <c r="AB745" s="6" t="s">
        <v>292</v>
      </c>
      <c r="AC745" s="6" t="s">
        <v>292</v>
      </c>
      <c r="AD745" s="6" t="s">
        <v>286</v>
      </c>
      <c r="AE745" s="6" t="s">
        <v>286</v>
      </c>
      <c r="AF745" s="6" t="s">
        <v>49</v>
      </c>
      <c r="AG745" s="6" t="s">
        <v>49</v>
      </c>
      <c r="AH745" s="1" t="s">
        <v>183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 t="s">
        <v>49</v>
      </c>
      <c r="AS745" s="6">
        <f t="shared" si="61"/>
        <v>17.645831999999999</v>
      </c>
      <c r="AT745" s="6">
        <f t="shared" si="62"/>
        <v>4.2892144342730063</v>
      </c>
      <c r="AU745" s="6" t="s">
        <v>49</v>
      </c>
      <c r="AV745" s="4">
        <f t="shared" si="63"/>
        <v>40.860411189653377</v>
      </c>
      <c r="AW745" s="30" t="s">
        <v>49</v>
      </c>
    </row>
    <row r="746" spans="1:49">
      <c r="A746" s="6" t="s">
        <v>274</v>
      </c>
      <c r="B746" s="6" t="s">
        <v>38</v>
      </c>
      <c r="C746" s="6" t="s">
        <v>49</v>
      </c>
      <c r="D746" s="6" t="s">
        <v>275</v>
      </c>
      <c r="E746" s="6" t="s">
        <v>295</v>
      </c>
      <c r="F746" s="6">
        <v>2018</v>
      </c>
      <c r="G746" s="6" t="s">
        <v>276</v>
      </c>
      <c r="H746" s="6" t="s">
        <v>277</v>
      </c>
      <c r="I746" s="6" t="s">
        <v>278</v>
      </c>
      <c r="J746" s="6" t="str">
        <f t="shared" si="64"/>
        <v>Senecio_pinnatifolius</v>
      </c>
      <c r="K746" s="6" t="s">
        <v>279</v>
      </c>
      <c r="L746" s="6" t="s">
        <v>46</v>
      </c>
      <c r="M746" s="6" t="s">
        <v>49</v>
      </c>
      <c r="N746" s="6" t="s">
        <v>116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294</v>
      </c>
      <c r="T746" s="6" t="s">
        <v>294</v>
      </c>
      <c r="U746" s="6" t="s">
        <v>251</v>
      </c>
      <c r="V746" s="6" t="s">
        <v>692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127</v>
      </c>
      <c r="AB746" s="6" t="s">
        <v>292</v>
      </c>
      <c r="AC746" s="6" t="s">
        <v>292</v>
      </c>
      <c r="AD746" s="6" t="s">
        <v>287</v>
      </c>
      <c r="AE746" s="6" t="s">
        <v>287</v>
      </c>
      <c r="AF746" s="6" t="s">
        <v>60</v>
      </c>
      <c r="AG746" s="6" t="s">
        <v>53</v>
      </c>
      <c r="AH746" s="1" t="s">
        <v>183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 t="s">
        <v>49</v>
      </c>
      <c r="AS746" s="6">
        <f t="shared" si="61"/>
        <v>5.3800000000000007E-5</v>
      </c>
      <c r="AT746" s="6">
        <f t="shared" si="62"/>
        <v>1.4944444444444447</v>
      </c>
      <c r="AU746" s="6" t="s">
        <v>49</v>
      </c>
      <c r="AV746" s="4">
        <f t="shared" si="63"/>
        <v>4.0611111111111109</v>
      </c>
      <c r="AW746" s="30" t="s">
        <v>49</v>
      </c>
    </row>
    <row r="747" spans="1:49">
      <c r="A747" s="6" t="s">
        <v>274</v>
      </c>
      <c r="B747" s="6" t="s">
        <v>38</v>
      </c>
      <c r="C747" s="6" t="s">
        <v>49</v>
      </c>
      <c r="D747" s="6" t="s">
        <v>275</v>
      </c>
      <c r="E747" s="6" t="s">
        <v>295</v>
      </c>
      <c r="F747" s="6">
        <v>2018</v>
      </c>
      <c r="G747" s="6" t="s">
        <v>276</v>
      </c>
      <c r="H747" s="6" t="s">
        <v>277</v>
      </c>
      <c r="I747" s="6" t="s">
        <v>278</v>
      </c>
      <c r="J747" s="6" t="str">
        <f t="shared" si="64"/>
        <v>Senecio_pinnatifolius</v>
      </c>
      <c r="K747" s="6" t="s">
        <v>279</v>
      </c>
      <c r="L747" s="6" t="s">
        <v>46</v>
      </c>
      <c r="M747" s="6" t="s">
        <v>49</v>
      </c>
      <c r="N747" s="6" t="s">
        <v>116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294</v>
      </c>
      <c r="T747" s="6" t="s">
        <v>294</v>
      </c>
      <c r="U747" s="6" t="s">
        <v>251</v>
      </c>
      <c r="V747" s="6" t="s">
        <v>692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127</v>
      </c>
      <c r="AB747" s="6" t="s">
        <v>239</v>
      </c>
      <c r="AC747" s="6" t="s">
        <v>293</v>
      </c>
      <c r="AD747" s="6" t="s">
        <v>288</v>
      </c>
      <c r="AE747" s="6" t="s">
        <v>288</v>
      </c>
      <c r="AF747" s="6" t="s">
        <v>60</v>
      </c>
      <c r="AG747" s="6" t="s">
        <v>61</v>
      </c>
      <c r="AH747" s="1" t="s">
        <v>183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 t="s">
        <v>49</v>
      </c>
      <c r="AS747" s="6">
        <f t="shared" si="61"/>
        <v>0.97629049999999995</v>
      </c>
      <c r="AT747" s="6">
        <f t="shared" si="62"/>
        <v>1.3184914382642414</v>
      </c>
      <c r="AU747" s="6" t="s">
        <v>49</v>
      </c>
      <c r="AV747" s="4">
        <f t="shared" si="63"/>
        <v>7.4132399409691461</v>
      </c>
      <c r="AW747" s="30" t="s">
        <v>49</v>
      </c>
    </row>
    <row r="748" spans="1:49">
      <c r="A748" s="6" t="s">
        <v>274</v>
      </c>
      <c r="B748" s="6" t="s">
        <v>38</v>
      </c>
      <c r="C748" s="6" t="s">
        <v>49</v>
      </c>
      <c r="D748" s="6" t="s">
        <v>275</v>
      </c>
      <c r="E748" s="6" t="s">
        <v>295</v>
      </c>
      <c r="F748" s="6">
        <v>2018</v>
      </c>
      <c r="G748" s="6" t="s">
        <v>276</v>
      </c>
      <c r="H748" s="6" t="s">
        <v>277</v>
      </c>
      <c r="I748" s="6" t="s">
        <v>278</v>
      </c>
      <c r="J748" s="6" t="str">
        <f t="shared" si="64"/>
        <v>Senecio_pinnatifolius</v>
      </c>
      <c r="K748" s="6" t="s">
        <v>279</v>
      </c>
      <c r="L748" s="6" t="s">
        <v>46</v>
      </c>
      <c r="M748" s="6" t="s">
        <v>49</v>
      </c>
      <c r="N748" s="6" t="s">
        <v>116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294</v>
      </c>
      <c r="T748" s="6" t="s">
        <v>294</v>
      </c>
      <c r="U748" s="6" t="s">
        <v>251</v>
      </c>
      <c r="V748" s="6" t="s">
        <v>692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127</v>
      </c>
      <c r="AB748" s="6" t="s">
        <v>239</v>
      </c>
      <c r="AC748" s="6" t="s">
        <v>293</v>
      </c>
      <c r="AD748" s="6" t="s">
        <v>289</v>
      </c>
      <c r="AE748" s="6" t="s">
        <v>289</v>
      </c>
      <c r="AF748" s="6" t="s">
        <v>60</v>
      </c>
      <c r="AG748" s="6" t="s">
        <v>61</v>
      </c>
      <c r="AH748" s="1" t="s">
        <v>183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 t="s">
        <v>49</v>
      </c>
      <c r="AS748" s="6">
        <f t="shared" si="61"/>
        <v>4.4640600000000003E-2</v>
      </c>
      <c r="AT748" s="6">
        <f t="shared" si="62"/>
        <v>0.93247111550788897</v>
      </c>
      <c r="AU748" s="6" t="s">
        <v>49</v>
      </c>
      <c r="AV748" s="4">
        <f t="shared" si="63"/>
        <v>8.9874343686185885</v>
      </c>
      <c r="AW748" s="30" t="s">
        <v>49</v>
      </c>
    </row>
    <row r="749" spans="1:49">
      <c r="A749" s="6" t="s">
        <v>274</v>
      </c>
      <c r="B749" s="6" t="s">
        <v>38</v>
      </c>
      <c r="C749" s="6" t="s">
        <v>49</v>
      </c>
      <c r="D749" s="6" t="s">
        <v>275</v>
      </c>
      <c r="E749" s="6" t="s">
        <v>295</v>
      </c>
      <c r="F749" s="6">
        <v>2018</v>
      </c>
      <c r="G749" s="6" t="s">
        <v>276</v>
      </c>
      <c r="H749" s="6" t="s">
        <v>277</v>
      </c>
      <c r="I749" s="6" t="s">
        <v>278</v>
      </c>
      <c r="J749" s="6" t="str">
        <f t="shared" si="64"/>
        <v>Senecio_pinnatifolius</v>
      </c>
      <c r="K749" s="6" t="s">
        <v>279</v>
      </c>
      <c r="L749" s="6" t="s">
        <v>46</v>
      </c>
      <c r="M749" s="6" t="s">
        <v>49</v>
      </c>
      <c r="N749" s="6" t="s">
        <v>116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294</v>
      </c>
      <c r="T749" s="6" t="s">
        <v>294</v>
      </c>
      <c r="U749" s="6" t="s">
        <v>251</v>
      </c>
      <c r="V749" s="6" t="s">
        <v>692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242</v>
      </c>
      <c r="AE749" s="6" t="s">
        <v>281</v>
      </c>
      <c r="AF749" s="6" t="s">
        <v>49</v>
      </c>
      <c r="AG749" s="6" t="s">
        <v>49</v>
      </c>
      <c r="AH749" s="1" t="s">
        <v>183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6" t="s">
        <v>49</v>
      </c>
      <c r="AW749" s="30" t="s">
        <v>49</v>
      </c>
    </row>
    <row r="750" spans="1:49">
      <c r="A750" s="6" t="s">
        <v>274</v>
      </c>
      <c r="B750" s="6" t="s">
        <v>38</v>
      </c>
      <c r="C750" s="6" t="s">
        <v>49</v>
      </c>
      <c r="D750" s="6" t="s">
        <v>275</v>
      </c>
      <c r="E750" s="6" t="s">
        <v>295</v>
      </c>
      <c r="F750" s="6">
        <v>2018</v>
      </c>
      <c r="G750" s="6" t="s">
        <v>276</v>
      </c>
      <c r="H750" s="6" t="s">
        <v>277</v>
      </c>
      <c r="I750" s="6" t="s">
        <v>278</v>
      </c>
      <c r="J750" s="6" t="str">
        <f t="shared" si="64"/>
        <v>Senecio_pinnatifolius</v>
      </c>
      <c r="K750" s="6" t="s">
        <v>279</v>
      </c>
      <c r="L750" s="6" t="s">
        <v>46</v>
      </c>
      <c r="M750" s="6" t="s">
        <v>49</v>
      </c>
      <c r="N750" s="6" t="s">
        <v>116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294</v>
      </c>
      <c r="T750" s="6" t="s">
        <v>294</v>
      </c>
      <c r="U750" s="6" t="s">
        <v>251</v>
      </c>
      <c r="V750" s="6" t="s">
        <v>692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242</v>
      </c>
      <c r="AE750" s="6" t="s">
        <v>282</v>
      </c>
      <c r="AF750" s="6" t="s">
        <v>49</v>
      </c>
      <c r="AG750" s="6" t="s">
        <v>49</v>
      </c>
      <c r="AH750" s="1" t="s">
        <v>183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6" t="s">
        <v>49</v>
      </c>
      <c r="AW750" s="30" t="s">
        <v>49</v>
      </c>
    </row>
    <row r="751" spans="1:49">
      <c r="A751" s="6" t="s">
        <v>274</v>
      </c>
      <c r="B751" s="6" t="s">
        <v>38</v>
      </c>
      <c r="C751" s="6" t="s">
        <v>49</v>
      </c>
      <c r="D751" s="6" t="s">
        <v>275</v>
      </c>
      <c r="E751" s="6" t="s">
        <v>295</v>
      </c>
      <c r="F751" s="6">
        <v>2018</v>
      </c>
      <c r="G751" s="6" t="s">
        <v>276</v>
      </c>
      <c r="H751" s="6" t="s">
        <v>277</v>
      </c>
      <c r="I751" s="6" t="s">
        <v>278</v>
      </c>
      <c r="J751" s="6" t="str">
        <f t="shared" si="64"/>
        <v>Senecio_pinnatifolius</v>
      </c>
      <c r="K751" s="6" t="s">
        <v>279</v>
      </c>
      <c r="L751" s="6" t="s">
        <v>46</v>
      </c>
      <c r="M751" s="6" t="s">
        <v>49</v>
      </c>
      <c r="N751" s="6" t="s">
        <v>116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294</v>
      </c>
      <c r="T751" s="6" t="s">
        <v>294</v>
      </c>
      <c r="U751" s="6" t="s">
        <v>251</v>
      </c>
      <c r="V751" s="6" t="s">
        <v>692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242</v>
      </c>
      <c r="AE751" s="6" t="s">
        <v>283</v>
      </c>
      <c r="AF751" s="6" t="s">
        <v>49</v>
      </c>
      <c r="AG751" s="6" t="s">
        <v>49</v>
      </c>
      <c r="AH751" s="1" t="s">
        <v>183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6" t="s">
        <v>49</v>
      </c>
      <c r="AW751" s="30" t="s">
        <v>49</v>
      </c>
    </row>
    <row r="752" spans="1:49">
      <c r="A752" s="6" t="s">
        <v>274</v>
      </c>
      <c r="B752" s="6" t="s">
        <v>38</v>
      </c>
      <c r="C752" s="6" t="s">
        <v>49</v>
      </c>
      <c r="D752" s="6" t="s">
        <v>275</v>
      </c>
      <c r="E752" s="6" t="s">
        <v>295</v>
      </c>
      <c r="F752" s="6">
        <v>2018</v>
      </c>
      <c r="G752" s="6" t="s">
        <v>276</v>
      </c>
      <c r="H752" s="6" t="s">
        <v>277</v>
      </c>
      <c r="I752" s="6" t="s">
        <v>278</v>
      </c>
      <c r="J752" s="6" t="str">
        <f t="shared" si="64"/>
        <v>Senecio_pinnatifolius</v>
      </c>
      <c r="K752" s="6" t="s">
        <v>279</v>
      </c>
      <c r="L752" s="6" t="s">
        <v>46</v>
      </c>
      <c r="M752" s="6" t="s">
        <v>49</v>
      </c>
      <c r="N752" s="6" t="s">
        <v>116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294</v>
      </c>
      <c r="T752" s="6" t="s">
        <v>294</v>
      </c>
      <c r="U752" s="6" t="s">
        <v>251</v>
      </c>
      <c r="V752" s="6" t="s">
        <v>692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242</v>
      </c>
      <c r="AE752" s="6" t="s">
        <v>284</v>
      </c>
      <c r="AF752" s="6" t="s">
        <v>49</v>
      </c>
      <c r="AG752" s="6" t="s">
        <v>49</v>
      </c>
      <c r="AH752" s="1" t="s">
        <v>183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6" t="s">
        <v>49</v>
      </c>
      <c r="AW752" s="30" t="s">
        <v>49</v>
      </c>
    </row>
    <row r="753" spans="1:49">
      <c r="A753" s="6" t="s">
        <v>274</v>
      </c>
      <c r="B753" s="6" t="s">
        <v>38</v>
      </c>
      <c r="C753" s="6" t="s">
        <v>49</v>
      </c>
      <c r="D753" s="6" t="s">
        <v>275</v>
      </c>
      <c r="E753" s="6" t="s">
        <v>295</v>
      </c>
      <c r="F753" s="6">
        <v>2018</v>
      </c>
      <c r="G753" s="6" t="s">
        <v>276</v>
      </c>
      <c r="H753" s="6" t="s">
        <v>277</v>
      </c>
      <c r="I753" s="6" t="s">
        <v>278</v>
      </c>
      <c r="J753" s="6" t="str">
        <f t="shared" si="64"/>
        <v>Senecio_pinnatifolius</v>
      </c>
      <c r="K753" s="6" t="s">
        <v>279</v>
      </c>
      <c r="L753" s="6" t="s">
        <v>46</v>
      </c>
      <c r="M753" s="6" t="s">
        <v>49</v>
      </c>
      <c r="N753" s="6" t="s">
        <v>116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294</v>
      </c>
      <c r="T753" s="6" t="s">
        <v>294</v>
      </c>
      <c r="U753" s="6" t="s">
        <v>251</v>
      </c>
      <c r="V753" s="6" t="s">
        <v>692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242</v>
      </c>
      <c r="AE753" s="6" t="s">
        <v>285</v>
      </c>
      <c r="AF753" s="6" t="s">
        <v>49</v>
      </c>
      <c r="AG753" s="6" t="s">
        <v>49</v>
      </c>
      <c r="AH753" s="1" t="s">
        <v>183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6" t="s">
        <v>49</v>
      </c>
      <c r="AW753" s="30" t="s">
        <v>49</v>
      </c>
    </row>
    <row r="754" spans="1:49">
      <c r="A754" s="6" t="s">
        <v>274</v>
      </c>
      <c r="B754" s="6" t="s">
        <v>38</v>
      </c>
      <c r="C754" s="6" t="s">
        <v>49</v>
      </c>
      <c r="D754" s="6" t="s">
        <v>275</v>
      </c>
      <c r="E754" s="6" t="s">
        <v>295</v>
      </c>
      <c r="F754" s="6">
        <v>2018</v>
      </c>
      <c r="G754" s="6" t="s">
        <v>276</v>
      </c>
      <c r="H754" s="6" t="s">
        <v>277</v>
      </c>
      <c r="I754" s="6" t="s">
        <v>278</v>
      </c>
      <c r="J754" s="6" t="str">
        <f t="shared" si="64"/>
        <v>Senecio_pinnatifolius</v>
      </c>
      <c r="K754" s="6" t="s">
        <v>279</v>
      </c>
      <c r="L754" s="6" t="s">
        <v>46</v>
      </c>
      <c r="M754" s="6" t="s">
        <v>49</v>
      </c>
      <c r="N754" s="6" t="s">
        <v>116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294</v>
      </c>
      <c r="T754" s="6" t="s">
        <v>294</v>
      </c>
      <c r="U754" s="6" t="s">
        <v>251</v>
      </c>
      <c r="V754" s="6" t="s">
        <v>692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242</v>
      </c>
      <c r="AE754" s="6" t="s">
        <v>286</v>
      </c>
      <c r="AF754" s="6" t="s">
        <v>49</v>
      </c>
      <c r="AG754" s="6" t="s">
        <v>49</v>
      </c>
      <c r="AH754" s="1" t="s">
        <v>183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6" t="s">
        <v>49</v>
      </c>
      <c r="AW754" s="30" t="s">
        <v>49</v>
      </c>
    </row>
    <row r="755" spans="1:49">
      <c r="A755" s="6" t="s">
        <v>274</v>
      </c>
      <c r="B755" s="6" t="s">
        <v>38</v>
      </c>
      <c r="C755" s="6" t="s">
        <v>49</v>
      </c>
      <c r="D755" s="6" t="s">
        <v>275</v>
      </c>
      <c r="E755" s="6" t="s">
        <v>295</v>
      </c>
      <c r="F755" s="6">
        <v>2018</v>
      </c>
      <c r="G755" s="6" t="s">
        <v>276</v>
      </c>
      <c r="H755" s="6" t="s">
        <v>277</v>
      </c>
      <c r="I755" s="6" t="s">
        <v>278</v>
      </c>
      <c r="J755" s="6" t="str">
        <f t="shared" si="64"/>
        <v>Senecio_pinnatifolius</v>
      </c>
      <c r="K755" s="6" t="s">
        <v>279</v>
      </c>
      <c r="L755" s="6" t="s">
        <v>46</v>
      </c>
      <c r="M755" s="6" t="s">
        <v>49</v>
      </c>
      <c r="N755" s="6" t="s">
        <v>116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294</v>
      </c>
      <c r="T755" s="6" t="s">
        <v>294</v>
      </c>
      <c r="U755" s="6" t="s">
        <v>251</v>
      </c>
      <c r="V755" s="6" t="s">
        <v>692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242</v>
      </c>
      <c r="AE755" s="6" t="s">
        <v>287</v>
      </c>
      <c r="AF755" s="6" t="s">
        <v>49</v>
      </c>
      <c r="AG755" s="6" t="s">
        <v>49</v>
      </c>
      <c r="AH755" s="1" t="s">
        <v>183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6" t="s">
        <v>49</v>
      </c>
      <c r="AW755" s="30" t="s">
        <v>49</v>
      </c>
    </row>
    <row r="756" spans="1:49">
      <c r="A756" s="6" t="s">
        <v>274</v>
      </c>
      <c r="B756" s="6" t="s">
        <v>38</v>
      </c>
      <c r="C756" s="6" t="s">
        <v>49</v>
      </c>
      <c r="D756" s="6" t="s">
        <v>275</v>
      </c>
      <c r="E756" s="6" t="s">
        <v>295</v>
      </c>
      <c r="F756" s="6">
        <v>2018</v>
      </c>
      <c r="G756" s="6" t="s">
        <v>276</v>
      </c>
      <c r="H756" s="6" t="s">
        <v>277</v>
      </c>
      <c r="I756" s="6" t="s">
        <v>278</v>
      </c>
      <c r="J756" s="6" t="str">
        <f t="shared" si="64"/>
        <v>Senecio_pinnatifolius</v>
      </c>
      <c r="K756" s="6" t="s">
        <v>279</v>
      </c>
      <c r="L756" s="6" t="s">
        <v>46</v>
      </c>
      <c r="M756" s="6" t="s">
        <v>49</v>
      </c>
      <c r="N756" s="6" t="s">
        <v>116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294</v>
      </c>
      <c r="T756" s="6" t="s">
        <v>294</v>
      </c>
      <c r="U756" s="6" t="s">
        <v>251</v>
      </c>
      <c r="V756" s="6" t="s">
        <v>692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242</v>
      </c>
      <c r="AE756" s="6" t="s">
        <v>288</v>
      </c>
      <c r="AF756" s="6" t="s">
        <v>49</v>
      </c>
      <c r="AG756" s="6" t="s">
        <v>49</v>
      </c>
      <c r="AH756" s="1" t="s">
        <v>183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6" t="s">
        <v>49</v>
      </c>
      <c r="AW756" s="30" t="s">
        <v>49</v>
      </c>
    </row>
    <row r="757" spans="1:49">
      <c r="A757" s="6" t="s">
        <v>274</v>
      </c>
      <c r="B757" s="6" t="s">
        <v>38</v>
      </c>
      <c r="C757" s="6" t="s">
        <v>49</v>
      </c>
      <c r="D757" s="6" t="s">
        <v>275</v>
      </c>
      <c r="E757" s="6" t="s">
        <v>295</v>
      </c>
      <c r="F757" s="6">
        <v>2018</v>
      </c>
      <c r="G757" s="6" t="s">
        <v>276</v>
      </c>
      <c r="H757" s="6" t="s">
        <v>277</v>
      </c>
      <c r="I757" s="6" t="s">
        <v>278</v>
      </c>
      <c r="J757" s="6" t="str">
        <f t="shared" si="64"/>
        <v>Senecio_pinnatifolius</v>
      </c>
      <c r="K757" s="6" t="s">
        <v>279</v>
      </c>
      <c r="L757" s="6" t="s">
        <v>46</v>
      </c>
      <c r="M757" s="6" t="s">
        <v>49</v>
      </c>
      <c r="N757" s="6" t="s">
        <v>116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294</v>
      </c>
      <c r="T757" s="6" t="s">
        <v>294</v>
      </c>
      <c r="U757" s="6" t="s">
        <v>251</v>
      </c>
      <c r="V757" s="6" t="s">
        <v>692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242</v>
      </c>
      <c r="AE757" s="6" t="s">
        <v>289</v>
      </c>
      <c r="AF757" s="6" t="s">
        <v>49</v>
      </c>
      <c r="AG757" s="6" t="s">
        <v>49</v>
      </c>
      <c r="AH757" s="1" t="s">
        <v>183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6" t="s">
        <v>49</v>
      </c>
      <c r="AW757" s="30" t="s">
        <v>49</v>
      </c>
    </row>
    <row r="758" spans="1:49">
      <c r="A758" s="6" t="s">
        <v>274</v>
      </c>
      <c r="B758" s="6" t="s">
        <v>38</v>
      </c>
      <c r="C758" s="6" t="s">
        <v>49</v>
      </c>
      <c r="D758" s="6" t="s">
        <v>275</v>
      </c>
      <c r="E758" s="6" t="s">
        <v>295</v>
      </c>
      <c r="F758" s="6">
        <v>2018</v>
      </c>
      <c r="G758" s="6" t="s">
        <v>276</v>
      </c>
      <c r="H758" s="6" t="s">
        <v>277</v>
      </c>
      <c r="I758" s="6" t="s">
        <v>278</v>
      </c>
      <c r="J758" s="6" t="str">
        <f t="shared" si="64"/>
        <v>Senecio_pinnatifolius</v>
      </c>
      <c r="K758" s="6" t="s">
        <v>279</v>
      </c>
      <c r="L758" s="6" t="s">
        <v>46</v>
      </c>
      <c r="M758" s="6" t="s">
        <v>49</v>
      </c>
      <c r="N758" s="6" t="s">
        <v>116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294</v>
      </c>
      <c r="T758" s="6" t="s">
        <v>294</v>
      </c>
      <c r="U758" s="6" t="s">
        <v>251</v>
      </c>
      <c r="V758" s="6" t="s">
        <v>692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281</v>
      </c>
      <c r="AE758" s="6" t="s">
        <v>282</v>
      </c>
      <c r="AF758" s="6" t="s">
        <v>49</v>
      </c>
      <c r="AG758" s="6" t="s">
        <v>49</v>
      </c>
      <c r="AH758" s="1" t="s">
        <v>183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6" t="s">
        <v>49</v>
      </c>
      <c r="AW758" s="30" t="s">
        <v>49</v>
      </c>
    </row>
    <row r="759" spans="1:49">
      <c r="A759" s="6" t="s">
        <v>274</v>
      </c>
      <c r="B759" s="6" t="s">
        <v>38</v>
      </c>
      <c r="C759" s="6" t="s">
        <v>49</v>
      </c>
      <c r="D759" s="6" t="s">
        <v>275</v>
      </c>
      <c r="E759" s="6" t="s">
        <v>295</v>
      </c>
      <c r="F759" s="6">
        <v>2018</v>
      </c>
      <c r="G759" s="6" t="s">
        <v>276</v>
      </c>
      <c r="H759" s="6" t="s">
        <v>277</v>
      </c>
      <c r="I759" s="6" t="s">
        <v>278</v>
      </c>
      <c r="J759" s="6" t="str">
        <f t="shared" si="64"/>
        <v>Senecio_pinnatifolius</v>
      </c>
      <c r="K759" s="6" t="s">
        <v>279</v>
      </c>
      <c r="L759" s="6" t="s">
        <v>46</v>
      </c>
      <c r="M759" s="6" t="s">
        <v>49</v>
      </c>
      <c r="N759" s="6" t="s">
        <v>116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294</v>
      </c>
      <c r="T759" s="6" t="s">
        <v>294</v>
      </c>
      <c r="U759" s="6" t="s">
        <v>251</v>
      </c>
      <c r="V759" s="6" t="s">
        <v>692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281</v>
      </c>
      <c r="AE759" s="6" t="s">
        <v>283</v>
      </c>
      <c r="AF759" s="6" t="s">
        <v>49</v>
      </c>
      <c r="AG759" s="6" t="s">
        <v>49</v>
      </c>
      <c r="AH759" s="1" t="s">
        <v>183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6" t="s">
        <v>49</v>
      </c>
      <c r="AW759" s="30" t="s">
        <v>49</v>
      </c>
    </row>
    <row r="760" spans="1:49">
      <c r="A760" s="6" t="s">
        <v>274</v>
      </c>
      <c r="B760" s="6" t="s">
        <v>38</v>
      </c>
      <c r="C760" s="6" t="s">
        <v>49</v>
      </c>
      <c r="D760" s="6" t="s">
        <v>275</v>
      </c>
      <c r="E760" s="6" t="s">
        <v>295</v>
      </c>
      <c r="F760" s="6">
        <v>2018</v>
      </c>
      <c r="G760" s="6" t="s">
        <v>276</v>
      </c>
      <c r="H760" s="6" t="s">
        <v>277</v>
      </c>
      <c r="I760" s="6" t="s">
        <v>278</v>
      </c>
      <c r="J760" s="6" t="str">
        <f t="shared" si="64"/>
        <v>Senecio_pinnatifolius</v>
      </c>
      <c r="K760" s="6" t="s">
        <v>279</v>
      </c>
      <c r="L760" s="6" t="s">
        <v>46</v>
      </c>
      <c r="M760" s="6" t="s">
        <v>49</v>
      </c>
      <c r="N760" s="6" t="s">
        <v>116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294</v>
      </c>
      <c r="T760" s="6" t="s">
        <v>294</v>
      </c>
      <c r="U760" s="6" t="s">
        <v>251</v>
      </c>
      <c r="V760" s="6" t="s">
        <v>692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281</v>
      </c>
      <c r="AE760" s="6" t="s">
        <v>284</v>
      </c>
      <c r="AF760" s="6" t="s">
        <v>49</v>
      </c>
      <c r="AG760" s="6" t="s">
        <v>49</v>
      </c>
      <c r="AH760" s="1" t="s">
        <v>183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6" t="s">
        <v>49</v>
      </c>
      <c r="AW760" s="30" t="s">
        <v>49</v>
      </c>
    </row>
    <row r="761" spans="1:49">
      <c r="A761" s="6" t="s">
        <v>274</v>
      </c>
      <c r="B761" s="6" t="s">
        <v>38</v>
      </c>
      <c r="C761" s="6" t="s">
        <v>49</v>
      </c>
      <c r="D761" s="6" t="s">
        <v>275</v>
      </c>
      <c r="E761" s="6" t="s">
        <v>295</v>
      </c>
      <c r="F761" s="6">
        <v>2018</v>
      </c>
      <c r="G761" s="6" t="s">
        <v>276</v>
      </c>
      <c r="H761" s="6" t="s">
        <v>277</v>
      </c>
      <c r="I761" s="6" t="s">
        <v>278</v>
      </c>
      <c r="J761" s="6" t="str">
        <f t="shared" si="64"/>
        <v>Senecio_pinnatifolius</v>
      </c>
      <c r="K761" s="6" t="s">
        <v>279</v>
      </c>
      <c r="L761" s="6" t="s">
        <v>46</v>
      </c>
      <c r="M761" s="6" t="s">
        <v>49</v>
      </c>
      <c r="N761" s="6" t="s">
        <v>116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294</v>
      </c>
      <c r="T761" s="6" t="s">
        <v>294</v>
      </c>
      <c r="U761" s="6" t="s">
        <v>251</v>
      </c>
      <c r="V761" s="6" t="s">
        <v>692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281</v>
      </c>
      <c r="AE761" s="6" t="s">
        <v>285</v>
      </c>
      <c r="AF761" s="6" t="s">
        <v>49</v>
      </c>
      <c r="AG761" s="6" t="s">
        <v>49</v>
      </c>
      <c r="AH761" s="1" t="s">
        <v>183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6" t="s">
        <v>49</v>
      </c>
      <c r="AW761" s="30" t="s">
        <v>49</v>
      </c>
    </row>
    <row r="762" spans="1:49">
      <c r="A762" s="6" t="s">
        <v>274</v>
      </c>
      <c r="B762" s="6" t="s">
        <v>38</v>
      </c>
      <c r="C762" s="6" t="s">
        <v>49</v>
      </c>
      <c r="D762" s="6" t="s">
        <v>275</v>
      </c>
      <c r="E762" s="6" t="s">
        <v>295</v>
      </c>
      <c r="F762" s="6">
        <v>2018</v>
      </c>
      <c r="G762" s="6" t="s">
        <v>276</v>
      </c>
      <c r="H762" s="6" t="s">
        <v>277</v>
      </c>
      <c r="I762" s="6" t="s">
        <v>278</v>
      </c>
      <c r="J762" s="6" t="str">
        <f t="shared" si="64"/>
        <v>Senecio_pinnatifolius</v>
      </c>
      <c r="K762" s="6" t="s">
        <v>279</v>
      </c>
      <c r="L762" s="6" t="s">
        <v>46</v>
      </c>
      <c r="M762" s="6" t="s">
        <v>49</v>
      </c>
      <c r="N762" s="6" t="s">
        <v>116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294</v>
      </c>
      <c r="T762" s="6" t="s">
        <v>294</v>
      </c>
      <c r="U762" s="6" t="s">
        <v>251</v>
      </c>
      <c r="V762" s="6" t="s">
        <v>692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281</v>
      </c>
      <c r="AE762" s="6" t="s">
        <v>286</v>
      </c>
      <c r="AF762" s="6" t="s">
        <v>49</v>
      </c>
      <c r="AG762" s="6" t="s">
        <v>49</v>
      </c>
      <c r="AH762" s="1" t="s">
        <v>183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6" t="s">
        <v>49</v>
      </c>
      <c r="AW762" s="30" t="s">
        <v>49</v>
      </c>
    </row>
    <row r="763" spans="1:49">
      <c r="A763" s="6" t="s">
        <v>274</v>
      </c>
      <c r="B763" s="6" t="s">
        <v>38</v>
      </c>
      <c r="C763" s="6" t="s">
        <v>49</v>
      </c>
      <c r="D763" s="6" t="s">
        <v>275</v>
      </c>
      <c r="E763" s="6" t="s">
        <v>295</v>
      </c>
      <c r="F763" s="6">
        <v>2018</v>
      </c>
      <c r="G763" s="6" t="s">
        <v>276</v>
      </c>
      <c r="H763" s="6" t="s">
        <v>277</v>
      </c>
      <c r="I763" s="6" t="s">
        <v>278</v>
      </c>
      <c r="J763" s="6" t="str">
        <f t="shared" si="64"/>
        <v>Senecio_pinnatifolius</v>
      </c>
      <c r="K763" s="6" t="s">
        <v>279</v>
      </c>
      <c r="L763" s="6" t="s">
        <v>46</v>
      </c>
      <c r="M763" s="6" t="s">
        <v>49</v>
      </c>
      <c r="N763" s="6" t="s">
        <v>116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294</v>
      </c>
      <c r="T763" s="6" t="s">
        <v>294</v>
      </c>
      <c r="U763" s="6" t="s">
        <v>251</v>
      </c>
      <c r="V763" s="6" t="s">
        <v>692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281</v>
      </c>
      <c r="AE763" s="6" t="s">
        <v>287</v>
      </c>
      <c r="AF763" s="6" t="s">
        <v>49</v>
      </c>
      <c r="AG763" s="6" t="s">
        <v>49</v>
      </c>
      <c r="AH763" s="1" t="s">
        <v>183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6" t="s">
        <v>49</v>
      </c>
      <c r="AW763" s="30" t="s">
        <v>49</v>
      </c>
    </row>
    <row r="764" spans="1:49">
      <c r="A764" s="6" t="s">
        <v>274</v>
      </c>
      <c r="B764" s="6" t="s">
        <v>38</v>
      </c>
      <c r="C764" s="6" t="s">
        <v>49</v>
      </c>
      <c r="D764" s="6" t="s">
        <v>275</v>
      </c>
      <c r="E764" s="6" t="s">
        <v>295</v>
      </c>
      <c r="F764" s="6">
        <v>2018</v>
      </c>
      <c r="G764" s="6" t="s">
        <v>276</v>
      </c>
      <c r="H764" s="6" t="s">
        <v>277</v>
      </c>
      <c r="I764" s="6" t="s">
        <v>278</v>
      </c>
      <c r="J764" s="6" t="str">
        <f t="shared" si="64"/>
        <v>Senecio_pinnatifolius</v>
      </c>
      <c r="K764" s="6" t="s">
        <v>279</v>
      </c>
      <c r="L764" s="6" t="s">
        <v>46</v>
      </c>
      <c r="M764" s="6" t="s">
        <v>49</v>
      </c>
      <c r="N764" s="6" t="s">
        <v>116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294</v>
      </c>
      <c r="T764" s="6" t="s">
        <v>294</v>
      </c>
      <c r="U764" s="6" t="s">
        <v>251</v>
      </c>
      <c r="V764" s="6" t="s">
        <v>692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281</v>
      </c>
      <c r="AE764" s="6" t="s">
        <v>288</v>
      </c>
      <c r="AF764" s="6" t="s">
        <v>49</v>
      </c>
      <c r="AG764" s="6" t="s">
        <v>49</v>
      </c>
      <c r="AH764" s="1" t="s">
        <v>183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6" t="s">
        <v>49</v>
      </c>
      <c r="AW764" s="30" t="s">
        <v>49</v>
      </c>
    </row>
    <row r="765" spans="1:49">
      <c r="A765" s="6" t="s">
        <v>274</v>
      </c>
      <c r="B765" s="6" t="s">
        <v>38</v>
      </c>
      <c r="C765" s="6" t="s">
        <v>49</v>
      </c>
      <c r="D765" s="6" t="s">
        <v>275</v>
      </c>
      <c r="E765" s="6" t="s">
        <v>295</v>
      </c>
      <c r="F765" s="6">
        <v>2018</v>
      </c>
      <c r="G765" s="6" t="s">
        <v>276</v>
      </c>
      <c r="H765" s="6" t="s">
        <v>277</v>
      </c>
      <c r="I765" s="6" t="s">
        <v>278</v>
      </c>
      <c r="J765" s="6" t="str">
        <f t="shared" si="64"/>
        <v>Senecio_pinnatifolius</v>
      </c>
      <c r="K765" s="6" t="s">
        <v>279</v>
      </c>
      <c r="L765" s="6" t="s">
        <v>46</v>
      </c>
      <c r="M765" s="6" t="s">
        <v>49</v>
      </c>
      <c r="N765" s="6" t="s">
        <v>116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294</v>
      </c>
      <c r="T765" s="6" t="s">
        <v>294</v>
      </c>
      <c r="U765" s="6" t="s">
        <v>251</v>
      </c>
      <c r="V765" s="6" t="s">
        <v>692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281</v>
      </c>
      <c r="AE765" s="6" t="s">
        <v>289</v>
      </c>
      <c r="AF765" s="6" t="s">
        <v>49</v>
      </c>
      <c r="AG765" s="6" t="s">
        <v>49</v>
      </c>
      <c r="AH765" s="1" t="s">
        <v>183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6" t="s">
        <v>49</v>
      </c>
      <c r="AW765" s="30" t="s">
        <v>49</v>
      </c>
    </row>
    <row r="766" spans="1:49">
      <c r="A766" s="6" t="s">
        <v>274</v>
      </c>
      <c r="B766" s="6" t="s">
        <v>38</v>
      </c>
      <c r="C766" s="6" t="s">
        <v>49</v>
      </c>
      <c r="D766" s="6" t="s">
        <v>275</v>
      </c>
      <c r="E766" s="6" t="s">
        <v>295</v>
      </c>
      <c r="F766" s="6">
        <v>2018</v>
      </c>
      <c r="G766" s="6" t="s">
        <v>276</v>
      </c>
      <c r="H766" s="6" t="s">
        <v>277</v>
      </c>
      <c r="I766" s="6" t="s">
        <v>278</v>
      </c>
      <c r="J766" s="6" t="str">
        <f t="shared" si="64"/>
        <v>Senecio_pinnatifolius</v>
      </c>
      <c r="K766" s="6" t="s">
        <v>279</v>
      </c>
      <c r="L766" s="6" t="s">
        <v>46</v>
      </c>
      <c r="M766" s="6" t="s">
        <v>49</v>
      </c>
      <c r="N766" s="6" t="s">
        <v>116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294</v>
      </c>
      <c r="T766" s="6" t="s">
        <v>294</v>
      </c>
      <c r="U766" s="6" t="s">
        <v>251</v>
      </c>
      <c r="V766" s="6" t="s">
        <v>692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282</v>
      </c>
      <c r="AE766" s="6" t="s">
        <v>283</v>
      </c>
      <c r="AF766" s="6" t="s">
        <v>49</v>
      </c>
      <c r="AG766" s="6" t="s">
        <v>49</v>
      </c>
      <c r="AH766" s="1" t="s">
        <v>183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6" t="s">
        <v>49</v>
      </c>
      <c r="AW766" s="30" t="s">
        <v>49</v>
      </c>
    </row>
    <row r="767" spans="1:49">
      <c r="A767" s="6" t="s">
        <v>274</v>
      </c>
      <c r="B767" s="6" t="s">
        <v>38</v>
      </c>
      <c r="C767" s="6" t="s">
        <v>49</v>
      </c>
      <c r="D767" s="6" t="s">
        <v>275</v>
      </c>
      <c r="E767" s="6" t="s">
        <v>295</v>
      </c>
      <c r="F767" s="6">
        <v>2018</v>
      </c>
      <c r="G767" s="6" t="s">
        <v>276</v>
      </c>
      <c r="H767" s="6" t="s">
        <v>277</v>
      </c>
      <c r="I767" s="6" t="s">
        <v>278</v>
      </c>
      <c r="J767" s="6" t="str">
        <f t="shared" si="64"/>
        <v>Senecio_pinnatifolius</v>
      </c>
      <c r="K767" s="6" t="s">
        <v>279</v>
      </c>
      <c r="L767" s="6" t="s">
        <v>46</v>
      </c>
      <c r="M767" s="6" t="s">
        <v>49</v>
      </c>
      <c r="N767" s="6" t="s">
        <v>116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294</v>
      </c>
      <c r="T767" s="6" t="s">
        <v>294</v>
      </c>
      <c r="U767" s="6" t="s">
        <v>251</v>
      </c>
      <c r="V767" s="6" t="s">
        <v>692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282</v>
      </c>
      <c r="AE767" s="6" t="s">
        <v>284</v>
      </c>
      <c r="AF767" s="6" t="s">
        <v>49</v>
      </c>
      <c r="AG767" s="6" t="s">
        <v>49</v>
      </c>
      <c r="AH767" s="1" t="s">
        <v>183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6" t="s">
        <v>49</v>
      </c>
      <c r="AW767" s="30" t="s">
        <v>49</v>
      </c>
    </row>
    <row r="768" spans="1:49">
      <c r="A768" s="6" t="s">
        <v>274</v>
      </c>
      <c r="B768" s="6" t="s">
        <v>38</v>
      </c>
      <c r="C768" s="6" t="s">
        <v>49</v>
      </c>
      <c r="D768" s="6" t="s">
        <v>275</v>
      </c>
      <c r="E768" s="6" t="s">
        <v>295</v>
      </c>
      <c r="F768" s="6">
        <v>2018</v>
      </c>
      <c r="G768" s="6" t="s">
        <v>276</v>
      </c>
      <c r="H768" s="6" t="s">
        <v>277</v>
      </c>
      <c r="I768" s="6" t="s">
        <v>278</v>
      </c>
      <c r="J768" s="6" t="str">
        <f t="shared" si="64"/>
        <v>Senecio_pinnatifolius</v>
      </c>
      <c r="K768" s="6" t="s">
        <v>279</v>
      </c>
      <c r="L768" s="6" t="s">
        <v>46</v>
      </c>
      <c r="M768" s="6" t="s">
        <v>49</v>
      </c>
      <c r="N768" s="6" t="s">
        <v>116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294</v>
      </c>
      <c r="T768" s="6" t="s">
        <v>294</v>
      </c>
      <c r="U768" s="6" t="s">
        <v>251</v>
      </c>
      <c r="V768" s="6" t="s">
        <v>692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282</v>
      </c>
      <c r="AE768" s="6" t="s">
        <v>285</v>
      </c>
      <c r="AF768" s="6" t="s">
        <v>49</v>
      </c>
      <c r="AG768" s="6" t="s">
        <v>49</v>
      </c>
      <c r="AH768" s="1" t="s">
        <v>183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6" t="s">
        <v>49</v>
      </c>
      <c r="AW768" s="30" t="s">
        <v>49</v>
      </c>
    </row>
    <row r="769" spans="1:49">
      <c r="A769" s="6" t="s">
        <v>274</v>
      </c>
      <c r="B769" s="6" t="s">
        <v>38</v>
      </c>
      <c r="C769" s="6" t="s">
        <v>49</v>
      </c>
      <c r="D769" s="6" t="s">
        <v>275</v>
      </c>
      <c r="E769" s="6" t="s">
        <v>295</v>
      </c>
      <c r="F769" s="6">
        <v>2018</v>
      </c>
      <c r="G769" s="6" t="s">
        <v>276</v>
      </c>
      <c r="H769" s="6" t="s">
        <v>277</v>
      </c>
      <c r="I769" s="6" t="s">
        <v>278</v>
      </c>
      <c r="J769" s="6" t="str">
        <f t="shared" si="64"/>
        <v>Senecio_pinnatifolius</v>
      </c>
      <c r="K769" s="6" t="s">
        <v>279</v>
      </c>
      <c r="L769" s="6" t="s">
        <v>46</v>
      </c>
      <c r="M769" s="6" t="s">
        <v>49</v>
      </c>
      <c r="N769" s="6" t="s">
        <v>116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294</v>
      </c>
      <c r="T769" s="6" t="s">
        <v>294</v>
      </c>
      <c r="U769" s="6" t="s">
        <v>251</v>
      </c>
      <c r="V769" s="6" t="s">
        <v>692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282</v>
      </c>
      <c r="AE769" s="6" t="s">
        <v>286</v>
      </c>
      <c r="AF769" s="6" t="s">
        <v>49</v>
      </c>
      <c r="AG769" s="6" t="s">
        <v>49</v>
      </c>
      <c r="AH769" s="1" t="s">
        <v>183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6" t="s">
        <v>49</v>
      </c>
      <c r="AW769" s="30" t="s">
        <v>49</v>
      </c>
    </row>
    <row r="770" spans="1:49">
      <c r="A770" s="6" t="s">
        <v>274</v>
      </c>
      <c r="B770" s="6" t="s">
        <v>38</v>
      </c>
      <c r="C770" s="6" t="s">
        <v>49</v>
      </c>
      <c r="D770" s="6" t="s">
        <v>275</v>
      </c>
      <c r="E770" s="6" t="s">
        <v>295</v>
      </c>
      <c r="F770" s="6">
        <v>2018</v>
      </c>
      <c r="G770" s="6" t="s">
        <v>276</v>
      </c>
      <c r="H770" s="6" t="s">
        <v>277</v>
      </c>
      <c r="I770" s="6" t="s">
        <v>278</v>
      </c>
      <c r="J770" s="6" t="str">
        <f t="shared" si="64"/>
        <v>Senecio_pinnatifolius</v>
      </c>
      <c r="K770" s="6" t="s">
        <v>279</v>
      </c>
      <c r="L770" s="6" t="s">
        <v>46</v>
      </c>
      <c r="M770" s="6" t="s">
        <v>49</v>
      </c>
      <c r="N770" s="6" t="s">
        <v>116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294</v>
      </c>
      <c r="T770" s="6" t="s">
        <v>294</v>
      </c>
      <c r="U770" s="6" t="s">
        <v>251</v>
      </c>
      <c r="V770" s="6" t="s">
        <v>692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282</v>
      </c>
      <c r="AE770" s="6" t="s">
        <v>287</v>
      </c>
      <c r="AF770" s="6" t="s">
        <v>49</v>
      </c>
      <c r="AG770" s="6" t="s">
        <v>49</v>
      </c>
      <c r="AH770" s="1" t="s">
        <v>183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6" t="s">
        <v>49</v>
      </c>
      <c r="AW770" s="30" t="s">
        <v>49</v>
      </c>
    </row>
    <row r="771" spans="1:49">
      <c r="A771" s="6" t="s">
        <v>274</v>
      </c>
      <c r="B771" s="6" t="s">
        <v>38</v>
      </c>
      <c r="C771" s="6" t="s">
        <v>49</v>
      </c>
      <c r="D771" s="6" t="s">
        <v>275</v>
      </c>
      <c r="E771" s="6" t="s">
        <v>295</v>
      </c>
      <c r="F771" s="6">
        <v>2018</v>
      </c>
      <c r="G771" s="6" t="s">
        <v>276</v>
      </c>
      <c r="H771" s="6" t="s">
        <v>277</v>
      </c>
      <c r="I771" s="6" t="s">
        <v>278</v>
      </c>
      <c r="J771" s="6" t="str">
        <f t="shared" si="64"/>
        <v>Senecio_pinnatifolius</v>
      </c>
      <c r="K771" s="6" t="s">
        <v>279</v>
      </c>
      <c r="L771" s="6" t="s">
        <v>46</v>
      </c>
      <c r="M771" s="6" t="s">
        <v>49</v>
      </c>
      <c r="N771" s="6" t="s">
        <v>116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294</v>
      </c>
      <c r="T771" s="6" t="s">
        <v>294</v>
      </c>
      <c r="U771" s="6" t="s">
        <v>251</v>
      </c>
      <c r="V771" s="6" t="s">
        <v>692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282</v>
      </c>
      <c r="AE771" s="6" t="s">
        <v>288</v>
      </c>
      <c r="AF771" s="6" t="s">
        <v>49</v>
      </c>
      <c r="AG771" s="6" t="s">
        <v>49</v>
      </c>
      <c r="AH771" s="1" t="s">
        <v>183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6" t="s">
        <v>49</v>
      </c>
      <c r="AW771" s="30" t="s">
        <v>49</v>
      </c>
    </row>
    <row r="772" spans="1:49">
      <c r="A772" s="6" t="s">
        <v>274</v>
      </c>
      <c r="B772" s="6" t="s">
        <v>38</v>
      </c>
      <c r="C772" s="6" t="s">
        <v>49</v>
      </c>
      <c r="D772" s="6" t="s">
        <v>275</v>
      </c>
      <c r="E772" s="6" t="s">
        <v>295</v>
      </c>
      <c r="F772" s="6">
        <v>2018</v>
      </c>
      <c r="G772" s="6" t="s">
        <v>276</v>
      </c>
      <c r="H772" s="6" t="s">
        <v>277</v>
      </c>
      <c r="I772" s="6" t="s">
        <v>278</v>
      </c>
      <c r="J772" s="6" t="str">
        <f t="shared" si="64"/>
        <v>Senecio_pinnatifolius</v>
      </c>
      <c r="K772" s="6" t="s">
        <v>279</v>
      </c>
      <c r="L772" s="6" t="s">
        <v>46</v>
      </c>
      <c r="M772" s="6" t="s">
        <v>49</v>
      </c>
      <c r="N772" s="6" t="s">
        <v>116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294</v>
      </c>
      <c r="T772" s="6" t="s">
        <v>294</v>
      </c>
      <c r="U772" s="6" t="s">
        <v>251</v>
      </c>
      <c r="V772" s="6" t="s">
        <v>692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282</v>
      </c>
      <c r="AE772" s="6" t="s">
        <v>289</v>
      </c>
      <c r="AF772" s="6" t="s">
        <v>49</v>
      </c>
      <c r="AG772" s="6" t="s">
        <v>49</v>
      </c>
      <c r="AH772" s="1" t="s">
        <v>183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6" t="s">
        <v>49</v>
      </c>
      <c r="AW772" s="30" t="s">
        <v>49</v>
      </c>
    </row>
    <row r="773" spans="1:49">
      <c r="A773" s="6" t="s">
        <v>274</v>
      </c>
      <c r="B773" s="6" t="s">
        <v>38</v>
      </c>
      <c r="C773" s="6" t="s">
        <v>49</v>
      </c>
      <c r="D773" s="6" t="s">
        <v>275</v>
      </c>
      <c r="E773" s="6" t="s">
        <v>295</v>
      </c>
      <c r="F773" s="6">
        <v>2018</v>
      </c>
      <c r="G773" s="6" t="s">
        <v>276</v>
      </c>
      <c r="H773" s="6" t="s">
        <v>277</v>
      </c>
      <c r="I773" s="6" t="s">
        <v>278</v>
      </c>
      <c r="J773" s="6" t="str">
        <f t="shared" si="64"/>
        <v>Senecio_pinnatifolius</v>
      </c>
      <c r="K773" s="6" t="s">
        <v>279</v>
      </c>
      <c r="L773" s="6" t="s">
        <v>46</v>
      </c>
      <c r="M773" s="6" t="s">
        <v>49</v>
      </c>
      <c r="N773" s="6" t="s">
        <v>116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294</v>
      </c>
      <c r="T773" s="6" t="s">
        <v>294</v>
      </c>
      <c r="U773" s="6" t="s">
        <v>251</v>
      </c>
      <c r="V773" s="6" t="s">
        <v>692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283</v>
      </c>
      <c r="AE773" s="6" t="s">
        <v>284</v>
      </c>
      <c r="AF773" s="6" t="s">
        <v>49</v>
      </c>
      <c r="AG773" s="6" t="s">
        <v>49</v>
      </c>
      <c r="AH773" s="1" t="s">
        <v>183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6" t="s">
        <v>49</v>
      </c>
      <c r="AW773" s="30" t="s">
        <v>49</v>
      </c>
    </row>
    <row r="774" spans="1:49">
      <c r="A774" s="6" t="s">
        <v>274</v>
      </c>
      <c r="B774" s="6" t="s">
        <v>38</v>
      </c>
      <c r="C774" s="6" t="s">
        <v>49</v>
      </c>
      <c r="D774" s="6" t="s">
        <v>275</v>
      </c>
      <c r="E774" s="6" t="s">
        <v>295</v>
      </c>
      <c r="F774" s="6">
        <v>2018</v>
      </c>
      <c r="G774" s="6" t="s">
        <v>276</v>
      </c>
      <c r="H774" s="6" t="s">
        <v>277</v>
      </c>
      <c r="I774" s="6" t="s">
        <v>278</v>
      </c>
      <c r="J774" s="6" t="str">
        <f t="shared" si="64"/>
        <v>Senecio_pinnatifolius</v>
      </c>
      <c r="K774" s="6" t="s">
        <v>279</v>
      </c>
      <c r="L774" s="6" t="s">
        <v>46</v>
      </c>
      <c r="M774" s="6" t="s">
        <v>49</v>
      </c>
      <c r="N774" s="6" t="s">
        <v>116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294</v>
      </c>
      <c r="T774" s="6" t="s">
        <v>294</v>
      </c>
      <c r="U774" s="6" t="s">
        <v>251</v>
      </c>
      <c r="V774" s="6" t="s">
        <v>692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283</v>
      </c>
      <c r="AE774" s="6" t="s">
        <v>285</v>
      </c>
      <c r="AF774" s="6" t="s">
        <v>49</v>
      </c>
      <c r="AG774" s="6" t="s">
        <v>49</v>
      </c>
      <c r="AH774" s="1" t="s">
        <v>183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6" t="s">
        <v>49</v>
      </c>
      <c r="AW774" s="30" t="s">
        <v>49</v>
      </c>
    </row>
    <row r="775" spans="1:49">
      <c r="A775" s="6" t="s">
        <v>274</v>
      </c>
      <c r="B775" s="6" t="s">
        <v>38</v>
      </c>
      <c r="C775" s="6" t="s">
        <v>49</v>
      </c>
      <c r="D775" s="6" t="s">
        <v>275</v>
      </c>
      <c r="E775" s="6" t="s">
        <v>295</v>
      </c>
      <c r="F775" s="6">
        <v>2018</v>
      </c>
      <c r="G775" s="6" t="s">
        <v>276</v>
      </c>
      <c r="H775" s="6" t="s">
        <v>277</v>
      </c>
      <c r="I775" s="6" t="s">
        <v>278</v>
      </c>
      <c r="J775" s="6" t="str">
        <f t="shared" si="64"/>
        <v>Senecio_pinnatifolius</v>
      </c>
      <c r="K775" s="6" t="s">
        <v>279</v>
      </c>
      <c r="L775" s="6" t="s">
        <v>46</v>
      </c>
      <c r="M775" s="6" t="s">
        <v>49</v>
      </c>
      <c r="N775" s="6" t="s">
        <v>116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294</v>
      </c>
      <c r="T775" s="6" t="s">
        <v>294</v>
      </c>
      <c r="U775" s="6" t="s">
        <v>251</v>
      </c>
      <c r="V775" s="6" t="s">
        <v>692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283</v>
      </c>
      <c r="AE775" s="6" t="s">
        <v>286</v>
      </c>
      <c r="AF775" s="6" t="s">
        <v>49</v>
      </c>
      <c r="AG775" s="6" t="s">
        <v>49</v>
      </c>
      <c r="AH775" s="1" t="s">
        <v>183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6" t="s">
        <v>49</v>
      </c>
      <c r="AW775" s="30" t="s">
        <v>49</v>
      </c>
    </row>
    <row r="776" spans="1:49">
      <c r="A776" s="6" t="s">
        <v>274</v>
      </c>
      <c r="B776" s="6" t="s">
        <v>38</v>
      </c>
      <c r="C776" s="6" t="s">
        <v>49</v>
      </c>
      <c r="D776" s="6" t="s">
        <v>275</v>
      </c>
      <c r="E776" s="6" t="s">
        <v>295</v>
      </c>
      <c r="F776" s="6">
        <v>2018</v>
      </c>
      <c r="G776" s="6" t="s">
        <v>276</v>
      </c>
      <c r="H776" s="6" t="s">
        <v>277</v>
      </c>
      <c r="I776" s="6" t="s">
        <v>278</v>
      </c>
      <c r="J776" s="6" t="str">
        <f t="shared" si="64"/>
        <v>Senecio_pinnatifolius</v>
      </c>
      <c r="K776" s="6" t="s">
        <v>279</v>
      </c>
      <c r="L776" s="6" t="s">
        <v>46</v>
      </c>
      <c r="M776" s="6" t="s">
        <v>49</v>
      </c>
      <c r="N776" s="6" t="s">
        <v>116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294</v>
      </c>
      <c r="T776" s="6" t="s">
        <v>294</v>
      </c>
      <c r="U776" s="6" t="s">
        <v>251</v>
      </c>
      <c r="V776" s="6" t="s">
        <v>692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283</v>
      </c>
      <c r="AE776" s="6" t="s">
        <v>287</v>
      </c>
      <c r="AF776" s="6" t="s">
        <v>49</v>
      </c>
      <c r="AG776" s="6" t="s">
        <v>49</v>
      </c>
      <c r="AH776" s="1" t="s">
        <v>183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6" t="s">
        <v>49</v>
      </c>
      <c r="AW776" s="30" t="s">
        <v>49</v>
      </c>
    </row>
    <row r="777" spans="1:49">
      <c r="A777" s="6" t="s">
        <v>274</v>
      </c>
      <c r="B777" s="6" t="s">
        <v>38</v>
      </c>
      <c r="C777" s="6" t="s">
        <v>49</v>
      </c>
      <c r="D777" s="6" t="s">
        <v>275</v>
      </c>
      <c r="E777" s="6" t="s">
        <v>295</v>
      </c>
      <c r="F777" s="6">
        <v>2018</v>
      </c>
      <c r="G777" s="6" t="s">
        <v>276</v>
      </c>
      <c r="H777" s="6" t="s">
        <v>277</v>
      </c>
      <c r="I777" s="6" t="s">
        <v>278</v>
      </c>
      <c r="J777" s="6" t="str">
        <f t="shared" si="64"/>
        <v>Senecio_pinnatifolius</v>
      </c>
      <c r="K777" s="6" t="s">
        <v>279</v>
      </c>
      <c r="L777" s="6" t="s">
        <v>46</v>
      </c>
      <c r="M777" s="6" t="s">
        <v>49</v>
      </c>
      <c r="N777" s="6" t="s">
        <v>116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294</v>
      </c>
      <c r="T777" s="6" t="s">
        <v>294</v>
      </c>
      <c r="U777" s="6" t="s">
        <v>251</v>
      </c>
      <c r="V777" s="6" t="s">
        <v>692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283</v>
      </c>
      <c r="AE777" s="6" t="s">
        <v>288</v>
      </c>
      <c r="AF777" s="6" t="s">
        <v>49</v>
      </c>
      <c r="AG777" s="6" t="s">
        <v>49</v>
      </c>
      <c r="AH777" s="1" t="s">
        <v>183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6" t="s">
        <v>49</v>
      </c>
      <c r="AW777" s="30" t="s">
        <v>49</v>
      </c>
    </row>
    <row r="778" spans="1:49">
      <c r="A778" s="6" t="s">
        <v>274</v>
      </c>
      <c r="B778" s="6" t="s">
        <v>38</v>
      </c>
      <c r="C778" s="6" t="s">
        <v>49</v>
      </c>
      <c r="D778" s="6" t="s">
        <v>275</v>
      </c>
      <c r="E778" s="6" t="s">
        <v>295</v>
      </c>
      <c r="F778" s="6">
        <v>2018</v>
      </c>
      <c r="G778" s="6" t="s">
        <v>276</v>
      </c>
      <c r="H778" s="6" t="s">
        <v>277</v>
      </c>
      <c r="I778" s="6" t="s">
        <v>278</v>
      </c>
      <c r="J778" s="6" t="str">
        <f t="shared" si="64"/>
        <v>Senecio_pinnatifolius</v>
      </c>
      <c r="K778" s="6" t="s">
        <v>279</v>
      </c>
      <c r="L778" s="6" t="s">
        <v>46</v>
      </c>
      <c r="M778" s="6" t="s">
        <v>49</v>
      </c>
      <c r="N778" s="6" t="s">
        <v>116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294</v>
      </c>
      <c r="T778" s="6" t="s">
        <v>294</v>
      </c>
      <c r="U778" s="6" t="s">
        <v>251</v>
      </c>
      <c r="V778" s="6" t="s">
        <v>692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283</v>
      </c>
      <c r="AE778" s="6" t="s">
        <v>289</v>
      </c>
      <c r="AF778" s="6" t="s">
        <v>49</v>
      </c>
      <c r="AG778" s="6" t="s">
        <v>49</v>
      </c>
      <c r="AH778" s="1" t="s">
        <v>183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6" t="s">
        <v>49</v>
      </c>
      <c r="AW778" s="30" t="s">
        <v>49</v>
      </c>
    </row>
    <row r="779" spans="1:49">
      <c r="A779" s="6" t="s">
        <v>274</v>
      </c>
      <c r="B779" s="6" t="s">
        <v>38</v>
      </c>
      <c r="C779" s="6" t="s">
        <v>49</v>
      </c>
      <c r="D779" s="6" t="s">
        <v>275</v>
      </c>
      <c r="E779" s="6" t="s">
        <v>295</v>
      </c>
      <c r="F779" s="6">
        <v>2018</v>
      </c>
      <c r="G779" s="6" t="s">
        <v>276</v>
      </c>
      <c r="H779" s="6" t="s">
        <v>277</v>
      </c>
      <c r="I779" s="6" t="s">
        <v>278</v>
      </c>
      <c r="J779" s="6" t="str">
        <f t="shared" si="64"/>
        <v>Senecio_pinnatifolius</v>
      </c>
      <c r="K779" s="6" t="s">
        <v>279</v>
      </c>
      <c r="L779" s="6" t="s">
        <v>46</v>
      </c>
      <c r="M779" s="6" t="s">
        <v>49</v>
      </c>
      <c r="N779" s="6" t="s">
        <v>116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294</v>
      </c>
      <c r="T779" s="6" t="s">
        <v>294</v>
      </c>
      <c r="U779" s="6" t="s">
        <v>251</v>
      </c>
      <c r="V779" s="6" t="s">
        <v>692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284</v>
      </c>
      <c r="AE779" s="6" t="s">
        <v>285</v>
      </c>
      <c r="AF779" s="6" t="s">
        <v>49</v>
      </c>
      <c r="AG779" s="6" t="s">
        <v>49</v>
      </c>
      <c r="AH779" s="1" t="s">
        <v>183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6" t="s">
        <v>49</v>
      </c>
      <c r="AW779" s="30" t="s">
        <v>49</v>
      </c>
    </row>
    <row r="780" spans="1:49">
      <c r="A780" s="6" t="s">
        <v>274</v>
      </c>
      <c r="B780" s="6" t="s">
        <v>38</v>
      </c>
      <c r="C780" s="6" t="s">
        <v>49</v>
      </c>
      <c r="D780" s="6" t="s">
        <v>275</v>
      </c>
      <c r="E780" s="6" t="s">
        <v>295</v>
      </c>
      <c r="F780" s="6">
        <v>2018</v>
      </c>
      <c r="G780" s="6" t="s">
        <v>276</v>
      </c>
      <c r="H780" s="6" t="s">
        <v>277</v>
      </c>
      <c r="I780" s="6" t="s">
        <v>278</v>
      </c>
      <c r="J780" s="6" t="str">
        <f t="shared" si="64"/>
        <v>Senecio_pinnatifolius</v>
      </c>
      <c r="K780" s="6" t="s">
        <v>279</v>
      </c>
      <c r="L780" s="6" t="s">
        <v>46</v>
      </c>
      <c r="M780" s="6" t="s">
        <v>49</v>
      </c>
      <c r="N780" s="6" t="s">
        <v>116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294</v>
      </c>
      <c r="T780" s="6" t="s">
        <v>294</v>
      </c>
      <c r="U780" s="6" t="s">
        <v>251</v>
      </c>
      <c r="V780" s="6" t="s">
        <v>692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284</v>
      </c>
      <c r="AE780" s="6" t="s">
        <v>286</v>
      </c>
      <c r="AF780" s="6" t="s">
        <v>49</v>
      </c>
      <c r="AG780" s="6" t="s">
        <v>49</v>
      </c>
      <c r="AH780" s="1" t="s">
        <v>183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6" t="s">
        <v>49</v>
      </c>
      <c r="AW780" s="30" t="s">
        <v>49</v>
      </c>
    </row>
    <row r="781" spans="1:49">
      <c r="A781" s="6" t="s">
        <v>274</v>
      </c>
      <c r="B781" s="6" t="s">
        <v>38</v>
      </c>
      <c r="C781" s="6" t="s">
        <v>49</v>
      </c>
      <c r="D781" s="6" t="s">
        <v>275</v>
      </c>
      <c r="E781" s="6" t="s">
        <v>295</v>
      </c>
      <c r="F781" s="6">
        <v>2018</v>
      </c>
      <c r="G781" s="6" t="s">
        <v>276</v>
      </c>
      <c r="H781" s="6" t="s">
        <v>277</v>
      </c>
      <c r="I781" s="6" t="s">
        <v>278</v>
      </c>
      <c r="J781" s="6" t="str">
        <f t="shared" si="64"/>
        <v>Senecio_pinnatifolius</v>
      </c>
      <c r="K781" s="6" t="s">
        <v>279</v>
      </c>
      <c r="L781" s="6" t="s">
        <v>46</v>
      </c>
      <c r="M781" s="6" t="s">
        <v>49</v>
      </c>
      <c r="N781" s="6" t="s">
        <v>116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294</v>
      </c>
      <c r="T781" s="6" t="s">
        <v>294</v>
      </c>
      <c r="U781" s="6" t="s">
        <v>251</v>
      </c>
      <c r="V781" s="6" t="s">
        <v>692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284</v>
      </c>
      <c r="AE781" s="6" t="s">
        <v>287</v>
      </c>
      <c r="AF781" s="6" t="s">
        <v>49</v>
      </c>
      <c r="AG781" s="6" t="s">
        <v>49</v>
      </c>
      <c r="AH781" s="1" t="s">
        <v>183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6" t="s">
        <v>49</v>
      </c>
      <c r="AW781" s="30" t="s">
        <v>49</v>
      </c>
    </row>
    <row r="782" spans="1:49">
      <c r="A782" s="6" t="s">
        <v>274</v>
      </c>
      <c r="B782" s="6" t="s">
        <v>38</v>
      </c>
      <c r="C782" s="6" t="s">
        <v>49</v>
      </c>
      <c r="D782" s="6" t="s">
        <v>275</v>
      </c>
      <c r="E782" s="6" t="s">
        <v>295</v>
      </c>
      <c r="F782" s="6">
        <v>2018</v>
      </c>
      <c r="G782" s="6" t="s">
        <v>276</v>
      </c>
      <c r="H782" s="6" t="s">
        <v>277</v>
      </c>
      <c r="I782" s="6" t="s">
        <v>278</v>
      </c>
      <c r="J782" s="6" t="str">
        <f t="shared" si="64"/>
        <v>Senecio_pinnatifolius</v>
      </c>
      <c r="K782" s="6" t="s">
        <v>279</v>
      </c>
      <c r="L782" s="6" t="s">
        <v>46</v>
      </c>
      <c r="M782" s="6" t="s">
        <v>49</v>
      </c>
      <c r="N782" s="6" t="s">
        <v>116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294</v>
      </c>
      <c r="T782" s="6" t="s">
        <v>294</v>
      </c>
      <c r="U782" s="6" t="s">
        <v>251</v>
      </c>
      <c r="V782" s="6" t="s">
        <v>692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284</v>
      </c>
      <c r="AE782" s="6" t="s">
        <v>288</v>
      </c>
      <c r="AF782" s="6" t="s">
        <v>49</v>
      </c>
      <c r="AG782" s="6" t="s">
        <v>49</v>
      </c>
      <c r="AH782" s="1" t="s">
        <v>183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6" t="s">
        <v>49</v>
      </c>
      <c r="AW782" s="30" t="s">
        <v>49</v>
      </c>
    </row>
    <row r="783" spans="1:49">
      <c r="A783" s="6" t="s">
        <v>274</v>
      </c>
      <c r="B783" s="6" t="s">
        <v>38</v>
      </c>
      <c r="C783" s="6" t="s">
        <v>49</v>
      </c>
      <c r="D783" s="6" t="s">
        <v>275</v>
      </c>
      <c r="E783" s="6" t="s">
        <v>295</v>
      </c>
      <c r="F783" s="6">
        <v>2018</v>
      </c>
      <c r="G783" s="6" t="s">
        <v>276</v>
      </c>
      <c r="H783" s="6" t="s">
        <v>277</v>
      </c>
      <c r="I783" s="6" t="s">
        <v>278</v>
      </c>
      <c r="J783" s="6" t="str">
        <f t="shared" si="64"/>
        <v>Senecio_pinnatifolius</v>
      </c>
      <c r="K783" s="6" t="s">
        <v>279</v>
      </c>
      <c r="L783" s="6" t="s">
        <v>46</v>
      </c>
      <c r="M783" s="6" t="s">
        <v>49</v>
      </c>
      <c r="N783" s="6" t="s">
        <v>116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294</v>
      </c>
      <c r="T783" s="6" t="s">
        <v>294</v>
      </c>
      <c r="U783" s="6" t="s">
        <v>251</v>
      </c>
      <c r="V783" s="6" t="s">
        <v>692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284</v>
      </c>
      <c r="AE783" s="6" t="s">
        <v>289</v>
      </c>
      <c r="AF783" s="6" t="s">
        <v>49</v>
      </c>
      <c r="AG783" s="6" t="s">
        <v>49</v>
      </c>
      <c r="AH783" s="1" t="s">
        <v>183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6" t="s">
        <v>49</v>
      </c>
      <c r="AW783" s="30" t="s">
        <v>49</v>
      </c>
    </row>
    <row r="784" spans="1:49">
      <c r="A784" s="6" t="s">
        <v>274</v>
      </c>
      <c r="B784" s="6" t="s">
        <v>38</v>
      </c>
      <c r="C784" s="6" t="s">
        <v>49</v>
      </c>
      <c r="D784" s="6" t="s">
        <v>275</v>
      </c>
      <c r="E784" s="6" t="s">
        <v>295</v>
      </c>
      <c r="F784" s="6">
        <v>2018</v>
      </c>
      <c r="G784" s="6" t="s">
        <v>276</v>
      </c>
      <c r="H784" s="6" t="s">
        <v>277</v>
      </c>
      <c r="I784" s="6" t="s">
        <v>278</v>
      </c>
      <c r="J784" s="6" t="str">
        <f t="shared" si="64"/>
        <v>Senecio_pinnatifolius</v>
      </c>
      <c r="K784" s="6" t="s">
        <v>279</v>
      </c>
      <c r="L784" s="6" t="s">
        <v>46</v>
      </c>
      <c r="M784" s="6" t="s">
        <v>49</v>
      </c>
      <c r="N784" s="6" t="s">
        <v>116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294</v>
      </c>
      <c r="T784" s="6" t="s">
        <v>294</v>
      </c>
      <c r="U784" s="6" t="s">
        <v>251</v>
      </c>
      <c r="V784" s="6" t="s">
        <v>692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285</v>
      </c>
      <c r="AE784" s="6" t="s">
        <v>286</v>
      </c>
      <c r="AF784" s="6" t="s">
        <v>49</v>
      </c>
      <c r="AG784" s="6" t="s">
        <v>49</v>
      </c>
      <c r="AH784" s="1" t="s">
        <v>183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6" t="s">
        <v>49</v>
      </c>
      <c r="AW784" s="30" t="s">
        <v>49</v>
      </c>
    </row>
    <row r="785" spans="1:57">
      <c r="A785" s="6" t="s">
        <v>274</v>
      </c>
      <c r="B785" s="6" t="s">
        <v>38</v>
      </c>
      <c r="C785" s="6" t="s">
        <v>49</v>
      </c>
      <c r="D785" s="6" t="s">
        <v>275</v>
      </c>
      <c r="E785" s="6" t="s">
        <v>295</v>
      </c>
      <c r="F785" s="6">
        <v>2018</v>
      </c>
      <c r="G785" s="6" t="s">
        <v>276</v>
      </c>
      <c r="H785" s="6" t="s">
        <v>277</v>
      </c>
      <c r="I785" s="6" t="s">
        <v>278</v>
      </c>
      <c r="J785" s="6" t="str">
        <f t="shared" si="64"/>
        <v>Senecio_pinnatifolius</v>
      </c>
      <c r="K785" s="6" t="s">
        <v>279</v>
      </c>
      <c r="L785" s="6" t="s">
        <v>46</v>
      </c>
      <c r="M785" s="6" t="s">
        <v>49</v>
      </c>
      <c r="N785" s="6" t="s">
        <v>116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294</v>
      </c>
      <c r="T785" s="6" t="s">
        <v>294</v>
      </c>
      <c r="U785" s="6" t="s">
        <v>251</v>
      </c>
      <c r="V785" s="6" t="s">
        <v>692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285</v>
      </c>
      <c r="AE785" s="6" t="s">
        <v>287</v>
      </c>
      <c r="AF785" s="6" t="s">
        <v>49</v>
      </c>
      <c r="AG785" s="6" t="s">
        <v>49</v>
      </c>
      <c r="AH785" s="1" t="s">
        <v>183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6" t="s">
        <v>49</v>
      </c>
      <c r="AW785" s="30" t="s">
        <v>49</v>
      </c>
    </row>
    <row r="786" spans="1:57">
      <c r="A786" s="6" t="s">
        <v>274</v>
      </c>
      <c r="B786" s="6" t="s">
        <v>38</v>
      </c>
      <c r="C786" s="6" t="s">
        <v>49</v>
      </c>
      <c r="D786" s="6" t="s">
        <v>275</v>
      </c>
      <c r="E786" s="6" t="s">
        <v>295</v>
      </c>
      <c r="F786" s="6">
        <v>2018</v>
      </c>
      <c r="G786" s="6" t="s">
        <v>276</v>
      </c>
      <c r="H786" s="6" t="s">
        <v>277</v>
      </c>
      <c r="I786" s="6" t="s">
        <v>278</v>
      </c>
      <c r="J786" s="6" t="str">
        <f t="shared" si="64"/>
        <v>Senecio_pinnatifolius</v>
      </c>
      <c r="K786" s="6" t="s">
        <v>279</v>
      </c>
      <c r="L786" s="6" t="s">
        <v>46</v>
      </c>
      <c r="M786" s="6" t="s">
        <v>49</v>
      </c>
      <c r="N786" s="6" t="s">
        <v>116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294</v>
      </c>
      <c r="T786" s="6" t="s">
        <v>294</v>
      </c>
      <c r="U786" s="6" t="s">
        <v>251</v>
      </c>
      <c r="V786" s="6" t="s">
        <v>692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285</v>
      </c>
      <c r="AE786" s="6" t="s">
        <v>288</v>
      </c>
      <c r="AF786" s="6" t="s">
        <v>49</v>
      </c>
      <c r="AG786" s="6" t="s">
        <v>49</v>
      </c>
      <c r="AH786" s="1" t="s">
        <v>183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6" t="s">
        <v>49</v>
      </c>
      <c r="AW786" s="30" t="s">
        <v>49</v>
      </c>
    </row>
    <row r="787" spans="1:57">
      <c r="A787" s="6" t="s">
        <v>274</v>
      </c>
      <c r="B787" s="6" t="s">
        <v>38</v>
      </c>
      <c r="C787" s="6" t="s">
        <v>49</v>
      </c>
      <c r="D787" s="6" t="s">
        <v>275</v>
      </c>
      <c r="E787" s="6" t="s">
        <v>295</v>
      </c>
      <c r="F787" s="6">
        <v>2018</v>
      </c>
      <c r="G787" s="6" t="s">
        <v>276</v>
      </c>
      <c r="H787" s="6" t="s">
        <v>277</v>
      </c>
      <c r="I787" s="6" t="s">
        <v>278</v>
      </c>
      <c r="J787" s="6" t="str">
        <f t="shared" si="64"/>
        <v>Senecio_pinnatifolius</v>
      </c>
      <c r="K787" s="6" t="s">
        <v>279</v>
      </c>
      <c r="L787" s="6" t="s">
        <v>46</v>
      </c>
      <c r="M787" s="6" t="s">
        <v>49</v>
      </c>
      <c r="N787" s="6" t="s">
        <v>116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294</v>
      </c>
      <c r="T787" s="6" t="s">
        <v>294</v>
      </c>
      <c r="U787" s="6" t="s">
        <v>251</v>
      </c>
      <c r="V787" s="6" t="s">
        <v>692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285</v>
      </c>
      <c r="AE787" s="6" t="s">
        <v>289</v>
      </c>
      <c r="AF787" s="6" t="s">
        <v>49</v>
      </c>
      <c r="AG787" s="6" t="s">
        <v>49</v>
      </c>
      <c r="AH787" s="1" t="s">
        <v>183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6" t="s">
        <v>49</v>
      </c>
      <c r="AW787" s="30" t="s">
        <v>49</v>
      </c>
    </row>
    <row r="788" spans="1:57">
      <c r="A788" s="6" t="s">
        <v>274</v>
      </c>
      <c r="B788" s="6" t="s">
        <v>38</v>
      </c>
      <c r="C788" s="6" t="s">
        <v>49</v>
      </c>
      <c r="D788" s="6" t="s">
        <v>275</v>
      </c>
      <c r="E788" s="6" t="s">
        <v>295</v>
      </c>
      <c r="F788" s="6">
        <v>2018</v>
      </c>
      <c r="G788" s="6" t="s">
        <v>276</v>
      </c>
      <c r="H788" s="6" t="s">
        <v>277</v>
      </c>
      <c r="I788" s="6" t="s">
        <v>278</v>
      </c>
      <c r="J788" s="6" t="str">
        <f t="shared" si="64"/>
        <v>Senecio_pinnatifolius</v>
      </c>
      <c r="K788" s="6" t="s">
        <v>279</v>
      </c>
      <c r="L788" s="6" t="s">
        <v>46</v>
      </c>
      <c r="M788" s="6" t="s">
        <v>49</v>
      </c>
      <c r="N788" s="6" t="s">
        <v>116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294</v>
      </c>
      <c r="T788" s="6" t="s">
        <v>294</v>
      </c>
      <c r="U788" s="6" t="s">
        <v>251</v>
      </c>
      <c r="V788" s="6" t="s">
        <v>692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286</v>
      </c>
      <c r="AE788" s="6" t="s">
        <v>287</v>
      </c>
      <c r="AF788" s="6" t="s">
        <v>49</v>
      </c>
      <c r="AG788" s="6" t="s">
        <v>49</v>
      </c>
      <c r="AH788" s="1" t="s">
        <v>183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6" t="s">
        <v>49</v>
      </c>
      <c r="AW788" s="30" t="s">
        <v>49</v>
      </c>
    </row>
    <row r="789" spans="1:57">
      <c r="A789" s="6" t="s">
        <v>274</v>
      </c>
      <c r="B789" s="6" t="s">
        <v>38</v>
      </c>
      <c r="C789" s="6" t="s">
        <v>49</v>
      </c>
      <c r="D789" s="6" t="s">
        <v>275</v>
      </c>
      <c r="E789" s="6" t="s">
        <v>295</v>
      </c>
      <c r="F789" s="6">
        <v>2018</v>
      </c>
      <c r="G789" s="6" t="s">
        <v>276</v>
      </c>
      <c r="H789" s="6" t="s">
        <v>277</v>
      </c>
      <c r="I789" s="6" t="s">
        <v>278</v>
      </c>
      <c r="J789" s="6" t="str">
        <f t="shared" si="64"/>
        <v>Senecio_pinnatifolius</v>
      </c>
      <c r="K789" s="6" t="s">
        <v>279</v>
      </c>
      <c r="L789" s="6" t="s">
        <v>46</v>
      </c>
      <c r="M789" s="6" t="s">
        <v>49</v>
      </c>
      <c r="N789" s="6" t="s">
        <v>116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294</v>
      </c>
      <c r="T789" s="6" t="s">
        <v>294</v>
      </c>
      <c r="U789" s="6" t="s">
        <v>251</v>
      </c>
      <c r="V789" s="6" t="s">
        <v>692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286</v>
      </c>
      <c r="AE789" s="6" t="s">
        <v>288</v>
      </c>
      <c r="AF789" s="6" t="s">
        <v>49</v>
      </c>
      <c r="AG789" s="6" t="s">
        <v>49</v>
      </c>
      <c r="AH789" s="1" t="s">
        <v>183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6" t="s">
        <v>49</v>
      </c>
      <c r="AW789" s="30" t="s">
        <v>49</v>
      </c>
    </row>
    <row r="790" spans="1:57">
      <c r="A790" s="6" t="s">
        <v>274</v>
      </c>
      <c r="B790" s="6" t="s">
        <v>38</v>
      </c>
      <c r="C790" s="6" t="s">
        <v>49</v>
      </c>
      <c r="D790" s="6" t="s">
        <v>275</v>
      </c>
      <c r="E790" s="6" t="s">
        <v>295</v>
      </c>
      <c r="F790" s="6">
        <v>2018</v>
      </c>
      <c r="G790" s="6" t="s">
        <v>276</v>
      </c>
      <c r="H790" s="6" t="s">
        <v>277</v>
      </c>
      <c r="I790" s="6" t="s">
        <v>278</v>
      </c>
      <c r="J790" s="6" t="str">
        <f t="shared" si="64"/>
        <v>Senecio_pinnatifolius</v>
      </c>
      <c r="K790" s="6" t="s">
        <v>279</v>
      </c>
      <c r="L790" s="6" t="s">
        <v>46</v>
      </c>
      <c r="M790" s="6" t="s">
        <v>49</v>
      </c>
      <c r="N790" s="6" t="s">
        <v>116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294</v>
      </c>
      <c r="T790" s="6" t="s">
        <v>294</v>
      </c>
      <c r="U790" s="6" t="s">
        <v>251</v>
      </c>
      <c r="V790" s="6" t="s">
        <v>692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286</v>
      </c>
      <c r="AE790" s="6" t="s">
        <v>289</v>
      </c>
      <c r="AF790" s="6" t="s">
        <v>49</v>
      </c>
      <c r="AG790" s="6" t="s">
        <v>49</v>
      </c>
      <c r="AH790" s="1" t="s">
        <v>183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6" t="s">
        <v>49</v>
      </c>
      <c r="AW790" s="30" t="s">
        <v>49</v>
      </c>
    </row>
    <row r="791" spans="1:57">
      <c r="A791" s="6" t="s">
        <v>274</v>
      </c>
      <c r="B791" s="6" t="s">
        <v>38</v>
      </c>
      <c r="C791" s="6" t="s">
        <v>49</v>
      </c>
      <c r="D791" s="6" t="s">
        <v>275</v>
      </c>
      <c r="E791" s="6" t="s">
        <v>295</v>
      </c>
      <c r="F791" s="6">
        <v>2018</v>
      </c>
      <c r="G791" s="6" t="s">
        <v>276</v>
      </c>
      <c r="H791" s="6" t="s">
        <v>277</v>
      </c>
      <c r="I791" s="6" t="s">
        <v>278</v>
      </c>
      <c r="J791" s="6" t="str">
        <f t="shared" si="64"/>
        <v>Senecio_pinnatifolius</v>
      </c>
      <c r="K791" s="6" t="s">
        <v>279</v>
      </c>
      <c r="L791" s="6" t="s">
        <v>46</v>
      </c>
      <c r="M791" s="6" t="s">
        <v>49</v>
      </c>
      <c r="N791" s="6" t="s">
        <v>116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294</v>
      </c>
      <c r="T791" s="6" t="s">
        <v>294</v>
      </c>
      <c r="U791" s="6" t="s">
        <v>251</v>
      </c>
      <c r="V791" s="6" t="s">
        <v>692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287</v>
      </c>
      <c r="AE791" s="6" t="s">
        <v>288</v>
      </c>
      <c r="AF791" s="6" t="s">
        <v>49</v>
      </c>
      <c r="AG791" s="6" t="s">
        <v>49</v>
      </c>
      <c r="AH791" s="1" t="s">
        <v>183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6" t="s">
        <v>49</v>
      </c>
      <c r="AW791" s="30" t="s">
        <v>49</v>
      </c>
    </row>
    <row r="792" spans="1:57">
      <c r="A792" s="6" t="s">
        <v>274</v>
      </c>
      <c r="B792" s="6" t="s">
        <v>38</v>
      </c>
      <c r="C792" s="6" t="s">
        <v>49</v>
      </c>
      <c r="D792" s="6" t="s">
        <v>275</v>
      </c>
      <c r="E792" s="6" t="s">
        <v>295</v>
      </c>
      <c r="F792" s="6">
        <v>2018</v>
      </c>
      <c r="G792" s="6" t="s">
        <v>276</v>
      </c>
      <c r="H792" s="6" t="s">
        <v>277</v>
      </c>
      <c r="I792" s="6" t="s">
        <v>278</v>
      </c>
      <c r="J792" s="6" t="str">
        <f t="shared" si="64"/>
        <v>Senecio_pinnatifolius</v>
      </c>
      <c r="K792" s="6" t="s">
        <v>279</v>
      </c>
      <c r="L792" s="6" t="s">
        <v>46</v>
      </c>
      <c r="M792" s="6" t="s">
        <v>49</v>
      </c>
      <c r="N792" s="6" t="s">
        <v>116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294</v>
      </c>
      <c r="T792" s="6" t="s">
        <v>294</v>
      </c>
      <c r="U792" s="6" t="s">
        <v>251</v>
      </c>
      <c r="V792" s="6" t="s">
        <v>692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287</v>
      </c>
      <c r="AE792" s="6" t="s">
        <v>289</v>
      </c>
      <c r="AF792" s="6" t="s">
        <v>49</v>
      </c>
      <c r="AG792" s="6" t="s">
        <v>49</v>
      </c>
      <c r="AH792" s="1" t="s">
        <v>183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6" t="s">
        <v>49</v>
      </c>
      <c r="AW792" s="30" t="s">
        <v>49</v>
      </c>
    </row>
    <row r="793" spans="1:57">
      <c r="A793" s="6" t="s">
        <v>274</v>
      </c>
      <c r="B793" s="6" t="s">
        <v>38</v>
      </c>
      <c r="C793" s="6" t="s">
        <v>49</v>
      </c>
      <c r="D793" s="6" t="s">
        <v>275</v>
      </c>
      <c r="E793" s="6" t="s">
        <v>295</v>
      </c>
      <c r="F793" s="6">
        <v>2018</v>
      </c>
      <c r="G793" s="6" t="s">
        <v>276</v>
      </c>
      <c r="H793" s="6" t="s">
        <v>277</v>
      </c>
      <c r="I793" s="6" t="s">
        <v>278</v>
      </c>
      <c r="J793" s="6" t="str">
        <f t="shared" si="64"/>
        <v>Senecio_pinnatifolius</v>
      </c>
      <c r="K793" s="6" t="s">
        <v>279</v>
      </c>
      <c r="L793" s="6" t="s">
        <v>46</v>
      </c>
      <c r="M793" s="6" t="s">
        <v>49</v>
      </c>
      <c r="N793" s="6" t="s">
        <v>116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294</v>
      </c>
      <c r="T793" s="6" t="s">
        <v>294</v>
      </c>
      <c r="U793" s="6" t="s">
        <v>251</v>
      </c>
      <c r="V793" s="6" t="s">
        <v>692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288</v>
      </c>
      <c r="AE793" s="6" t="s">
        <v>289</v>
      </c>
      <c r="AF793" s="6" t="s">
        <v>49</v>
      </c>
      <c r="AG793" s="6" t="s">
        <v>49</v>
      </c>
      <c r="AH793" s="1" t="s">
        <v>183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6" t="s">
        <v>49</v>
      </c>
      <c r="AW793" s="30" t="s">
        <v>49</v>
      </c>
    </row>
    <row r="794" spans="1:57" ht="14.5" customHeight="1">
      <c r="A794" s="1">
        <v>3</v>
      </c>
      <c r="B794" s="1" t="s">
        <v>38</v>
      </c>
      <c r="C794" s="1" t="s">
        <v>38</v>
      </c>
      <c r="D794" s="3" t="s">
        <v>301</v>
      </c>
      <c r="E794" s="3" t="s">
        <v>719</v>
      </c>
      <c r="F794" s="3">
        <v>2003</v>
      </c>
      <c r="G794" s="3" t="s">
        <v>303</v>
      </c>
      <c r="H794" s="3" t="s">
        <v>304</v>
      </c>
      <c r="I794" s="3" t="s">
        <v>305</v>
      </c>
      <c r="J794" s="3" t="s">
        <v>306</v>
      </c>
      <c r="K794" s="3" t="s">
        <v>307</v>
      </c>
      <c r="L794" s="3" t="s">
        <v>46</v>
      </c>
      <c r="M794" s="1" t="s">
        <v>12</v>
      </c>
      <c r="N794" s="1" t="s">
        <v>76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77</v>
      </c>
      <c r="T794" s="1" t="s">
        <v>308</v>
      </c>
      <c r="U794" s="1" t="s">
        <v>309</v>
      </c>
      <c r="V794" s="3" t="s">
        <v>310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66</v>
      </c>
      <c r="AC794" s="1" t="s">
        <v>315</v>
      </c>
      <c r="AD794" s="1" t="s">
        <v>316</v>
      </c>
      <c r="AE794" s="1" t="s">
        <v>316</v>
      </c>
      <c r="AF794" s="1" t="s">
        <v>60</v>
      </c>
      <c r="AG794" s="1" t="s">
        <v>61</v>
      </c>
      <c r="AH794" s="1" t="s">
        <v>152</v>
      </c>
      <c r="AI794" s="1" t="s">
        <v>55</v>
      </c>
      <c r="AJ794" s="1">
        <v>84</v>
      </c>
      <c r="AK794" s="1">
        <v>1046</v>
      </c>
      <c r="AL794" s="2">
        <v>0.3</v>
      </c>
      <c r="AM794" s="3">
        <v>20.59</v>
      </c>
      <c r="AN794" s="3">
        <v>4.51</v>
      </c>
      <c r="AO794" s="1" t="s">
        <v>49</v>
      </c>
      <c r="AP794" s="6">
        <v>0</v>
      </c>
      <c r="AQ794" s="6" t="s">
        <v>49</v>
      </c>
      <c r="AR794" s="6" t="s">
        <v>49</v>
      </c>
      <c r="AS794" s="1">
        <v>1.86</v>
      </c>
      <c r="AT794" s="4">
        <f>AS794/(AM794^2)*100</f>
        <v>0.43873294867933127</v>
      </c>
      <c r="AU794" s="5">
        <v>0</v>
      </c>
      <c r="AV794" s="4">
        <f>AT794*(1-AL794)/AL794</f>
        <v>1.0237102135851062</v>
      </c>
      <c r="AW794" s="40" t="s">
        <v>329</v>
      </c>
      <c r="BE794" s="6">
        <v>0.31371764609866165</v>
      </c>
    </row>
    <row r="795" spans="1:57" ht="14.5" customHeight="1">
      <c r="A795" s="1">
        <v>3</v>
      </c>
      <c r="B795" s="1" t="s">
        <v>38</v>
      </c>
      <c r="C795" s="1" t="s">
        <v>38</v>
      </c>
      <c r="D795" s="3" t="s">
        <v>301</v>
      </c>
      <c r="E795" s="3" t="s">
        <v>719</v>
      </c>
      <c r="F795" s="3">
        <v>2003</v>
      </c>
      <c r="G795" s="3" t="s">
        <v>303</v>
      </c>
      <c r="H795" s="3" t="s">
        <v>304</v>
      </c>
      <c r="I795" s="3" t="s">
        <v>305</v>
      </c>
      <c r="J795" s="3" t="s">
        <v>306</v>
      </c>
      <c r="K795" s="3" t="s">
        <v>307</v>
      </c>
      <c r="L795" s="3" t="s">
        <v>46</v>
      </c>
      <c r="M795" s="1" t="s">
        <v>12</v>
      </c>
      <c r="N795" s="1" t="s">
        <v>76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77</v>
      </c>
      <c r="T795" s="1" t="s">
        <v>308</v>
      </c>
      <c r="U795" s="1" t="s">
        <v>309</v>
      </c>
      <c r="V795" s="3" t="s">
        <v>310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66</v>
      </c>
      <c r="AC795" s="1" t="s">
        <v>315</v>
      </c>
      <c r="AD795" s="1" t="s">
        <v>317</v>
      </c>
      <c r="AE795" s="1" t="s">
        <v>317</v>
      </c>
      <c r="AF795" s="1" t="s">
        <v>60</v>
      </c>
      <c r="AG795" s="1" t="s">
        <v>61</v>
      </c>
      <c r="AH795" s="1" t="s">
        <v>152</v>
      </c>
      <c r="AI795" s="1" t="s">
        <v>55</v>
      </c>
      <c r="AJ795" s="1">
        <v>84</v>
      </c>
      <c r="AK795" s="1">
        <v>1046</v>
      </c>
      <c r="AL795" s="2">
        <v>0.26</v>
      </c>
      <c r="AM795" s="3">
        <v>17.55</v>
      </c>
      <c r="AN795" s="3">
        <v>3.02</v>
      </c>
      <c r="AO795" s="1" t="s">
        <v>49</v>
      </c>
      <c r="AP795" s="6">
        <v>0</v>
      </c>
      <c r="AQ795" s="6" t="s">
        <v>49</v>
      </c>
      <c r="AR795" s="6" t="s">
        <v>49</v>
      </c>
      <c r="AS795" s="1">
        <v>1.05</v>
      </c>
      <c r="AT795" s="4">
        <f>AS795/(AM795^2)*100</f>
        <v>0.34090632381230673</v>
      </c>
      <c r="AU795" s="5">
        <v>0</v>
      </c>
      <c r="AV795" s="4">
        <f>AT795*(1-AL795)/AL795</f>
        <v>0.97027184469656536</v>
      </c>
      <c r="AW795" s="40" t="s">
        <v>329</v>
      </c>
      <c r="BE795" s="6">
        <v>0.25324469768914215</v>
      </c>
    </row>
    <row r="796" spans="1:57" ht="14.5" customHeight="1">
      <c r="A796" s="1">
        <v>3</v>
      </c>
      <c r="B796" s="1" t="s">
        <v>38</v>
      </c>
      <c r="C796" s="1" t="s">
        <v>38</v>
      </c>
      <c r="D796" s="3" t="s">
        <v>301</v>
      </c>
      <c r="E796" s="3" t="s">
        <v>719</v>
      </c>
      <c r="F796" s="3">
        <v>2003</v>
      </c>
      <c r="G796" s="3" t="s">
        <v>303</v>
      </c>
      <c r="H796" s="3" t="s">
        <v>304</v>
      </c>
      <c r="I796" s="3" t="s">
        <v>305</v>
      </c>
      <c r="J796" s="3" t="s">
        <v>306</v>
      </c>
      <c r="K796" s="3" t="s">
        <v>307</v>
      </c>
      <c r="L796" s="3" t="s">
        <v>46</v>
      </c>
      <c r="M796" s="1" t="s">
        <v>12</v>
      </c>
      <c r="N796" s="1" t="s">
        <v>76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77</v>
      </c>
      <c r="T796" s="1" t="s">
        <v>308</v>
      </c>
      <c r="U796" s="1" t="s">
        <v>309</v>
      </c>
      <c r="V796" s="3" t="s">
        <v>310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66</v>
      </c>
      <c r="AC796" s="1" t="s">
        <v>315</v>
      </c>
      <c r="AD796" s="1" t="s">
        <v>318</v>
      </c>
      <c r="AE796" s="1" t="s">
        <v>318</v>
      </c>
      <c r="AF796" s="1" t="s">
        <v>60</v>
      </c>
      <c r="AG796" s="1" t="s">
        <v>61</v>
      </c>
      <c r="AH796" s="1" t="s">
        <v>152</v>
      </c>
      <c r="AI796" s="1" t="s">
        <v>55</v>
      </c>
      <c r="AJ796" s="1">
        <v>84</v>
      </c>
      <c r="AK796" s="1">
        <v>1046</v>
      </c>
      <c r="AL796" s="2">
        <v>0.22</v>
      </c>
      <c r="AM796" s="3">
        <v>20.73</v>
      </c>
      <c r="AN796" s="3">
        <v>6.6</v>
      </c>
      <c r="AO796" s="1" t="s">
        <v>49</v>
      </c>
      <c r="AP796" s="6">
        <v>0</v>
      </c>
      <c r="AQ796" s="6" t="s">
        <v>49</v>
      </c>
      <c r="AR796" s="6" t="s">
        <v>49</v>
      </c>
      <c r="AS796" s="1">
        <v>1.62</v>
      </c>
      <c r="AT796" s="4">
        <f>AS796/(AM796^2)*100</f>
        <v>0.37697835097103338</v>
      </c>
      <c r="AU796" s="5">
        <v>0</v>
      </c>
      <c r="AV796" s="4">
        <f>AT796*(1-AL796)/AL796</f>
        <v>1.3365596079882094</v>
      </c>
      <c r="AW796" s="40" t="s">
        <v>329</v>
      </c>
      <c r="BE796" s="6">
        <v>0.3420729481033451</v>
      </c>
    </row>
    <row r="797" spans="1:57" ht="14.5" customHeight="1">
      <c r="A797" s="1">
        <v>3</v>
      </c>
      <c r="B797" s="1" t="s">
        <v>38</v>
      </c>
      <c r="C797" s="1" t="s">
        <v>38</v>
      </c>
      <c r="D797" s="3" t="s">
        <v>301</v>
      </c>
      <c r="E797" s="3" t="s">
        <v>719</v>
      </c>
      <c r="F797" s="3">
        <v>2003</v>
      </c>
      <c r="G797" s="3" t="s">
        <v>303</v>
      </c>
      <c r="H797" s="3" t="s">
        <v>304</v>
      </c>
      <c r="I797" s="3" t="s">
        <v>305</v>
      </c>
      <c r="J797" s="3" t="s">
        <v>306</v>
      </c>
      <c r="K797" s="3" t="s">
        <v>307</v>
      </c>
      <c r="L797" s="3" t="s">
        <v>46</v>
      </c>
      <c r="M797" s="1" t="s">
        <v>12</v>
      </c>
      <c r="N797" s="1" t="s">
        <v>76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77</v>
      </c>
      <c r="T797" s="1" t="s">
        <v>308</v>
      </c>
      <c r="U797" s="1" t="s">
        <v>309</v>
      </c>
      <c r="V797" s="3" t="s">
        <v>310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66</v>
      </c>
      <c r="AC797" s="1" t="s">
        <v>315</v>
      </c>
      <c r="AD797" s="1" t="s">
        <v>321</v>
      </c>
      <c r="AE797" s="1" t="s">
        <v>321</v>
      </c>
      <c r="AF797" s="1" t="s">
        <v>60</v>
      </c>
      <c r="AG797" s="1" t="s">
        <v>61</v>
      </c>
      <c r="AH797" s="1" t="s">
        <v>152</v>
      </c>
      <c r="AI797" s="1" t="s">
        <v>55</v>
      </c>
      <c r="AJ797" s="1">
        <v>84</v>
      </c>
      <c r="AK797" s="1">
        <v>1046</v>
      </c>
      <c r="AL797" s="2">
        <v>0.24</v>
      </c>
      <c r="AM797" s="3">
        <v>18.61</v>
      </c>
      <c r="AN797" s="3">
        <v>4.0599999999999996</v>
      </c>
      <c r="AO797" s="1" t="s">
        <v>49</v>
      </c>
      <c r="AP797" s="6">
        <v>0</v>
      </c>
      <c r="AQ797" s="6" t="s">
        <v>49</v>
      </c>
      <c r="AR797" s="6" t="s">
        <v>49</v>
      </c>
      <c r="AS797" s="1">
        <v>1.36</v>
      </c>
      <c r="AT797" s="4">
        <f>AS797/(AM797^2)*100</f>
        <v>0.39268667270518676</v>
      </c>
      <c r="AU797" s="5">
        <v>0</v>
      </c>
      <c r="AV797" s="4">
        <f>AT797*(1-AL797)/AL797</f>
        <v>1.2435077968997581</v>
      </c>
      <c r="AW797" s="40" t="s">
        <v>329</v>
      </c>
      <c r="BE797" s="6">
        <v>0.28007799450296406</v>
      </c>
    </row>
    <row r="798" spans="1:57" ht="14.5" customHeight="1">
      <c r="A798" s="1">
        <v>3</v>
      </c>
      <c r="B798" s="1" t="s">
        <v>38</v>
      </c>
      <c r="C798" s="1" t="s">
        <v>38</v>
      </c>
      <c r="D798" s="3" t="s">
        <v>301</v>
      </c>
      <c r="E798" s="3" t="s">
        <v>719</v>
      </c>
      <c r="F798" s="3">
        <v>2003</v>
      </c>
      <c r="G798" s="3" t="s">
        <v>303</v>
      </c>
      <c r="H798" s="3" t="s">
        <v>304</v>
      </c>
      <c r="I798" s="3" t="s">
        <v>305</v>
      </c>
      <c r="J798" s="3" t="s">
        <v>306</v>
      </c>
      <c r="K798" s="3" t="s">
        <v>307</v>
      </c>
      <c r="L798" s="3" t="s">
        <v>46</v>
      </c>
      <c r="M798" s="1" t="s">
        <v>12</v>
      </c>
      <c r="N798" s="1" t="s">
        <v>76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77</v>
      </c>
      <c r="T798" s="1" t="s">
        <v>308</v>
      </c>
      <c r="U798" s="1" t="s">
        <v>309</v>
      </c>
      <c r="V798" s="3" t="s">
        <v>310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57</v>
      </c>
      <c r="AC798" s="1" t="s">
        <v>86</v>
      </c>
      <c r="AD798" s="1" t="s">
        <v>314</v>
      </c>
      <c r="AE798" s="1" t="s">
        <v>314</v>
      </c>
      <c r="AF798" s="1" t="s">
        <v>60</v>
      </c>
      <c r="AG798" s="1" t="s">
        <v>61</v>
      </c>
      <c r="AH798" s="1" t="s">
        <v>152</v>
      </c>
      <c r="AI798" s="1" t="s">
        <v>55</v>
      </c>
      <c r="AJ798" s="1">
        <v>84</v>
      </c>
      <c r="AK798" s="1">
        <v>1046</v>
      </c>
      <c r="AL798" s="2">
        <v>0.09</v>
      </c>
      <c r="AM798" s="3">
        <v>4.66</v>
      </c>
      <c r="AN798" s="3">
        <v>0.28299999999999997</v>
      </c>
      <c r="AO798" s="1" t="s">
        <v>49</v>
      </c>
      <c r="AP798" s="6">
        <v>0</v>
      </c>
      <c r="AQ798" s="6" t="s">
        <v>49</v>
      </c>
      <c r="AR798" s="6" t="s">
        <v>49</v>
      </c>
      <c r="AS798" s="1">
        <v>0.06</v>
      </c>
      <c r="AT798" s="4">
        <f>AS798/(AM798^2)*100</f>
        <v>0.2762990661091565</v>
      </c>
      <c r="AU798" s="5">
        <v>0</v>
      </c>
      <c r="AV798" s="4">
        <f>AT798*(1-AL798)/AL798</f>
        <v>2.7936905573259159</v>
      </c>
      <c r="AW798" s="40" t="s">
        <v>329</v>
      </c>
      <c r="BE798" s="6">
        <v>0.11972959531396782</v>
      </c>
    </row>
    <row r="799" spans="1:57" ht="14.5" customHeight="1">
      <c r="A799" s="1">
        <v>3</v>
      </c>
      <c r="B799" s="1" t="s">
        <v>38</v>
      </c>
      <c r="C799" s="1" t="s">
        <v>38</v>
      </c>
      <c r="D799" s="3" t="s">
        <v>301</v>
      </c>
      <c r="E799" s="3" t="s">
        <v>719</v>
      </c>
      <c r="F799" s="3">
        <v>2003</v>
      </c>
      <c r="G799" s="3" t="s">
        <v>303</v>
      </c>
      <c r="H799" s="3" t="s">
        <v>304</v>
      </c>
      <c r="I799" s="3" t="s">
        <v>305</v>
      </c>
      <c r="J799" s="3" t="s">
        <v>306</v>
      </c>
      <c r="K799" s="3" t="s">
        <v>307</v>
      </c>
      <c r="L799" s="3" t="s">
        <v>46</v>
      </c>
      <c r="M799" s="1" t="s">
        <v>12</v>
      </c>
      <c r="N799" s="1" t="s">
        <v>76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77</v>
      </c>
      <c r="T799" s="1" t="s">
        <v>308</v>
      </c>
      <c r="U799" s="1" t="s">
        <v>309</v>
      </c>
      <c r="V799" s="3" t="s">
        <v>310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57</v>
      </c>
      <c r="AC799" s="1" t="s">
        <v>58</v>
      </c>
      <c r="AD799" s="1" t="s">
        <v>313</v>
      </c>
      <c r="AE799" s="1" t="s">
        <v>313</v>
      </c>
      <c r="AF799" s="1" t="s">
        <v>60</v>
      </c>
      <c r="AG799" s="1" t="s">
        <v>61</v>
      </c>
      <c r="AH799" s="1" t="s">
        <v>152</v>
      </c>
      <c r="AI799" s="1" t="s">
        <v>55</v>
      </c>
      <c r="AJ799" s="1">
        <v>84</v>
      </c>
      <c r="AK799" s="1">
        <v>1046</v>
      </c>
      <c r="AL799" s="2">
        <v>0.27</v>
      </c>
      <c r="AM799" s="3">
        <v>4.6399999999999997</v>
      </c>
      <c r="AN799" s="3">
        <v>0.38700000000000001</v>
      </c>
      <c r="AO799" s="1" t="s">
        <v>49</v>
      </c>
      <c r="AP799" s="6">
        <v>0</v>
      </c>
      <c r="AQ799" s="6" t="s">
        <v>49</v>
      </c>
      <c r="AR799" s="6" t="s">
        <v>49</v>
      </c>
      <c r="AS799" s="1">
        <v>7.8E-2</v>
      </c>
      <c r="AT799" s="4">
        <f>AS799/(AM799^2)*100</f>
        <v>0.36229191438763381</v>
      </c>
      <c r="AU799" s="5">
        <v>0</v>
      </c>
      <c r="AV799" s="4">
        <f>AT799*(1-AL799)/AL799</f>
        <v>0.97952999075175051</v>
      </c>
      <c r="AW799" s="40" t="s">
        <v>329</v>
      </c>
      <c r="BE799" s="6">
        <v>0.47841111771700351</v>
      </c>
    </row>
    <row r="800" spans="1:57" ht="15" customHeight="1">
      <c r="A800" s="1">
        <v>3</v>
      </c>
      <c r="B800" s="1" t="s">
        <v>38</v>
      </c>
      <c r="C800" s="1" t="s">
        <v>38</v>
      </c>
      <c r="D800" s="3" t="s">
        <v>301</v>
      </c>
      <c r="E800" s="3" t="s">
        <v>719</v>
      </c>
      <c r="F800" s="3">
        <v>2003</v>
      </c>
      <c r="G800" s="3" t="s">
        <v>303</v>
      </c>
      <c r="H800" s="3" t="s">
        <v>304</v>
      </c>
      <c r="I800" s="3" t="s">
        <v>305</v>
      </c>
      <c r="J800" s="3" t="s">
        <v>306</v>
      </c>
      <c r="K800" s="3" t="s">
        <v>307</v>
      </c>
      <c r="L800" s="3" t="s">
        <v>46</v>
      </c>
      <c r="M800" s="1" t="s">
        <v>12</v>
      </c>
      <c r="N800" s="1" t="s">
        <v>76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77</v>
      </c>
      <c r="T800" s="1" t="s">
        <v>308</v>
      </c>
      <c r="U800" s="1" t="s">
        <v>309</v>
      </c>
      <c r="V800" s="3" t="s">
        <v>310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91</v>
      </c>
      <c r="AC800" s="1" t="s">
        <v>91</v>
      </c>
      <c r="AD800" s="1" t="s">
        <v>93</v>
      </c>
      <c r="AE800" s="1" t="s">
        <v>93</v>
      </c>
      <c r="AF800" s="1" t="s">
        <v>60</v>
      </c>
      <c r="AG800" s="1" t="s">
        <v>49</v>
      </c>
      <c r="AH800" s="1" t="s">
        <v>152</v>
      </c>
      <c r="AI800" s="1" t="s">
        <v>55</v>
      </c>
      <c r="AJ800" s="1">
        <v>84</v>
      </c>
      <c r="AK800" s="1">
        <v>1046</v>
      </c>
      <c r="AL800" s="2">
        <v>0.26</v>
      </c>
      <c r="AM800" s="3">
        <v>3.62</v>
      </c>
      <c r="AN800" s="3">
        <v>0.97499999999999998</v>
      </c>
      <c r="AO800" s="1" t="s">
        <v>49</v>
      </c>
      <c r="AP800" s="6">
        <v>0</v>
      </c>
      <c r="AQ800" s="6" t="s">
        <v>49</v>
      </c>
      <c r="AR800" s="6" t="s">
        <v>49</v>
      </c>
      <c r="AS800" s="1">
        <v>0.35</v>
      </c>
      <c r="AT800" s="4">
        <f>AS800/(AM800^2)*100</f>
        <v>2.6708586428985681</v>
      </c>
      <c r="AU800" s="5">
        <v>0</v>
      </c>
      <c r="AV800" s="4">
        <f>AT800*(1-AL800)/AL800</f>
        <v>7.6016745990190007</v>
      </c>
      <c r="AW800" s="40" t="s">
        <v>329</v>
      </c>
      <c r="BE800" s="6">
        <v>1.9077561734989774</v>
      </c>
    </row>
    <row r="801" spans="1:57" ht="15" customHeight="1">
      <c r="A801" s="1">
        <v>3</v>
      </c>
      <c r="B801" s="1" t="s">
        <v>38</v>
      </c>
      <c r="C801" s="1" t="s">
        <v>38</v>
      </c>
      <c r="D801" s="3" t="s">
        <v>301</v>
      </c>
      <c r="E801" s="3" t="s">
        <v>719</v>
      </c>
      <c r="F801" s="3">
        <v>2003</v>
      </c>
      <c r="G801" s="3" t="s">
        <v>303</v>
      </c>
      <c r="H801" s="3" t="s">
        <v>304</v>
      </c>
      <c r="I801" s="3" t="s">
        <v>305</v>
      </c>
      <c r="J801" s="3" t="s">
        <v>306</v>
      </c>
      <c r="K801" s="3" t="s">
        <v>307</v>
      </c>
      <c r="L801" s="3" t="s">
        <v>46</v>
      </c>
      <c r="M801" s="1" t="s">
        <v>12</v>
      </c>
      <c r="N801" s="1" t="s">
        <v>76</v>
      </c>
      <c r="O801" s="1">
        <v>0.31</v>
      </c>
      <c r="P801" s="1" t="s">
        <v>49</v>
      </c>
      <c r="Q801" s="1">
        <v>0.31</v>
      </c>
      <c r="R801" s="1">
        <v>1</v>
      </c>
      <c r="S801" s="1" t="s">
        <v>77</v>
      </c>
      <c r="T801" s="1" t="s">
        <v>308</v>
      </c>
      <c r="U801" s="1" t="s">
        <v>309</v>
      </c>
      <c r="V801" s="3" t="s">
        <v>310</v>
      </c>
      <c r="W801" s="3">
        <v>20.216670000000001</v>
      </c>
      <c r="X801" s="3">
        <v>-87.433333000000005</v>
      </c>
      <c r="Y801" s="1" t="s">
        <v>48</v>
      </c>
      <c r="Z801" s="1" t="s">
        <v>49</v>
      </c>
      <c r="AA801" s="1" t="s">
        <v>50</v>
      </c>
      <c r="AB801" s="1" t="s">
        <v>86</v>
      </c>
      <c r="AC801" s="1" t="s">
        <v>319</v>
      </c>
      <c r="AD801" s="1" t="s">
        <v>320</v>
      </c>
      <c r="AE801" s="1" t="s">
        <v>320</v>
      </c>
      <c r="AF801" s="1" t="s">
        <v>60</v>
      </c>
      <c r="AG801" s="1" t="s">
        <v>61</v>
      </c>
      <c r="AH801" s="1" t="s">
        <v>152</v>
      </c>
      <c r="AI801" s="1" t="s">
        <v>55</v>
      </c>
      <c r="AJ801" s="1">
        <v>84</v>
      </c>
      <c r="AK801" s="1">
        <v>1046</v>
      </c>
      <c r="AL801" s="2">
        <v>0.19</v>
      </c>
      <c r="AM801" s="3">
        <v>2.79</v>
      </c>
      <c r="AN801" s="3">
        <v>6.3E-2</v>
      </c>
      <c r="AO801" s="1" t="s">
        <v>49</v>
      </c>
      <c r="AP801" s="6">
        <v>0</v>
      </c>
      <c r="AQ801" s="6" t="s">
        <v>49</v>
      </c>
      <c r="AR801" s="6" t="s">
        <v>49</v>
      </c>
      <c r="AS801" s="1">
        <v>1.0999999999999999E-2</v>
      </c>
      <c r="AT801" s="4">
        <f>AS801/(AM801^2)*100</f>
        <v>0.14131370357523668</v>
      </c>
      <c r="AU801" s="5">
        <v>0</v>
      </c>
      <c r="AV801" s="4">
        <f>AT801*(1-AL801)/AL801</f>
        <v>0.60244263103127216</v>
      </c>
      <c r="AW801" s="40" t="s">
        <v>329</v>
      </c>
      <c r="BE801" s="6">
        <v>0.15416040390025823</v>
      </c>
    </row>
    <row r="802" spans="1:57" ht="15" customHeight="1">
      <c r="A802" s="1">
        <v>3</v>
      </c>
      <c r="B802" s="1" t="s">
        <v>38</v>
      </c>
      <c r="C802" s="1" t="s">
        <v>38</v>
      </c>
      <c r="D802" s="3" t="s">
        <v>301</v>
      </c>
      <c r="E802" s="3" t="s">
        <v>719</v>
      </c>
      <c r="F802" s="3">
        <v>2003</v>
      </c>
      <c r="G802" s="3" t="s">
        <v>303</v>
      </c>
      <c r="H802" s="3" t="s">
        <v>304</v>
      </c>
      <c r="I802" s="3" t="s">
        <v>305</v>
      </c>
      <c r="J802" s="3" t="s">
        <v>306</v>
      </c>
      <c r="K802" s="3" t="s">
        <v>307</v>
      </c>
      <c r="L802" s="3" t="s">
        <v>46</v>
      </c>
      <c r="M802" s="1" t="s">
        <v>12</v>
      </c>
      <c r="N802" s="1" t="s">
        <v>76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77</v>
      </c>
      <c r="T802" s="1" t="s">
        <v>308</v>
      </c>
      <c r="U802" s="1" t="s">
        <v>309</v>
      </c>
      <c r="V802" s="3" t="s">
        <v>310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185</v>
      </c>
      <c r="AC802" s="1" t="s">
        <v>322</v>
      </c>
      <c r="AD802" s="1" t="s">
        <v>323</v>
      </c>
      <c r="AE802" s="1" t="s">
        <v>323</v>
      </c>
      <c r="AF802" s="1" t="s">
        <v>60</v>
      </c>
      <c r="AG802" s="1" t="s">
        <v>61</v>
      </c>
      <c r="AH802" s="1" t="s">
        <v>152</v>
      </c>
      <c r="AI802" s="1" t="s">
        <v>55</v>
      </c>
      <c r="AJ802" s="1">
        <v>84</v>
      </c>
      <c r="AK802" s="1">
        <v>1046</v>
      </c>
      <c r="AL802" s="2">
        <v>0.08</v>
      </c>
      <c r="AM802" s="3">
        <v>6.61</v>
      </c>
      <c r="AN802" s="3">
        <v>0.57699999999999996</v>
      </c>
      <c r="AO802" s="1" t="s">
        <v>49</v>
      </c>
      <c r="AP802" s="6">
        <v>0</v>
      </c>
      <c r="AQ802" s="6" t="s">
        <v>49</v>
      </c>
      <c r="AR802" s="6" t="s">
        <v>49</v>
      </c>
      <c r="AS802" s="1">
        <v>0.17</v>
      </c>
      <c r="AT802" s="4">
        <f>AS802/(AM802^2)*100</f>
        <v>0.38908635657246965</v>
      </c>
      <c r="AU802" s="5">
        <v>0</v>
      </c>
      <c r="AV802" s="4">
        <f>AT802*(1-AL802)/AL802</f>
        <v>4.474493100583401</v>
      </c>
      <c r="AW802" s="40" t="s">
        <v>329</v>
      </c>
      <c r="BE802" s="6">
        <v>0.10528219060196235</v>
      </c>
    </row>
    <row r="803" spans="1:57" ht="15" customHeight="1">
      <c r="A803" s="6">
        <v>3</v>
      </c>
      <c r="B803" s="6" t="s">
        <v>38</v>
      </c>
      <c r="C803" s="1" t="s">
        <v>38</v>
      </c>
      <c r="D803" s="3" t="s">
        <v>301</v>
      </c>
      <c r="E803" s="3" t="s">
        <v>719</v>
      </c>
      <c r="F803" s="3">
        <v>2003</v>
      </c>
      <c r="G803" s="3" t="s">
        <v>303</v>
      </c>
      <c r="H803" s="3" t="s">
        <v>304</v>
      </c>
      <c r="I803" s="3" t="s">
        <v>305</v>
      </c>
      <c r="J803" s="3" t="s">
        <v>306</v>
      </c>
      <c r="K803" s="3" t="s">
        <v>307</v>
      </c>
      <c r="L803" s="3" t="s">
        <v>46</v>
      </c>
      <c r="M803" s="1" t="s">
        <v>12</v>
      </c>
      <c r="N803" s="1" t="s">
        <v>76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77</v>
      </c>
      <c r="T803" s="1" t="s">
        <v>308</v>
      </c>
      <c r="U803" s="1" t="s">
        <v>309</v>
      </c>
      <c r="V803" s="3" t="s">
        <v>310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185</v>
      </c>
      <c r="AC803" s="1" t="s">
        <v>322</v>
      </c>
      <c r="AD803" s="1" t="s">
        <v>324</v>
      </c>
      <c r="AE803" s="1" t="s">
        <v>324</v>
      </c>
      <c r="AF803" s="1" t="s">
        <v>60</v>
      </c>
      <c r="AG803" s="1" t="s">
        <v>61</v>
      </c>
      <c r="AH803" s="1" t="s">
        <v>152</v>
      </c>
      <c r="AI803" s="1" t="s">
        <v>55</v>
      </c>
      <c r="AJ803" s="1">
        <v>84</v>
      </c>
      <c r="AK803" s="1">
        <v>1046</v>
      </c>
      <c r="AL803" s="2">
        <v>0.11</v>
      </c>
      <c r="AM803" s="3">
        <v>2.92</v>
      </c>
      <c r="AN803" s="3">
        <v>0.23499999999999999</v>
      </c>
      <c r="AO803" s="1" t="s">
        <v>49</v>
      </c>
      <c r="AP803" s="6">
        <v>0</v>
      </c>
      <c r="AQ803" s="6" t="s">
        <v>49</v>
      </c>
      <c r="AR803" s="6" t="s">
        <v>49</v>
      </c>
      <c r="AS803" s="1">
        <v>0.09</v>
      </c>
      <c r="AT803" s="4">
        <f>AS803/(AM803^2)*100</f>
        <v>1.0555451304184651</v>
      </c>
      <c r="AU803" s="5">
        <v>0</v>
      </c>
      <c r="AV803" s="4">
        <f>AT803*(1-AL803)/AL803</f>
        <v>8.5403196915675803</v>
      </c>
      <c r="AW803" s="40" t="s">
        <v>329</v>
      </c>
      <c r="BE803" s="6">
        <v>0.30493525989866771</v>
      </c>
    </row>
    <row r="804" spans="1:57" ht="15" customHeight="1">
      <c r="A804" s="1">
        <v>3</v>
      </c>
      <c r="B804" s="1" t="s">
        <v>38</v>
      </c>
      <c r="C804" s="1" t="s">
        <v>38</v>
      </c>
      <c r="D804" s="3" t="s">
        <v>301</v>
      </c>
      <c r="E804" s="3" t="s">
        <v>719</v>
      </c>
      <c r="F804" s="3">
        <v>2003</v>
      </c>
      <c r="G804" s="3" t="s">
        <v>303</v>
      </c>
      <c r="H804" s="3" t="s">
        <v>304</v>
      </c>
      <c r="I804" s="3" t="s">
        <v>305</v>
      </c>
      <c r="J804" s="3" t="s">
        <v>306</v>
      </c>
      <c r="K804" s="3" t="s">
        <v>307</v>
      </c>
      <c r="L804" s="3" t="s">
        <v>46</v>
      </c>
      <c r="M804" s="1" t="s">
        <v>12</v>
      </c>
      <c r="N804" s="1" t="s">
        <v>76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77</v>
      </c>
      <c r="T804" s="1" t="s">
        <v>308</v>
      </c>
      <c r="U804" s="1" t="s">
        <v>309</v>
      </c>
      <c r="V804" s="3" t="s">
        <v>310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185</v>
      </c>
      <c r="AC804" s="1" t="s">
        <v>322</v>
      </c>
      <c r="AD804" s="1" t="s">
        <v>325</v>
      </c>
      <c r="AE804" s="1" t="s">
        <v>325</v>
      </c>
      <c r="AF804" s="1" t="s">
        <v>60</v>
      </c>
      <c r="AG804" s="1" t="s">
        <v>61</v>
      </c>
      <c r="AH804" s="1" t="s">
        <v>152</v>
      </c>
      <c r="AI804" s="1" t="s">
        <v>55</v>
      </c>
      <c r="AJ804" s="1">
        <v>84</v>
      </c>
      <c r="AK804" s="1">
        <v>1046</v>
      </c>
      <c r="AL804" s="2">
        <v>0.45</v>
      </c>
      <c r="AM804" s="3">
        <v>2.96</v>
      </c>
      <c r="AN804" s="3">
        <v>6.7000000000000004E-2</v>
      </c>
      <c r="AO804" s="1" t="s">
        <v>49</v>
      </c>
      <c r="AP804" s="6">
        <v>0</v>
      </c>
      <c r="AQ804" s="6" t="s">
        <v>49</v>
      </c>
      <c r="AR804" s="6" t="s">
        <v>49</v>
      </c>
      <c r="AS804" s="1">
        <v>2.9000000000000001E-2</v>
      </c>
      <c r="AT804" s="4">
        <f>AS804/(AM804^2)*100</f>
        <v>0.33098977355734116</v>
      </c>
      <c r="AU804" s="5">
        <v>0</v>
      </c>
      <c r="AV804" s="4">
        <f>AT804*(1-AL804)/AL804</f>
        <v>0.40454305657008366</v>
      </c>
      <c r="AW804" s="40" t="s">
        <v>329</v>
      </c>
      <c r="BE804" s="6">
        <v>0.34240321402483564</v>
      </c>
    </row>
    <row r="805" spans="1:57" ht="15" customHeight="1">
      <c r="A805" s="1">
        <v>3</v>
      </c>
      <c r="B805" s="1" t="s">
        <v>38</v>
      </c>
      <c r="C805" s="1" t="s">
        <v>38</v>
      </c>
      <c r="D805" s="3" t="s">
        <v>301</v>
      </c>
      <c r="E805" s="3" t="s">
        <v>719</v>
      </c>
      <c r="F805" s="3">
        <v>2003</v>
      </c>
      <c r="G805" s="3" t="s">
        <v>303</v>
      </c>
      <c r="H805" s="3" t="s">
        <v>304</v>
      </c>
      <c r="I805" s="3" t="s">
        <v>305</v>
      </c>
      <c r="J805" s="3" t="s">
        <v>306</v>
      </c>
      <c r="K805" s="3" t="s">
        <v>307</v>
      </c>
      <c r="L805" s="3" t="s">
        <v>46</v>
      </c>
      <c r="M805" s="1" t="s">
        <v>12</v>
      </c>
      <c r="N805" s="1" t="s">
        <v>76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77</v>
      </c>
      <c r="T805" s="1" t="s">
        <v>308</v>
      </c>
      <c r="U805" s="1" t="s">
        <v>309</v>
      </c>
      <c r="V805" s="3" t="s">
        <v>310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185</v>
      </c>
      <c r="AC805" s="1" t="s">
        <v>322</v>
      </c>
      <c r="AD805" s="1" t="s">
        <v>326</v>
      </c>
      <c r="AE805" s="1" t="s">
        <v>326</v>
      </c>
      <c r="AF805" s="1" t="s">
        <v>53</v>
      </c>
      <c r="AG805" s="1" t="s">
        <v>53</v>
      </c>
      <c r="AH805" s="1" t="s">
        <v>152</v>
      </c>
      <c r="AI805" s="1" t="s">
        <v>55</v>
      </c>
      <c r="AJ805" s="1">
        <v>84</v>
      </c>
      <c r="AK805" s="1">
        <v>1046</v>
      </c>
      <c r="AL805" s="2">
        <v>0.32</v>
      </c>
      <c r="AM805" s="3">
        <v>21.22</v>
      </c>
      <c r="AN805" s="3">
        <v>20.68</v>
      </c>
      <c r="AO805" s="1" t="s">
        <v>49</v>
      </c>
      <c r="AP805" s="6">
        <v>0</v>
      </c>
      <c r="AQ805" s="6" t="s">
        <v>49</v>
      </c>
      <c r="AR805" s="6" t="s">
        <v>49</v>
      </c>
      <c r="AS805" s="1">
        <v>5.36</v>
      </c>
      <c r="AT805" s="4">
        <f>AS805/(AM805^2)*100</f>
        <v>1.1903482301564954</v>
      </c>
      <c r="AU805" s="5">
        <v>0</v>
      </c>
      <c r="AV805" s="4">
        <f>AT805*(1-AL805)/AL805</f>
        <v>2.5294899890825522</v>
      </c>
      <c r="AW805" s="40" t="s">
        <v>329</v>
      </c>
      <c r="BE805" s="6">
        <v>1.4612857004533095</v>
      </c>
    </row>
    <row r="806" spans="1:57" ht="15" customHeight="1">
      <c r="A806" s="6">
        <v>3</v>
      </c>
      <c r="B806" s="6" t="s">
        <v>38</v>
      </c>
      <c r="C806" s="1" t="s">
        <v>38</v>
      </c>
      <c r="D806" s="3" t="s">
        <v>301</v>
      </c>
      <c r="E806" s="3" t="s">
        <v>719</v>
      </c>
      <c r="F806" s="3">
        <v>2003</v>
      </c>
      <c r="G806" s="3" t="s">
        <v>303</v>
      </c>
      <c r="H806" s="3" t="s">
        <v>304</v>
      </c>
      <c r="I806" s="3" t="s">
        <v>305</v>
      </c>
      <c r="J806" s="3" t="s">
        <v>306</v>
      </c>
      <c r="K806" s="3" t="s">
        <v>307</v>
      </c>
      <c r="L806" s="3" t="s">
        <v>46</v>
      </c>
      <c r="M806" s="1" t="s">
        <v>12</v>
      </c>
      <c r="N806" s="1" t="s">
        <v>76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77</v>
      </c>
      <c r="T806" s="1" t="s">
        <v>308</v>
      </c>
      <c r="U806" s="1" t="s">
        <v>309</v>
      </c>
      <c r="V806" s="3" t="s">
        <v>310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185</v>
      </c>
      <c r="AC806" s="1" t="s">
        <v>322</v>
      </c>
      <c r="AD806" s="1" t="s">
        <v>327</v>
      </c>
      <c r="AE806" s="1" t="s">
        <v>327</v>
      </c>
      <c r="AF806" s="1" t="s">
        <v>60</v>
      </c>
      <c r="AG806" s="1" t="s">
        <v>129</v>
      </c>
      <c r="AH806" s="1" t="s">
        <v>152</v>
      </c>
      <c r="AI806" s="1" t="s">
        <v>55</v>
      </c>
      <c r="AJ806" s="1">
        <v>84</v>
      </c>
      <c r="AK806" s="1">
        <v>1046</v>
      </c>
      <c r="AL806" s="2">
        <v>0.1</v>
      </c>
      <c r="AM806" s="3">
        <v>19.559999999999999</v>
      </c>
      <c r="AN806" s="3">
        <v>27.17</v>
      </c>
      <c r="AO806" s="1" t="s">
        <v>49</v>
      </c>
      <c r="AP806" s="6">
        <v>0</v>
      </c>
      <c r="AQ806" s="6" t="s">
        <v>49</v>
      </c>
      <c r="AR806" s="6" t="s">
        <v>49</v>
      </c>
      <c r="AS806" s="1">
        <v>9.42</v>
      </c>
      <c r="AT806" s="4">
        <f>AS806/(AM806^2)*100</f>
        <v>2.4621425972624742</v>
      </c>
      <c r="AU806" s="5">
        <v>0</v>
      </c>
      <c r="AV806" s="4">
        <f>AT806*(1-AL806)/AL806</f>
        <v>22.159283375362268</v>
      </c>
      <c r="AW806" s="40" t="s">
        <v>329</v>
      </c>
      <c r="BE806" s="6">
        <v>0.71616461958590028</v>
      </c>
    </row>
    <row r="807" spans="1:57" ht="15" customHeight="1">
      <c r="A807" s="1">
        <v>3</v>
      </c>
      <c r="B807" s="1" t="s">
        <v>38</v>
      </c>
      <c r="C807" s="1" t="s">
        <v>38</v>
      </c>
      <c r="D807" s="3" t="s">
        <v>301</v>
      </c>
      <c r="E807" s="3" t="s">
        <v>719</v>
      </c>
      <c r="F807" s="3">
        <v>2003</v>
      </c>
      <c r="G807" s="3" t="s">
        <v>303</v>
      </c>
      <c r="H807" s="3" t="s">
        <v>304</v>
      </c>
      <c r="I807" s="3" t="s">
        <v>305</v>
      </c>
      <c r="J807" s="3" t="s">
        <v>306</v>
      </c>
      <c r="K807" s="3" t="s">
        <v>307</v>
      </c>
      <c r="L807" s="3" t="s">
        <v>46</v>
      </c>
      <c r="M807" s="1" t="s">
        <v>12</v>
      </c>
      <c r="N807" s="1" t="s">
        <v>76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77</v>
      </c>
      <c r="T807" s="1" t="s">
        <v>308</v>
      </c>
      <c r="U807" s="1" t="s">
        <v>309</v>
      </c>
      <c r="V807" s="3" t="s">
        <v>310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237</v>
      </c>
      <c r="AC807" s="1" t="s">
        <v>237</v>
      </c>
      <c r="AD807" s="1" t="s">
        <v>238</v>
      </c>
      <c r="AE807" s="1" t="s">
        <v>238</v>
      </c>
      <c r="AF807" s="1" t="s">
        <v>60</v>
      </c>
      <c r="AG807" s="1" t="s">
        <v>61</v>
      </c>
      <c r="AH807" s="1" t="s">
        <v>152</v>
      </c>
      <c r="AI807" s="1" t="s">
        <v>55</v>
      </c>
      <c r="AJ807" s="1">
        <v>84</v>
      </c>
      <c r="AK807" s="1">
        <v>1046</v>
      </c>
      <c r="AL807" s="2">
        <v>0.24</v>
      </c>
      <c r="AM807" s="3">
        <v>3.16</v>
      </c>
      <c r="AN807" s="3">
        <v>0.40200000000000002</v>
      </c>
      <c r="AO807" s="1" t="s">
        <v>49</v>
      </c>
      <c r="AP807" s="6">
        <v>0</v>
      </c>
      <c r="AQ807" s="6" t="s">
        <v>49</v>
      </c>
      <c r="AR807" s="6" t="s">
        <v>49</v>
      </c>
      <c r="AS807" s="1">
        <v>9.8000000000000004E-2</v>
      </c>
      <c r="AT807" s="4">
        <f>AS807/(AM807^2)*100</f>
        <v>0.98141323505848399</v>
      </c>
      <c r="AU807" s="5">
        <v>0</v>
      </c>
      <c r="AV807" s="4">
        <f>AT807*(1-AL807)/AL807</f>
        <v>3.1078085776851996</v>
      </c>
      <c r="AW807" s="40" t="s">
        <v>329</v>
      </c>
      <c r="BE807" s="6">
        <v>0.98141323505848399</v>
      </c>
    </row>
    <row r="808" spans="1:57" ht="15" customHeight="1">
      <c r="A808" s="1">
        <v>3</v>
      </c>
      <c r="B808" s="1" t="s">
        <v>38</v>
      </c>
      <c r="C808" s="1" t="s">
        <v>38</v>
      </c>
      <c r="D808" s="3" t="s">
        <v>301</v>
      </c>
      <c r="E808" s="3" t="s">
        <v>719</v>
      </c>
      <c r="F808" s="3">
        <v>2003</v>
      </c>
      <c r="G808" s="3" t="s">
        <v>303</v>
      </c>
      <c r="H808" s="3" t="s">
        <v>304</v>
      </c>
      <c r="I808" s="3" t="s">
        <v>305</v>
      </c>
      <c r="J808" s="3" t="s">
        <v>306</v>
      </c>
      <c r="K808" s="3" t="s">
        <v>307</v>
      </c>
      <c r="L808" s="3" t="s">
        <v>46</v>
      </c>
      <c r="M808" s="1" t="s">
        <v>12</v>
      </c>
      <c r="N808" s="1" t="s">
        <v>76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77</v>
      </c>
      <c r="T808" s="1" t="s">
        <v>308</v>
      </c>
      <c r="U808" s="1" t="s">
        <v>309</v>
      </c>
      <c r="V808" s="3" t="s">
        <v>310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57</v>
      </c>
      <c r="AC808" s="1" t="s">
        <v>58</v>
      </c>
      <c r="AD808" s="1" t="s">
        <v>85</v>
      </c>
      <c r="AE808" s="1" t="s">
        <v>85</v>
      </c>
      <c r="AF808" s="1" t="s">
        <v>60</v>
      </c>
      <c r="AG808" s="1" t="s">
        <v>61</v>
      </c>
      <c r="AH808" s="1" t="s">
        <v>152</v>
      </c>
      <c r="AI808" s="1" t="s">
        <v>55</v>
      </c>
      <c r="AJ808" s="1">
        <v>84</v>
      </c>
      <c r="AK808" s="1">
        <v>1046</v>
      </c>
      <c r="AL808" s="2">
        <v>0.28000000000000003</v>
      </c>
      <c r="AM808" s="3">
        <v>6.27</v>
      </c>
      <c r="AN808" s="3">
        <v>0.68300000000000005</v>
      </c>
      <c r="AO808" s="1" t="s">
        <v>49</v>
      </c>
      <c r="AP808" s="6">
        <v>0</v>
      </c>
      <c r="AQ808" s="6" t="s">
        <v>49</v>
      </c>
      <c r="AR808" s="6" t="s">
        <v>49</v>
      </c>
      <c r="AS808" s="1">
        <v>8.2000000000000003E-2</v>
      </c>
      <c r="AT808" s="4">
        <f>AS808/(AM808^2)*100</f>
        <v>0.20858293333740327</v>
      </c>
      <c r="AU808" s="5">
        <v>0</v>
      </c>
      <c r="AV808" s="4">
        <f>AT808*(1-AL808)/AL808</f>
        <v>0.5363561142961798</v>
      </c>
      <c r="AW808" s="40" t="s">
        <v>329</v>
      </c>
      <c r="BE808" s="6">
        <v>0.48330191870861738</v>
      </c>
    </row>
    <row r="809" spans="1:57" ht="15" customHeight="1">
      <c r="A809" s="6">
        <v>3</v>
      </c>
      <c r="B809" s="6" t="s">
        <v>38</v>
      </c>
      <c r="C809" s="1" t="s">
        <v>38</v>
      </c>
      <c r="D809" s="3" t="s">
        <v>301</v>
      </c>
      <c r="E809" s="3" t="s">
        <v>719</v>
      </c>
      <c r="F809" s="3">
        <v>2003</v>
      </c>
      <c r="G809" s="3" t="s">
        <v>303</v>
      </c>
      <c r="H809" s="3" t="s">
        <v>304</v>
      </c>
      <c r="I809" s="3" t="s">
        <v>305</v>
      </c>
      <c r="J809" s="3" t="s">
        <v>306</v>
      </c>
      <c r="K809" s="3" t="s">
        <v>307</v>
      </c>
      <c r="L809" s="3" t="s">
        <v>46</v>
      </c>
      <c r="M809" s="1" t="s">
        <v>12</v>
      </c>
      <c r="N809" s="1" t="s">
        <v>76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77</v>
      </c>
      <c r="T809" s="1" t="s">
        <v>308</v>
      </c>
      <c r="U809" s="1" t="s">
        <v>309</v>
      </c>
      <c r="V809" s="3" t="s">
        <v>310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58</v>
      </c>
      <c r="AC809" s="1" t="s">
        <v>311</v>
      </c>
      <c r="AD809" s="1" t="s">
        <v>312</v>
      </c>
      <c r="AE809" s="1" t="s">
        <v>312</v>
      </c>
      <c r="AF809" s="1" t="s">
        <v>60</v>
      </c>
      <c r="AG809" s="1" t="s">
        <v>61</v>
      </c>
      <c r="AH809" s="1" t="s">
        <v>152</v>
      </c>
      <c r="AI809" s="1" t="s">
        <v>55</v>
      </c>
      <c r="AJ809" s="1">
        <v>84</v>
      </c>
      <c r="AK809" s="1">
        <v>1046</v>
      </c>
      <c r="AL809" s="2">
        <v>0.2</v>
      </c>
      <c r="AM809" s="3">
        <v>1.35</v>
      </c>
      <c r="AN809" s="3">
        <v>3.1E-2</v>
      </c>
      <c r="AO809" s="1" t="s">
        <v>49</v>
      </c>
      <c r="AP809" s="6">
        <v>0</v>
      </c>
      <c r="AQ809" s="6" t="s">
        <v>49</v>
      </c>
      <c r="AR809" s="6" t="s">
        <v>49</v>
      </c>
      <c r="AS809" s="1">
        <v>7.0000000000000001E-3</v>
      </c>
      <c r="AT809" s="4">
        <f>AS809/(AM809^2)*100</f>
        <v>0.38408779149519889</v>
      </c>
      <c r="AU809" s="5">
        <v>0</v>
      </c>
      <c r="AV809" s="4">
        <f>AT809*(1-AL809)/AL809</f>
        <v>1.5363511659807956</v>
      </c>
      <c r="AW809" s="40" t="s">
        <v>329</v>
      </c>
      <c r="BE809" s="6">
        <v>0.32921810699588472</v>
      </c>
    </row>
    <row r="810" spans="1:57" ht="14.4" customHeight="1">
      <c r="A810" s="6">
        <v>3</v>
      </c>
      <c r="B810" s="6" t="s">
        <v>38</v>
      </c>
      <c r="C810" s="1" t="s">
        <v>38</v>
      </c>
      <c r="D810" s="3" t="s">
        <v>301</v>
      </c>
      <c r="E810" s="3" t="s">
        <v>719</v>
      </c>
      <c r="F810" s="3">
        <v>2003</v>
      </c>
      <c r="G810" s="3" t="s">
        <v>303</v>
      </c>
      <c r="H810" s="3" t="s">
        <v>304</v>
      </c>
      <c r="I810" s="3" t="s">
        <v>305</v>
      </c>
      <c r="J810" s="3" t="s">
        <v>306</v>
      </c>
      <c r="K810" s="3" t="s">
        <v>307</v>
      </c>
      <c r="L810" s="3" t="s">
        <v>46</v>
      </c>
      <c r="M810" s="1" t="s">
        <v>12</v>
      </c>
      <c r="N810" s="1" t="s">
        <v>76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77</v>
      </c>
      <c r="T810" s="1" t="s">
        <v>308</v>
      </c>
      <c r="U810" s="1" t="s">
        <v>309</v>
      </c>
      <c r="V810" s="3" t="s">
        <v>310</v>
      </c>
      <c r="W810" s="3">
        <v>20.216670000000001</v>
      </c>
      <c r="X810" s="3">
        <v>-87.433333000000005</v>
      </c>
      <c r="Y810" s="1" t="s">
        <v>48</v>
      </c>
      <c r="Z810" s="6" t="s">
        <v>49</v>
      </c>
      <c r="AA810" s="6" t="s">
        <v>49</v>
      </c>
      <c r="AB810" s="6" t="s">
        <v>49</v>
      </c>
      <c r="AC810" s="6" t="s">
        <v>49</v>
      </c>
      <c r="AD810" s="6" t="s">
        <v>316</v>
      </c>
      <c r="AE810" s="6" t="s">
        <v>317</v>
      </c>
      <c r="AF810" s="6" t="s">
        <v>49</v>
      </c>
      <c r="AG810" s="6" t="s">
        <v>49</v>
      </c>
      <c r="AH810" s="1" t="s">
        <v>152</v>
      </c>
      <c r="AI810" s="1" t="s">
        <v>55</v>
      </c>
      <c r="AJ810" s="6" t="s">
        <v>49</v>
      </c>
      <c r="AK810" s="6" t="s">
        <v>49</v>
      </c>
      <c r="AL810" s="6" t="s">
        <v>49</v>
      </c>
      <c r="AM810" s="6" t="s">
        <v>49</v>
      </c>
      <c r="AN810" s="6" t="s">
        <v>49</v>
      </c>
      <c r="AO810" s="6" t="s">
        <v>49</v>
      </c>
      <c r="AP810" s="6">
        <v>0</v>
      </c>
      <c r="AQ810" s="6" t="s">
        <v>49</v>
      </c>
      <c r="AR810" s="6" t="s">
        <v>49</v>
      </c>
      <c r="AS810" s="6">
        <v>1.25</v>
      </c>
      <c r="AT810" s="6" t="s">
        <v>49</v>
      </c>
      <c r="AU810" s="6" t="s">
        <v>49</v>
      </c>
      <c r="AV810" s="6" t="s">
        <v>49</v>
      </c>
      <c r="AW810" s="30" t="s">
        <v>49</v>
      </c>
    </row>
    <row r="811" spans="1:57" ht="14.4" customHeight="1">
      <c r="A811" s="6">
        <v>3</v>
      </c>
      <c r="B811" s="6" t="s">
        <v>38</v>
      </c>
      <c r="C811" s="1" t="s">
        <v>38</v>
      </c>
      <c r="D811" s="3" t="s">
        <v>301</v>
      </c>
      <c r="E811" s="3" t="s">
        <v>719</v>
      </c>
      <c r="F811" s="3">
        <v>2003</v>
      </c>
      <c r="G811" s="3" t="s">
        <v>303</v>
      </c>
      <c r="H811" s="3" t="s">
        <v>304</v>
      </c>
      <c r="I811" s="3" t="s">
        <v>305</v>
      </c>
      <c r="J811" s="3" t="s">
        <v>306</v>
      </c>
      <c r="K811" s="3" t="s">
        <v>307</v>
      </c>
      <c r="L811" s="3" t="s">
        <v>46</v>
      </c>
      <c r="M811" s="1" t="s">
        <v>12</v>
      </c>
      <c r="N811" s="1" t="s">
        <v>76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77</v>
      </c>
      <c r="T811" s="1" t="s">
        <v>308</v>
      </c>
      <c r="U811" s="1" t="s">
        <v>309</v>
      </c>
      <c r="V811" s="3" t="s">
        <v>310</v>
      </c>
      <c r="W811" s="3">
        <v>20.216670000000001</v>
      </c>
      <c r="X811" s="3">
        <v>-87.433333000000005</v>
      </c>
      <c r="Y811" s="1" t="s">
        <v>48</v>
      </c>
      <c r="Z811" s="6" t="s">
        <v>49</v>
      </c>
      <c r="AA811" s="6" t="s">
        <v>49</v>
      </c>
      <c r="AB811" s="6" t="s">
        <v>49</v>
      </c>
      <c r="AC811" s="6" t="s">
        <v>49</v>
      </c>
      <c r="AD811" s="6" t="s">
        <v>316</v>
      </c>
      <c r="AE811" s="6" t="s">
        <v>318</v>
      </c>
      <c r="AF811" s="6" t="s">
        <v>49</v>
      </c>
      <c r="AG811" s="6" t="s">
        <v>49</v>
      </c>
      <c r="AH811" s="1" t="s">
        <v>152</v>
      </c>
      <c r="AI811" s="1" t="s">
        <v>55</v>
      </c>
      <c r="AJ811" s="6" t="s">
        <v>49</v>
      </c>
      <c r="AK811" s="6" t="s">
        <v>49</v>
      </c>
      <c r="AL811" s="6" t="s">
        <v>49</v>
      </c>
      <c r="AM811" s="6" t="s">
        <v>49</v>
      </c>
      <c r="AN811" s="6" t="s">
        <v>49</v>
      </c>
      <c r="AO811" s="6" t="s">
        <v>49</v>
      </c>
      <c r="AP811" s="6">
        <v>0</v>
      </c>
      <c r="AQ811" s="6" t="s">
        <v>49</v>
      </c>
      <c r="AR811" s="6" t="s">
        <v>49</v>
      </c>
      <c r="AS811" s="6">
        <v>1.68</v>
      </c>
      <c r="AT811" s="6" t="s">
        <v>49</v>
      </c>
      <c r="AU811" s="6" t="s">
        <v>49</v>
      </c>
      <c r="AV811" s="6" t="s">
        <v>49</v>
      </c>
      <c r="AW811" s="30" t="s">
        <v>49</v>
      </c>
    </row>
    <row r="812" spans="1:57" ht="14.4" customHeight="1">
      <c r="A812" s="6">
        <v>3</v>
      </c>
      <c r="B812" s="6" t="s">
        <v>38</v>
      </c>
      <c r="C812" s="1" t="s">
        <v>38</v>
      </c>
      <c r="D812" s="3" t="s">
        <v>301</v>
      </c>
      <c r="E812" s="3" t="s">
        <v>719</v>
      </c>
      <c r="F812" s="3">
        <v>2003</v>
      </c>
      <c r="G812" s="3" t="s">
        <v>303</v>
      </c>
      <c r="H812" s="3" t="s">
        <v>304</v>
      </c>
      <c r="I812" s="3" t="s">
        <v>305</v>
      </c>
      <c r="J812" s="3" t="s">
        <v>306</v>
      </c>
      <c r="K812" s="3" t="s">
        <v>307</v>
      </c>
      <c r="L812" s="3" t="s">
        <v>46</v>
      </c>
      <c r="M812" s="1" t="s">
        <v>12</v>
      </c>
      <c r="N812" s="1" t="s">
        <v>76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77</v>
      </c>
      <c r="T812" s="1" t="s">
        <v>308</v>
      </c>
      <c r="U812" s="1" t="s">
        <v>309</v>
      </c>
      <c r="V812" s="3" t="s">
        <v>310</v>
      </c>
      <c r="W812" s="3">
        <v>20.216670000000001</v>
      </c>
      <c r="X812" s="3">
        <v>-87.433333000000005</v>
      </c>
      <c r="Y812" s="1" t="s">
        <v>48</v>
      </c>
      <c r="Z812" s="6" t="s">
        <v>49</v>
      </c>
      <c r="AA812" s="6" t="s">
        <v>49</v>
      </c>
      <c r="AB812" s="6" t="s">
        <v>49</v>
      </c>
      <c r="AC812" s="6" t="s">
        <v>49</v>
      </c>
      <c r="AD812" s="6" t="s">
        <v>316</v>
      </c>
      <c r="AE812" s="6" t="s">
        <v>321</v>
      </c>
      <c r="AF812" s="6" t="s">
        <v>49</v>
      </c>
      <c r="AG812" s="6" t="s">
        <v>49</v>
      </c>
      <c r="AH812" s="1" t="s">
        <v>152</v>
      </c>
      <c r="AI812" s="1" t="s">
        <v>55</v>
      </c>
      <c r="AJ812" s="6" t="s">
        <v>49</v>
      </c>
      <c r="AK812" s="6" t="s">
        <v>49</v>
      </c>
      <c r="AL812" s="6" t="s">
        <v>49</v>
      </c>
      <c r="AM812" s="6" t="s">
        <v>49</v>
      </c>
      <c r="AN812" s="6" t="s">
        <v>49</v>
      </c>
      <c r="AO812" s="6" t="s">
        <v>49</v>
      </c>
      <c r="AP812" s="6">
        <v>0</v>
      </c>
      <c r="AQ812" s="6" t="s">
        <v>49</v>
      </c>
      <c r="AR812" s="6" t="s">
        <v>49</v>
      </c>
      <c r="AS812" s="6">
        <v>1.36</v>
      </c>
      <c r="AT812" s="6" t="s">
        <v>49</v>
      </c>
      <c r="AU812" s="6" t="s">
        <v>49</v>
      </c>
      <c r="AV812" s="6" t="s">
        <v>49</v>
      </c>
      <c r="AW812" s="30" t="s">
        <v>49</v>
      </c>
    </row>
    <row r="813" spans="1:57" ht="14.4" customHeight="1">
      <c r="A813" s="6">
        <v>3</v>
      </c>
      <c r="B813" s="6" t="s">
        <v>38</v>
      </c>
      <c r="C813" s="1" t="s">
        <v>38</v>
      </c>
      <c r="D813" s="3" t="s">
        <v>301</v>
      </c>
      <c r="E813" s="3" t="s">
        <v>719</v>
      </c>
      <c r="F813" s="3">
        <v>2003</v>
      </c>
      <c r="G813" s="3" t="s">
        <v>303</v>
      </c>
      <c r="H813" s="3" t="s">
        <v>304</v>
      </c>
      <c r="I813" s="3" t="s">
        <v>305</v>
      </c>
      <c r="J813" s="3" t="s">
        <v>306</v>
      </c>
      <c r="K813" s="3" t="s">
        <v>307</v>
      </c>
      <c r="L813" s="3" t="s">
        <v>46</v>
      </c>
      <c r="M813" s="1" t="s">
        <v>12</v>
      </c>
      <c r="N813" s="1" t="s">
        <v>76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77</v>
      </c>
      <c r="T813" s="1" t="s">
        <v>308</v>
      </c>
      <c r="U813" s="1" t="s">
        <v>309</v>
      </c>
      <c r="V813" s="3" t="s">
        <v>310</v>
      </c>
      <c r="W813" s="3">
        <v>20.216670000000001</v>
      </c>
      <c r="X813" s="3">
        <v>-87.433333000000005</v>
      </c>
      <c r="Y813" s="1" t="s">
        <v>48</v>
      </c>
      <c r="Z813" s="6" t="s">
        <v>49</v>
      </c>
      <c r="AA813" s="6" t="s">
        <v>49</v>
      </c>
      <c r="AB813" s="6" t="s">
        <v>49</v>
      </c>
      <c r="AC813" s="6" t="s">
        <v>49</v>
      </c>
      <c r="AD813" s="6" t="s">
        <v>316</v>
      </c>
      <c r="AE813" s="6" t="s">
        <v>314</v>
      </c>
      <c r="AF813" s="6" t="s">
        <v>49</v>
      </c>
      <c r="AG813" s="6" t="s">
        <v>49</v>
      </c>
      <c r="AH813" s="1" t="s">
        <v>152</v>
      </c>
      <c r="AI813" s="1" t="s">
        <v>55</v>
      </c>
      <c r="AJ813" s="6" t="s">
        <v>49</v>
      </c>
      <c r="AK813" s="6" t="s">
        <v>49</v>
      </c>
      <c r="AL813" s="6" t="s">
        <v>49</v>
      </c>
      <c r="AM813" s="6" t="s">
        <v>49</v>
      </c>
      <c r="AN813" s="6" t="s">
        <v>49</v>
      </c>
      <c r="AO813" s="6" t="s">
        <v>49</v>
      </c>
      <c r="AP813" s="6">
        <v>0</v>
      </c>
      <c r="AQ813" s="6" t="s">
        <v>49</v>
      </c>
      <c r="AR813" s="6" t="s">
        <v>49</v>
      </c>
      <c r="AS813" s="6">
        <v>0.19</v>
      </c>
      <c r="AT813" s="6" t="s">
        <v>49</v>
      </c>
      <c r="AU813" s="6" t="s">
        <v>49</v>
      </c>
      <c r="AV813" s="6" t="s">
        <v>49</v>
      </c>
      <c r="AW813" s="30" t="s">
        <v>49</v>
      </c>
    </row>
    <row r="814" spans="1:57" ht="14.4" customHeight="1">
      <c r="A814" s="6">
        <v>3</v>
      </c>
      <c r="B814" s="6" t="s">
        <v>38</v>
      </c>
      <c r="C814" s="1" t="s">
        <v>38</v>
      </c>
      <c r="D814" s="3" t="s">
        <v>301</v>
      </c>
      <c r="E814" s="3" t="s">
        <v>719</v>
      </c>
      <c r="F814" s="3">
        <v>2003</v>
      </c>
      <c r="G814" s="3" t="s">
        <v>303</v>
      </c>
      <c r="H814" s="3" t="s">
        <v>304</v>
      </c>
      <c r="I814" s="3" t="s">
        <v>305</v>
      </c>
      <c r="J814" s="3" t="s">
        <v>306</v>
      </c>
      <c r="K814" s="3" t="s">
        <v>307</v>
      </c>
      <c r="L814" s="3" t="s">
        <v>46</v>
      </c>
      <c r="M814" s="1" t="s">
        <v>12</v>
      </c>
      <c r="N814" s="1" t="s">
        <v>76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77</v>
      </c>
      <c r="T814" s="1" t="s">
        <v>308</v>
      </c>
      <c r="U814" s="1" t="s">
        <v>309</v>
      </c>
      <c r="V814" s="3" t="s">
        <v>310</v>
      </c>
      <c r="W814" s="3">
        <v>20.216670000000001</v>
      </c>
      <c r="X814" s="3">
        <v>-87.433333000000005</v>
      </c>
      <c r="Y814" s="1" t="s">
        <v>48</v>
      </c>
      <c r="Z814" s="6" t="s">
        <v>49</v>
      </c>
      <c r="AA814" s="6" t="s">
        <v>49</v>
      </c>
      <c r="AB814" s="6" t="s">
        <v>49</v>
      </c>
      <c r="AC814" s="6" t="s">
        <v>49</v>
      </c>
      <c r="AD814" s="6" t="s">
        <v>316</v>
      </c>
      <c r="AE814" s="6" t="s">
        <v>313</v>
      </c>
      <c r="AF814" s="6" t="s">
        <v>49</v>
      </c>
      <c r="AG814" s="6" t="s">
        <v>49</v>
      </c>
      <c r="AH814" s="1" t="s">
        <v>152</v>
      </c>
      <c r="AI814" s="1" t="s">
        <v>55</v>
      </c>
      <c r="AJ814" s="6" t="s">
        <v>49</v>
      </c>
      <c r="AK814" s="6" t="s">
        <v>49</v>
      </c>
      <c r="AL814" s="6" t="s">
        <v>49</v>
      </c>
      <c r="AM814" s="6" t="s">
        <v>49</v>
      </c>
      <c r="AN814" s="6" t="s">
        <v>49</v>
      </c>
      <c r="AO814" s="6" t="s">
        <v>49</v>
      </c>
      <c r="AP814" s="6">
        <v>0</v>
      </c>
      <c r="AQ814" s="6" t="s">
        <v>49</v>
      </c>
      <c r="AR814" s="6" t="s">
        <v>49</v>
      </c>
      <c r="AS814" s="6">
        <v>0.23</v>
      </c>
      <c r="AT814" s="6" t="s">
        <v>49</v>
      </c>
      <c r="AU814" s="6" t="s">
        <v>49</v>
      </c>
      <c r="AV814" s="6" t="s">
        <v>49</v>
      </c>
      <c r="AW814" s="30" t="s">
        <v>49</v>
      </c>
    </row>
    <row r="815" spans="1:57" ht="14.4" customHeight="1">
      <c r="A815" s="6">
        <v>3</v>
      </c>
      <c r="B815" s="6" t="s">
        <v>38</v>
      </c>
      <c r="C815" s="1" t="s">
        <v>38</v>
      </c>
      <c r="D815" s="3" t="s">
        <v>301</v>
      </c>
      <c r="E815" s="3" t="s">
        <v>719</v>
      </c>
      <c r="F815" s="3">
        <v>2003</v>
      </c>
      <c r="G815" s="3" t="s">
        <v>303</v>
      </c>
      <c r="H815" s="3" t="s">
        <v>304</v>
      </c>
      <c r="I815" s="3" t="s">
        <v>305</v>
      </c>
      <c r="J815" s="3" t="s">
        <v>306</v>
      </c>
      <c r="K815" s="3" t="s">
        <v>307</v>
      </c>
      <c r="L815" s="3" t="s">
        <v>46</v>
      </c>
      <c r="M815" s="1" t="s">
        <v>12</v>
      </c>
      <c r="N815" s="1" t="s">
        <v>76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77</v>
      </c>
      <c r="T815" s="1" t="s">
        <v>308</v>
      </c>
      <c r="U815" s="1" t="s">
        <v>309</v>
      </c>
      <c r="V815" s="3" t="s">
        <v>310</v>
      </c>
      <c r="W815" s="3">
        <v>20.216670000000001</v>
      </c>
      <c r="X815" s="3">
        <v>-87.433333000000005</v>
      </c>
      <c r="Y815" s="1" t="s">
        <v>48</v>
      </c>
      <c r="Z815" s="6" t="s">
        <v>49</v>
      </c>
      <c r="AA815" s="6" t="s">
        <v>49</v>
      </c>
      <c r="AB815" s="6" t="s">
        <v>49</v>
      </c>
      <c r="AC815" s="6" t="s">
        <v>49</v>
      </c>
      <c r="AD815" s="6" t="s">
        <v>316</v>
      </c>
      <c r="AE815" s="6" t="s">
        <v>93</v>
      </c>
      <c r="AF815" s="6" t="s">
        <v>49</v>
      </c>
      <c r="AG815" s="6" t="s">
        <v>49</v>
      </c>
      <c r="AH815" s="1" t="s">
        <v>152</v>
      </c>
      <c r="AI815" s="1" t="s">
        <v>55</v>
      </c>
      <c r="AJ815" s="6" t="s">
        <v>49</v>
      </c>
      <c r="AK815" s="6" t="s">
        <v>49</v>
      </c>
      <c r="AL815" s="6" t="s">
        <v>49</v>
      </c>
      <c r="AM815" s="6" t="s">
        <v>49</v>
      </c>
      <c r="AN815" s="6" t="s">
        <v>49</v>
      </c>
      <c r="AO815" s="6" t="s">
        <v>49</v>
      </c>
      <c r="AP815" s="6">
        <v>0</v>
      </c>
      <c r="AQ815" s="6" t="s">
        <v>49</v>
      </c>
      <c r="AR815" s="6" t="s">
        <v>49</v>
      </c>
      <c r="AS815" s="6">
        <v>0.41</v>
      </c>
      <c r="AT815" s="6" t="s">
        <v>49</v>
      </c>
      <c r="AU815" s="6" t="s">
        <v>49</v>
      </c>
      <c r="AV815" s="6" t="s">
        <v>49</v>
      </c>
      <c r="AW815" s="30" t="s">
        <v>49</v>
      </c>
    </row>
    <row r="816" spans="1:57" ht="14.4" customHeight="1">
      <c r="A816" s="6">
        <v>3</v>
      </c>
      <c r="B816" s="6" t="s">
        <v>38</v>
      </c>
      <c r="C816" s="1" t="s">
        <v>38</v>
      </c>
      <c r="D816" s="3" t="s">
        <v>301</v>
      </c>
      <c r="E816" s="3" t="s">
        <v>719</v>
      </c>
      <c r="F816" s="3">
        <v>2003</v>
      </c>
      <c r="G816" s="3" t="s">
        <v>303</v>
      </c>
      <c r="H816" s="3" t="s">
        <v>304</v>
      </c>
      <c r="I816" s="3" t="s">
        <v>305</v>
      </c>
      <c r="J816" s="3" t="s">
        <v>306</v>
      </c>
      <c r="K816" s="3" t="s">
        <v>307</v>
      </c>
      <c r="L816" s="3" t="s">
        <v>46</v>
      </c>
      <c r="M816" s="1" t="s">
        <v>12</v>
      </c>
      <c r="N816" s="1" t="s">
        <v>76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77</v>
      </c>
      <c r="T816" s="1" t="s">
        <v>308</v>
      </c>
      <c r="U816" s="1" t="s">
        <v>309</v>
      </c>
      <c r="V816" s="3" t="s">
        <v>310</v>
      </c>
      <c r="W816" s="3">
        <v>20.216670000000001</v>
      </c>
      <c r="X816" s="3">
        <v>-87.433333000000005</v>
      </c>
      <c r="Y816" s="1" t="s">
        <v>48</v>
      </c>
      <c r="Z816" s="6" t="s">
        <v>49</v>
      </c>
      <c r="AA816" s="6" t="s">
        <v>49</v>
      </c>
      <c r="AB816" s="6" t="s">
        <v>49</v>
      </c>
      <c r="AC816" s="6" t="s">
        <v>49</v>
      </c>
      <c r="AD816" s="6" t="s">
        <v>316</v>
      </c>
      <c r="AE816" s="6" t="s">
        <v>320</v>
      </c>
      <c r="AF816" s="6" t="s">
        <v>49</v>
      </c>
      <c r="AG816" s="6" t="s">
        <v>49</v>
      </c>
      <c r="AH816" s="1" t="s">
        <v>152</v>
      </c>
      <c r="AI816" s="1" t="s">
        <v>55</v>
      </c>
      <c r="AJ816" s="6" t="s">
        <v>49</v>
      </c>
      <c r="AK816" s="6" t="s">
        <v>49</v>
      </c>
      <c r="AL816" s="6" t="s">
        <v>49</v>
      </c>
      <c r="AM816" s="6" t="s">
        <v>49</v>
      </c>
      <c r="AN816" s="6" t="s">
        <v>49</v>
      </c>
      <c r="AO816" s="6" t="s">
        <v>49</v>
      </c>
      <c r="AP816" s="6">
        <v>0</v>
      </c>
      <c r="AQ816" s="6" t="s">
        <v>49</v>
      </c>
      <c r="AR816" s="6" t="s">
        <v>49</v>
      </c>
      <c r="AS816" s="6">
        <v>0.12</v>
      </c>
      <c r="AT816" s="6" t="s">
        <v>49</v>
      </c>
      <c r="AU816" s="6" t="s">
        <v>49</v>
      </c>
      <c r="AV816" s="6" t="s">
        <v>49</v>
      </c>
      <c r="AW816" s="30" t="s">
        <v>49</v>
      </c>
    </row>
    <row r="817" spans="1:49" ht="14.4" customHeight="1">
      <c r="A817" s="6">
        <v>3</v>
      </c>
      <c r="B817" s="6" t="s">
        <v>38</v>
      </c>
      <c r="C817" s="1" t="s">
        <v>38</v>
      </c>
      <c r="D817" s="3" t="s">
        <v>301</v>
      </c>
      <c r="E817" s="3" t="s">
        <v>719</v>
      </c>
      <c r="F817" s="3">
        <v>2003</v>
      </c>
      <c r="G817" s="3" t="s">
        <v>303</v>
      </c>
      <c r="H817" s="3" t="s">
        <v>304</v>
      </c>
      <c r="I817" s="3" t="s">
        <v>305</v>
      </c>
      <c r="J817" s="3" t="s">
        <v>306</v>
      </c>
      <c r="K817" s="3" t="s">
        <v>307</v>
      </c>
      <c r="L817" s="3" t="s">
        <v>46</v>
      </c>
      <c r="M817" s="1" t="s">
        <v>12</v>
      </c>
      <c r="N817" s="1" t="s">
        <v>76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77</v>
      </c>
      <c r="T817" s="1" t="s">
        <v>308</v>
      </c>
      <c r="U817" s="1" t="s">
        <v>309</v>
      </c>
      <c r="V817" s="3" t="s">
        <v>310</v>
      </c>
      <c r="W817" s="3">
        <v>20.216670000000001</v>
      </c>
      <c r="X817" s="3">
        <v>-87.433333000000005</v>
      </c>
      <c r="Y817" s="1" t="s">
        <v>48</v>
      </c>
      <c r="Z817" s="6" t="s">
        <v>49</v>
      </c>
      <c r="AA817" s="6" t="s">
        <v>49</v>
      </c>
      <c r="AB817" s="6" t="s">
        <v>49</v>
      </c>
      <c r="AC817" s="6" t="s">
        <v>49</v>
      </c>
      <c r="AD817" s="6" t="s">
        <v>316</v>
      </c>
      <c r="AE817" s="6" t="s">
        <v>323</v>
      </c>
      <c r="AF817" s="6" t="s">
        <v>49</v>
      </c>
      <c r="AG817" s="6" t="s">
        <v>49</v>
      </c>
      <c r="AH817" s="1" t="s">
        <v>152</v>
      </c>
      <c r="AI817" s="1" t="s">
        <v>55</v>
      </c>
      <c r="AJ817" s="6" t="s">
        <v>49</v>
      </c>
      <c r="AK817" s="6" t="s">
        <v>49</v>
      </c>
      <c r="AL817" s="6" t="s">
        <v>49</v>
      </c>
      <c r="AM817" s="6" t="s">
        <v>49</v>
      </c>
      <c r="AN817" s="6" t="s">
        <v>49</v>
      </c>
      <c r="AO817" s="6" t="s">
        <v>49</v>
      </c>
      <c r="AP817" s="6">
        <v>0</v>
      </c>
      <c r="AQ817" s="6" t="s">
        <v>49</v>
      </c>
      <c r="AR817" s="6" t="s">
        <v>49</v>
      </c>
      <c r="AS817" s="6">
        <v>0.44</v>
      </c>
      <c r="AT817" s="6" t="s">
        <v>49</v>
      </c>
      <c r="AU817" s="6" t="s">
        <v>49</v>
      </c>
      <c r="AV817" s="6" t="s">
        <v>49</v>
      </c>
      <c r="AW817" s="30" t="s">
        <v>49</v>
      </c>
    </row>
    <row r="818" spans="1:49" ht="14.4" customHeight="1">
      <c r="A818" s="6">
        <v>3</v>
      </c>
      <c r="B818" s="6" t="s">
        <v>38</v>
      </c>
      <c r="C818" s="1" t="s">
        <v>38</v>
      </c>
      <c r="D818" s="3" t="s">
        <v>301</v>
      </c>
      <c r="E818" s="3" t="s">
        <v>719</v>
      </c>
      <c r="F818" s="3">
        <v>2003</v>
      </c>
      <c r="G818" s="3" t="s">
        <v>303</v>
      </c>
      <c r="H818" s="3" t="s">
        <v>304</v>
      </c>
      <c r="I818" s="3" t="s">
        <v>305</v>
      </c>
      <c r="J818" s="3" t="s">
        <v>306</v>
      </c>
      <c r="K818" s="3" t="s">
        <v>307</v>
      </c>
      <c r="L818" s="3" t="s">
        <v>46</v>
      </c>
      <c r="M818" s="1" t="s">
        <v>12</v>
      </c>
      <c r="N818" s="1" t="s">
        <v>76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77</v>
      </c>
      <c r="T818" s="1" t="s">
        <v>308</v>
      </c>
      <c r="U818" s="1" t="s">
        <v>309</v>
      </c>
      <c r="V818" s="3" t="s">
        <v>310</v>
      </c>
      <c r="W818" s="3">
        <v>20.216670000000001</v>
      </c>
      <c r="X818" s="3">
        <v>-87.433333000000005</v>
      </c>
      <c r="Y818" s="1" t="s">
        <v>48</v>
      </c>
      <c r="Z818" s="6" t="s">
        <v>49</v>
      </c>
      <c r="AA818" s="6" t="s">
        <v>49</v>
      </c>
      <c r="AB818" s="6" t="s">
        <v>49</v>
      </c>
      <c r="AC818" s="6" t="s">
        <v>49</v>
      </c>
      <c r="AD818" s="6" t="s">
        <v>316</v>
      </c>
      <c r="AE818" s="6" t="s">
        <v>324</v>
      </c>
      <c r="AF818" s="6" t="s">
        <v>49</v>
      </c>
      <c r="AG818" s="6" t="s">
        <v>49</v>
      </c>
      <c r="AH818" s="1" t="s">
        <v>152</v>
      </c>
      <c r="AI818" s="1" t="s">
        <v>55</v>
      </c>
      <c r="AJ818" s="6" t="s">
        <v>49</v>
      </c>
      <c r="AK818" s="6" t="s">
        <v>49</v>
      </c>
      <c r="AL818" s="6" t="s">
        <v>49</v>
      </c>
      <c r="AM818" s="6" t="s">
        <v>49</v>
      </c>
      <c r="AN818" s="6" t="s">
        <v>49</v>
      </c>
      <c r="AO818" s="6" t="s">
        <v>49</v>
      </c>
      <c r="AP818" s="6">
        <v>0</v>
      </c>
      <c r="AQ818" s="6" t="s">
        <v>49</v>
      </c>
      <c r="AR818" s="6" t="s">
        <v>49</v>
      </c>
      <c r="AS818" s="6">
        <v>0.36</v>
      </c>
      <c r="AT818" s="6" t="s">
        <v>49</v>
      </c>
      <c r="AU818" s="6" t="s">
        <v>49</v>
      </c>
      <c r="AV818" s="6" t="s">
        <v>49</v>
      </c>
      <c r="AW818" s="30" t="s">
        <v>49</v>
      </c>
    </row>
    <row r="819" spans="1:49" ht="14.4" customHeight="1">
      <c r="A819" s="6">
        <v>3</v>
      </c>
      <c r="B819" s="6" t="s">
        <v>38</v>
      </c>
      <c r="C819" s="1" t="s">
        <v>38</v>
      </c>
      <c r="D819" s="3" t="s">
        <v>301</v>
      </c>
      <c r="E819" s="3" t="s">
        <v>719</v>
      </c>
      <c r="F819" s="3">
        <v>2003</v>
      </c>
      <c r="G819" s="3" t="s">
        <v>303</v>
      </c>
      <c r="H819" s="3" t="s">
        <v>304</v>
      </c>
      <c r="I819" s="3" t="s">
        <v>305</v>
      </c>
      <c r="J819" s="3" t="s">
        <v>306</v>
      </c>
      <c r="K819" s="3" t="s">
        <v>307</v>
      </c>
      <c r="L819" s="3" t="s">
        <v>46</v>
      </c>
      <c r="M819" s="1" t="s">
        <v>12</v>
      </c>
      <c r="N819" s="1" t="s">
        <v>76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77</v>
      </c>
      <c r="T819" s="1" t="s">
        <v>308</v>
      </c>
      <c r="U819" s="1" t="s">
        <v>309</v>
      </c>
      <c r="V819" s="3" t="s">
        <v>310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316</v>
      </c>
      <c r="AE819" s="6" t="s">
        <v>325</v>
      </c>
      <c r="AF819" s="6" t="s">
        <v>49</v>
      </c>
      <c r="AG819" s="6" t="s">
        <v>49</v>
      </c>
      <c r="AH819" s="1" t="s">
        <v>152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 t="s">
        <v>49</v>
      </c>
      <c r="AS819" s="6">
        <v>0.22</v>
      </c>
      <c r="AT819" s="6" t="s">
        <v>49</v>
      </c>
      <c r="AU819" s="6" t="s">
        <v>49</v>
      </c>
      <c r="AV819" s="6" t="s">
        <v>49</v>
      </c>
      <c r="AW819" s="30" t="s">
        <v>49</v>
      </c>
    </row>
    <row r="820" spans="1:49" ht="14.4" customHeight="1">
      <c r="A820" s="6">
        <v>3</v>
      </c>
      <c r="B820" s="6" t="s">
        <v>38</v>
      </c>
      <c r="C820" s="1" t="s">
        <v>38</v>
      </c>
      <c r="D820" s="3" t="s">
        <v>301</v>
      </c>
      <c r="E820" s="3" t="s">
        <v>719</v>
      </c>
      <c r="F820" s="3">
        <v>2003</v>
      </c>
      <c r="G820" s="3" t="s">
        <v>303</v>
      </c>
      <c r="H820" s="3" t="s">
        <v>304</v>
      </c>
      <c r="I820" s="3" t="s">
        <v>305</v>
      </c>
      <c r="J820" s="3" t="s">
        <v>306</v>
      </c>
      <c r="K820" s="3" t="s">
        <v>307</v>
      </c>
      <c r="L820" s="3" t="s">
        <v>46</v>
      </c>
      <c r="M820" s="1" t="s">
        <v>12</v>
      </c>
      <c r="N820" s="1" t="s">
        <v>76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77</v>
      </c>
      <c r="T820" s="1" t="s">
        <v>308</v>
      </c>
      <c r="U820" s="1" t="s">
        <v>309</v>
      </c>
      <c r="V820" s="3" t="s">
        <v>310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316</v>
      </c>
      <c r="AE820" s="1" t="s">
        <v>326</v>
      </c>
      <c r="AF820" s="6" t="s">
        <v>49</v>
      </c>
      <c r="AG820" s="6" t="s">
        <v>49</v>
      </c>
      <c r="AH820" s="1" t="s">
        <v>152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 t="s">
        <v>49</v>
      </c>
      <c r="AS820" s="6">
        <v>2.4700000000000002</v>
      </c>
      <c r="AT820" s="6" t="s">
        <v>49</v>
      </c>
      <c r="AU820" s="6" t="s">
        <v>49</v>
      </c>
      <c r="AV820" s="6" t="s">
        <v>49</v>
      </c>
      <c r="AW820" s="30" t="s">
        <v>49</v>
      </c>
    </row>
    <row r="821" spans="1:49" ht="14.4" customHeight="1">
      <c r="A821" s="6">
        <v>3</v>
      </c>
      <c r="B821" s="6" t="s">
        <v>38</v>
      </c>
      <c r="C821" s="1" t="s">
        <v>38</v>
      </c>
      <c r="D821" s="3" t="s">
        <v>301</v>
      </c>
      <c r="E821" s="3" t="s">
        <v>719</v>
      </c>
      <c r="F821" s="3">
        <v>2003</v>
      </c>
      <c r="G821" s="3" t="s">
        <v>303</v>
      </c>
      <c r="H821" s="3" t="s">
        <v>304</v>
      </c>
      <c r="I821" s="3" t="s">
        <v>305</v>
      </c>
      <c r="J821" s="3" t="s">
        <v>306</v>
      </c>
      <c r="K821" s="3" t="s">
        <v>307</v>
      </c>
      <c r="L821" s="3" t="s">
        <v>46</v>
      </c>
      <c r="M821" s="1" t="s">
        <v>12</v>
      </c>
      <c r="N821" s="1" t="s">
        <v>76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77</v>
      </c>
      <c r="T821" s="1" t="s">
        <v>308</v>
      </c>
      <c r="U821" s="1" t="s">
        <v>309</v>
      </c>
      <c r="V821" s="3" t="s">
        <v>310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316</v>
      </c>
      <c r="AE821" s="6" t="s">
        <v>327</v>
      </c>
      <c r="AF821" s="6" t="s">
        <v>49</v>
      </c>
      <c r="AG821" s="6" t="s">
        <v>49</v>
      </c>
      <c r="AH821" s="1" t="s">
        <v>152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 t="s">
        <v>49</v>
      </c>
      <c r="AS821" s="6">
        <v>3.6</v>
      </c>
      <c r="AT821" s="6" t="s">
        <v>49</v>
      </c>
      <c r="AU821" s="6" t="s">
        <v>49</v>
      </c>
      <c r="AV821" s="6" t="s">
        <v>49</v>
      </c>
      <c r="AW821" s="30" t="s">
        <v>49</v>
      </c>
    </row>
    <row r="822" spans="1:49" ht="14.4" customHeight="1">
      <c r="A822" s="6">
        <v>3</v>
      </c>
      <c r="B822" s="6" t="s">
        <v>38</v>
      </c>
      <c r="C822" s="1" t="s">
        <v>38</v>
      </c>
      <c r="D822" s="3" t="s">
        <v>301</v>
      </c>
      <c r="E822" s="3" t="s">
        <v>719</v>
      </c>
      <c r="F822" s="3">
        <v>2003</v>
      </c>
      <c r="G822" s="3" t="s">
        <v>303</v>
      </c>
      <c r="H822" s="3" t="s">
        <v>304</v>
      </c>
      <c r="I822" s="3" t="s">
        <v>305</v>
      </c>
      <c r="J822" s="3" t="s">
        <v>306</v>
      </c>
      <c r="K822" s="3" t="s">
        <v>307</v>
      </c>
      <c r="L822" s="3" t="s">
        <v>46</v>
      </c>
      <c r="M822" s="1" t="s">
        <v>12</v>
      </c>
      <c r="N822" s="1" t="s">
        <v>76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77</v>
      </c>
      <c r="T822" s="1" t="s">
        <v>308</v>
      </c>
      <c r="U822" s="1" t="s">
        <v>309</v>
      </c>
      <c r="V822" s="3" t="s">
        <v>310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316</v>
      </c>
      <c r="AE822" s="6" t="s">
        <v>238</v>
      </c>
      <c r="AF822" s="6" t="s">
        <v>49</v>
      </c>
      <c r="AG822" s="6" t="s">
        <v>49</v>
      </c>
      <c r="AH822" s="1" t="s">
        <v>152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 t="s">
        <v>49</v>
      </c>
      <c r="AS822" s="6">
        <v>0.34</v>
      </c>
      <c r="AT822" s="6" t="s">
        <v>49</v>
      </c>
      <c r="AU822" s="6" t="s">
        <v>49</v>
      </c>
      <c r="AV822" s="6" t="s">
        <v>49</v>
      </c>
      <c r="AW822" s="30" t="s">
        <v>49</v>
      </c>
    </row>
    <row r="823" spans="1:49" ht="14.4" customHeight="1">
      <c r="A823" s="6">
        <v>3</v>
      </c>
      <c r="B823" s="6" t="s">
        <v>38</v>
      </c>
      <c r="C823" s="1" t="s">
        <v>38</v>
      </c>
      <c r="D823" s="3" t="s">
        <v>301</v>
      </c>
      <c r="E823" s="3" t="s">
        <v>719</v>
      </c>
      <c r="F823" s="3">
        <v>2003</v>
      </c>
      <c r="G823" s="3" t="s">
        <v>303</v>
      </c>
      <c r="H823" s="3" t="s">
        <v>304</v>
      </c>
      <c r="I823" s="3" t="s">
        <v>305</v>
      </c>
      <c r="J823" s="3" t="s">
        <v>306</v>
      </c>
      <c r="K823" s="3" t="s">
        <v>307</v>
      </c>
      <c r="L823" s="3" t="s">
        <v>46</v>
      </c>
      <c r="M823" s="1" t="s">
        <v>12</v>
      </c>
      <c r="N823" s="1" t="s">
        <v>76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77</v>
      </c>
      <c r="T823" s="1" t="s">
        <v>308</v>
      </c>
      <c r="U823" s="1" t="s">
        <v>309</v>
      </c>
      <c r="V823" s="3" t="s">
        <v>310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316</v>
      </c>
      <c r="AE823" s="6" t="s">
        <v>85</v>
      </c>
      <c r="AF823" s="6" t="s">
        <v>49</v>
      </c>
      <c r="AG823" s="6" t="s">
        <v>49</v>
      </c>
      <c r="AH823" s="1" t="s">
        <v>152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 t="s">
        <v>49</v>
      </c>
      <c r="AS823" s="6">
        <v>0.26</v>
      </c>
      <c r="AT823" s="6" t="s">
        <v>49</v>
      </c>
      <c r="AU823" s="6" t="s">
        <v>49</v>
      </c>
      <c r="AV823" s="6" t="s">
        <v>49</v>
      </c>
      <c r="AW823" s="30" t="s">
        <v>49</v>
      </c>
    </row>
    <row r="824" spans="1:49" ht="14.4" customHeight="1">
      <c r="A824" s="6">
        <v>3</v>
      </c>
      <c r="B824" s="6" t="s">
        <v>38</v>
      </c>
      <c r="C824" s="1" t="s">
        <v>38</v>
      </c>
      <c r="D824" s="3" t="s">
        <v>301</v>
      </c>
      <c r="E824" s="3" t="s">
        <v>719</v>
      </c>
      <c r="F824" s="3">
        <v>2003</v>
      </c>
      <c r="G824" s="3" t="s">
        <v>303</v>
      </c>
      <c r="H824" s="3" t="s">
        <v>304</v>
      </c>
      <c r="I824" s="3" t="s">
        <v>305</v>
      </c>
      <c r="J824" s="3" t="s">
        <v>306</v>
      </c>
      <c r="K824" s="3" t="s">
        <v>307</v>
      </c>
      <c r="L824" s="3" t="s">
        <v>46</v>
      </c>
      <c r="M824" s="1" t="s">
        <v>12</v>
      </c>
      <c r="N824" s="1" t="s">
        <v>76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77</v>
      </c>
      <c r="T824" s="1" t="s">
        <v>308</v>
      </c>
      <c r="U824" s="1" t="s">
        <v>309</v>
      </c>
      <c r="V824" s="3" t="s">
        <v>310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316</v>
      </c>
      <c r="AE824" s="6" t="s">
        <v>312</v>
      </c>
      <c r="AF824" s="6" t="s">
        <v>49</v>
      </c>
      <c r="AG824" s="6" t="s">
        <v>49</v>
      </c>
      <c r="AH824" s="1" t="s">
        <v>152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 t="s">
        <v>49</v>
      </c>
      <c r="AS824" s="6">
        <v>4.5999999999999999E-2</v>
      </c>
      <c r="AT824" s="6" t="s">
        <v>49</v>
      </c>
      <c r="AU824" s="6" t="s">
        <v>49</v>
      </c>
      <c r="AV824" s="6" t="s">
        <v>49</v>
      </c>
      <c r="AW824" s="30" t="s">
        <v>49</v>
      </c>
    </row>
    <row r="825" spans="1:49" ht="14.4" customHeight="1">
      <c r="A825" s="6">
        <v>3</v>
      </c>
      <c r="B825" s="6" t="s">
        <v>38</v>
      </c>
      <c r="C825" s="1" t="s">
        <v>38</v>
      </c>
      <c r="D825" s="3" t="s">
        <v>301</v>
      </c>
      <c r="E825" s="3" t="s">
        <v>719</v>
      </c>
      <c r="F825" s="3">
        <v>2003</v>
      </c>
      <c r="G825" s="3" t="s">
        <v>303</v>
      </c>
      <c r="H825" s="3" t="s">
        <v>304</v>
      </c>
      <c r="I825" s="3" t="s">
        <v>305</v>
      </c>
      <c r="J825" s="3" t="s">
        <v>306</v>
      </c>
      <c r="K825" s="3" t="s">
        <v>307</v>
      </c>
      <c r="L825" s="3" t="s">
        <v>46</v>
      </c>
      <c r="M825" s="1" t="s">
        <v>12</v>
      </c>
      <c r="N825" s="1" t="s">
        <v>76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77</v>
      </c>
      <c r="T825" s="1" t="s">
        <v>308</v>
      </c>
      <c r="U825" s="1" t="s">
        <v>309</v>
      </c>
      <c r="V825" s="3" t="s">
        <v>310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317</v>
      </c>
      <c r="AE825" s="6" t="s">
        <v>318</v>
      </c>
      <c r="AF825" s="6" t="s">
        <v>49</v>
      </c>
      <c r="AG825" s="6" t="s">
        <v>49</v>
      </c>
      <c r="AH825" s="1" t="s">
        <v>152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 t="s">
        <v>49</v>
      </c>
      <c r="AS825" s="6">
        <v>1.21</v>
      </c>
      <c r="AT825" s="6" t="s">
        <v>49</v>
      </c>
      <c r="AU825" s="6" t="s">
        <v>49</v>
      </c>
      <c r="AV825" s="6" t="s">
        <v>49</v>
      </c>
      <c r="AW825" s="30" t="s">
        <v>49</v>
      </c>
    </row>
    <row r="826" spans="1:49" ht="14.4" customHeight="1">
      <c r="A826" s="6">
        <v>3</v>
      </c>
      <c r="B826" s="6" t="s">
        <v>38</v>
      </c>
      <c r="C826" s="1" t="s">
        <v>38</v>
      </c>
      <c r="D826" s="3" t="s">
        <v>301</v>
      </c>
      <c r="E826" s="3" t="s">
        <v>719</v>
      </c>
      <c r="F826" s="3">
        <v>2003</v>
      </c>
      <c r="G826" s="3" t="s">
        <v>303</v>
      </c>
      <c r="H826" s="3" t="s">
        <v>304</v>
      </c>
      <c r="I826" s="3" t="s">
        <v>305</v>
      </c>
      <c r="J826" s="3" t="s">
        <v>306</v>
      </c>
      <c r="K826" s="3" t="s">
        <v>307</v>
      </c>
      <c r="L826" s="3" t="s">
        <v>46</v>
      </c>
      <c r="M826" s="1" t="s">
        <v>12</v>
      </c>
      <c r="N826" s="1" t="s">
        <v>76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77</v>
      </c>
      <c r="T826" s="1" t="s">
        <v>308</v>
      </c>
      <c r="U826" s="1" t="s">
        <v>309</v>
      </c>
      <c r="V826" s="3" t="s">
        <v>310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317</v>
      </c>
      <c r="AE826" s="6" t="s">
        <v>321</v>
      </c>
      <c r="AF826" s="6" t="s">
        <v>49</v>
      </c>
      <c r="AG826" s="6" t="s">
        <v>49</v>
      </c>
      <c r="AH826" s="1" t="s">
        <v>152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 t="s">
        <v>49</v>
      </c>
      <c r="AS826" s="6">
        <v>1.1100000000000001</v>
      </c>
      <c r="AT826" s="6" t="s">
        <v>49</v>
      </c>
      <c r="AU826" s="6" t="s">
        <v>49</v>
      </c>
      <c r="AV826" s="6" t="s">
        <v>49</v>
      </c>
      <c r="AW826" s="30" t="s">
        <v>49</v>
      </c>
    </row>
    <row r="827" spans="1:49" ht="14.4" customHeight="1">
      <c r="A827" s="6">
        <v>3</v>
      </c>
      <c r="B827" s="6" t="s">
        <v>38</v>
      </c>
      <c r="C827" s="1" t="s">
        <v>38</v>
      </c>
      <c r="D827" s="3" t="s">
        <v>301</v>
      </c>
      <c r="E827" s="3" t="s">
        <v>719</v>
      </c>
      <c r="F827" s="3">
        <v>2003</v>
      </c>
      <c r="G827" s="3" t="s">
        <v>303</v>
      </c>
      <c r="H827" s="3" t="s">
        <v>304</v>
      </c>
      <c r="I827" s="3" t="s">
        <v>305</v>
      </c>
      <c r="J827" s="3" t="s">
        <v>306</v>
      </c>
      <c r="K827" s="3" t="s">
        <v>307</v>
      </c>
      <c r="L827" s="3" t="s">
        <v>46</v>
      </c>
      <c r="M827" s="1" t="s">
        <v>12</v>
      </c>
      <c r="N827" s="1" t="s">
        <v>76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77</v>
      </c>
      <c r="T827" s="1" t="s">
        <v>308</v>
      </c>
      <c r="U827" s="1" t="s">
        <v>309</v>
      </c>
      <c r="V827" s="3" t="s">
        <v>310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317</v>
      </c>
      <c r="AE827" s="6" t="s">
        <v>314</v>
      </c>
      <c r="AF827" s="6" t="s">
        <v>49</v>
      </c>
      <c r="AG827" s="6" t="s">
        <v>49</v>
      </c>
      <c r="AH827" s="1" t="s">
        <v>152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 t="s">
        <v>49</v>
      </c>
      <c r="AS827" s="6">
        <v>0.17</v>
      </c>
      <c r="AT827" s="6" t="s">
        <v>49</v>
      </c>
      <c r="AU827" s="6" t="s">
        <v>49</v>
      </c>
      <c r="AV827" s="6" t="s">
        <v>49</v>
      </c>
      <c r="AW827" s="30" t="s">
        <v>49</v>
      </c>
    </row>
    <row r="828" spans="1:49" ht="14.4" customHeight="1">
      <c r="A828" s="6">
        <v>3</v>
      </c>
      <c r="B828" s="6" t="s">
        <v>38</v>
      </c>
      <c r="C828" s="1" t="s">
        <v>38</v>
      </c>
      <c r="D828" s="3" t="s">
        <v>301</v>
      </c>
      <c r="E828" s="3" t="s">
        <v>719</v>
      </c>
      <c r="F828" s="3">
        <v>2003</v>
      </c>
      <c r="G828" s="3" t="s">
        <v>303</v>
      </c>
      <c r="H828" s="3" t="s">
        <v>304</v>
      </c>
      <c r="I828" s="3" t="s">
        <v>305</v>
      </c>
      <c r="J828" s="3" t="s">
        <v>306</v>
      </c>
      <c r="K828" s="3" t="s">
        <v>307</v>
      </c>
      <c r="L828" s="3" t="s">
        <v>46</v>
      </c>
      <c r="M828" s="1" t="s">
        <v>12</v>
      </c>
      <c r="N828" s="1" t="s">
        <v>76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77</v>
      </c>
      <c r="T828" s="1" t="s">
        <v>308</v>
      </c>
      <c r="U828" s="1" t="s">
        <v>309</v>
      </c>
      <c r="V828" s="3" t="s">
        <v>310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317</v>
      </c>
      <c r="AE828" s="6" t="s">
        <v>313</v>
      </c>
      <c r="AF828" s="6" t="s">
        <v>49</v>
      </c>
      <c r="AG828" s="6" t="s">
        <v>49</v>
      </c>
      <c r="AH828" s="1" t="s">
        <v>152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 t="s">
        <v>49</v>
      </c>
      <c r="AS828" s="6">
        <v>7.9000000000000001E-2</v>
      </c>
      <c r="AT828" s="6" t="s">
        <v>49</v>
      </c>
      <c r="AU828" s="6" t="s">
        <v>49</v>
      </c>
      <c r="AV828" s="6" t="s">
        <v>49</v>
      </c>
      <c r="AW828" s="30" t="s">
        <v>49</v>
      </c>
    </row>
    <row r="829" spans="1:49" ht="14.4" customHeight="1">
      <c r="A829" s="6">
        <v>3</v>
      </c>
      <c r="B829" s="6" t="s">
        <v>38</v>
      </c>
      <c r="C829" s="1" t="s">
        <v>38</v>
      </c>
      <c r="D829" s="3" t="s">
        <v>301</v>
      </c>
      <c r="E829" s="3" t="s">
        <v>719</v>
      </c>
      <c r="F829" s="3">
        <v>2003</v>
      </c>
      <c r="G829" s="3" t="s">
        <v>303</v>
      </c>
      <c r="H829" s="3" t="s">
        <v>304</v>
      </c>
      <c r="I829" s="3" t="s">
        <v>305</v>
      </c>
      <c r="J829" s="3" t="s">
        <v>306</v>
      </c>
      <c r="K829" s="3" t="s">
        <v>307</v>
      </c>
      <c r="L829" s="3" t="s">
        <v>46</v>
      </c>
      <c r="M829" s="1" t="s">
        <v>12</v>
      </c>
      <c r="N829" s="1" t="s">
        <v>76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77</v>
      </c>
      <c r="T829" s="1" t="s">
        <v>308</v>
      </c>
      <c r="U829" s="1" t="s">
        <v>309</v>
      </c>
      <c r="V829" s="3" t="s">
        <v>310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317</v>
      </c>
      <c r="AE829" s="6" t="s">
        <v>93</v>
      </c>
      <c r="AF829" s="6" t="s">
        <v>49</v>
      </c>
      <c r="AG829" s="6" t="s">
        <v>49</v>
      </c>
      <c r="AH829" s="1" t="s">
        <v>152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 t="s">
        <v>49</v>
      </c>
      <c r="AS829" s="6">
        <v>0.39</v>
      </c>
      <c r="AT829" s="6" t="s">
        <v>49</v>
      </c>
      <c r="AU829" s="6" t="s">
        <v>49</v>
      </c>
      <c r="AV829" s="6" t="s">
        <v>49</v>
      </c>
      <c r="AW829" s="30" t="s">
        <v>49</v>
      </c>
    </row>
    <row r="830" spans="1:49" ht="14.4" customHeight="1">
      <c r="A830" s="6">
        <v>3</v>
      </c>
      <c r="B830" s="6" t="s">
        <v>38</v>
      </c>
      <c r="C830" s="1" t="s">
        <v>38</v>
      </c>
      <c r="D830" s="3" t="s">
        <v>301</v>
      </c>
      <c r="E830" s="3" t="s">
        <v>719</v>
      </c>
      <c r="F830" s="3">
        <v>2003</v>
      </c>
      <c r="G830" s="3" t="s">
        <v>303</v>
      </c>
      <c r="H830" s="3" t="s">
        <v>304</v>
      </c>
      <c r="I830" s="3" t="s">
        <v>305</v>
      </c>
      <c r="J830" s="3" t="s">
        <v>306</v>
      </c>
      <c r="K830" s="3" t="s">
        <v>307</v>
      </c>
      <c r="L830" s="3" t="s">
        <v>46</v>
      </c>
      <c r="M830" s="1" t="s">
        <v>12</v>
      </c>
      <c r="N830" s="1" t="s">
        <v>76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77</v>
      </c>
      <c r="T830" s="1" t="s">
        <v>308</v>
      </c>
      <c r="U830" s="1" t="s">
        <v>309</v>
      </c>
      <c r="V830" s="3" t="s">
        <v>310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317</v>
      </c>
      <c r="AE830" s="6" t="s">
        <v>320</v>
      </c>
      <c r="AF830" s="6" t="s">
        <v>49</v>
      </c>
      <c r="AG830" s="6" t="s">
        <v>49</v>
      </c>
      <c r="AH830" s="1" t="s">
        <v>152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 t="s">
        <v>49</v>
      </c>
      <c r="AS830" s="6">
        <v>6.8000000000000005E-2</v>
      </c>
      <c r="AT830" s="6" t="s">
        <v>49</v>
      </c>
      <c r="AU830" s="6" t="s">
        <v>49</v>
      </c>
      <c r="AV830" s="6" t="s">
        <v>49</v>
      </c>
      <c r="AW830" s="30" t="s">
        <v>49</v>
      </c>
    </row>
    <row r="831" spans="1:49" ht="14.4" customHeight="1">
      <c r="A831" s="6">
        <v>3</v>
      </c>
      <c r="B831" s="6" t="s">
        <v>38</v>
      </c>
      <c r="C831" s="1" t="s">
        <v>38</v>
      </c>
      <c r="D831" s="3" t="s">
        <v>301</v>
      </c>
      <c r="E831" s="3" t="s">
        <v>719</v>
      </c>
      <c r="F831" s="3">
        <v>2003</v>
      </c>
      <c r="G831" s="3" t="s">
        <v>303</v>
      </c>
      <c r="H831" s="3" t="s">
        <v>304</v>
      </c>
      <c r="I831" s="3" t="s">
        <v>305</v>
      </c>
      <c r="J831" s="3" t="s">
        <v>306</v>
      </c>
      <c r="K831" s="3" t="s">
        <v>307</v>
      </c>
      <c r="L831" s="3" t="s">
        <v>46</v>
      </c>
      <c r="M831" s="1" t="s">
        <v>12</v>
      </c>
      <c r="N831" s="1" t="s">
        <v>76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77</v>
      </c>
      <c r="T831" s="1" t="s">
        <v>308</v>
      </c>
      <c r="U831" s="1" t="s">
        <v>309</v>
      </c>
      <c r="V831" s="3" t="s">
        <v>310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317</v>
      </c>
      <c r="AE831" s="6" t="s">
        <v>323</v>
      </c>
      <c r="AF831" s="6" t="s">
        <v>49</v>
      </c>
      <c r="AG831" s="6" t="s">
        <v>49</v>
      </c>
      <c r="AH831" s="1" t="s">
        <v>152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 t="s">
        <v>49</v>
      </c>
      <c r="AS831" s="6">
        <v>0.21</v>
      </c>
      <c r="AT831" s="6" t="s">
        <v>49</v>
      </c>
      <c r="AU831" s="6" t="s">
        <v>49</v>
      </c>
      <c r="AV831" s="6" t="s">
        <v>49</v>
      </c>
      <c r="AW831" s="30" t="s">
        <v>49</v>
      </c>
    </row>
    <row r="832" spans="1:49" ht="14.4" customHeight="1">
      <c r="A832" s="6">
        <v>3</v>
      </c>
      <c r="B832" s="6" t="s">
        <v>38</v>
      </c>
      <c r="C832" s="1" t="s">
        <v>38</v>
      </c>
      <c r="D832" s="3" t="s">
        <v>301</v>
      </c>
      <c r="E832" s="3" t="s">
        <v>719</v>
      </c>
      <c r="F832" s="3">
        <v>2003</v>
      </c>
      <c r="G832" s="3" t="s">
        <v>303</v>
      </c>
      <c r="H832" s="3" t="s">
        <v>304</v>
      </c>
      <c r="I832" s="3" t="s">
        <v>305</v>
      </c>
      <c r="J832" s="3" t="s">
        <v>306</v>
      </c>
      <c r="K832" s="3" t="s">
        <v>307</v>
      </c>
      <c r="L832" s="3" t="s">
        <v>46</v>
      </c>
      <c r="M832" s="1" t="s">
        <v>12</v>
      </c>
      <c r="N832" s="1" t="s">
        <v>76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77</v>
      </c>
      <c r="T832" s="1" t="s">
        <v>308</v>
      </c>
      <c r="U832" s="1" t="s">
        <v>309</v>
      </c>
      <c r="V832" s="3" t="s">
        <v>310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317</v>
      </c>
      <c r="AE832" s="6" t="s">
        <v>324</v>
      </c>
      <c r="AF832" s="6" t="s">
        <v>49</v>
      </c>
      <c r="AG832" s="6" t="s">
        <v>49</v>
      </c>
      <c r="AH832" s="1" t="s">
        <v>152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 t="s">
        <v>49</v>
      </c>
      <c r="AS832" s="6">
        <v>0.19</v>
      </c>
      <c r="AT832" s="6" t="s">
        <v>49</v>
      </c>
      <c r="AU832" s="6" t="s">
        <v>49</v>
      </c>
      <c r="AV832" s="6" t="s">
        <v>49</v>
      </c>
      <c r="AW832" s="30" t="s">
        <v>49</v>
      </c>
    </row>
    <row r="833" spans="1:49" ht="14.4" customHeight="1">
      <c r="A833" s="6">
        <v>3</v>
      </c>
      <c r="B833" s="6" t="s">
        <v>38</v>
      </c>
      <c r="C833" s="1" t="s">
        <v>38</v>
      </c>
      <c r="D833" s="3" t="s">
        <v>301</v>
      </c>
      <c r="E833" s="3" t="s">
        <v>719</v>
      </c>
      <c r="F833" s="3">
        <v>2003</v>
      </c>
      <c r="G833" s="3" t="s">
        <v>303</v>
      </c>
      <c r="H833" s="3" t="s">
        <v>304</v>
      </c>
      <c r="I833" s="3" t="s">
        <v>305</v>
      </c>
      <c r="J833" s="3" t="s">
        <v>306</v>
      </c>
      <c r="K833" s="3" t="s">
        <v>307</v>
      </c>
      <c r="L833" s="3" t="s">
        <v>46</v>
      </c>
      <c r="M833" s="1" t="s">
        <v>12</v>
      </c>
      <c r="N833" s="1" t="s">
        <v>76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77</v>
      </c>
      <c r="T833" s="1" t="s">
        <v>308</v>
      </c>
      <c r="U833" s="1" t="s">
        <v>309</v>
      </c>
      <c r="V833" s="3" t="s">
        <v>310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317</v>
      </c>
      <c r="AE833" s="6" t="s">
        <v>325</v>
      </c>
      <c r="AF833" s="6" t="s">
        <v>49</v>
      </c>
      <c r="AG833" s="6" t="s">
        <v>49</v>
      </c>
      <c r="AH833" s="1" t="s">
        <v>152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 t="s">
        <v>49</v>
      </c>
      <c r="AS833" s="6">
        <v>0.13</v>
      </c>
      <c r="AT833" s="6" t="s">
        <v>49</v>
      </c>
      <c r="AU833" s="6" t="s">
        <v>49</v>
      </c>
      <c r="AV833" s="6" t="s">
        <v>49</v>
      </c>
      <c r="AW833" s="30" t="s">
        <v>49</v>
      </c>
    </row>
    <row r="834" spans="1:49" ht="14.4" customHeight="1">
      <c r="A834" s="6">
        <v>3</v>
      </c>
      <c r="B834" s="6" t="s">
        <v>38</v>
      </c>
      <c r="C834" s="1" t="s">
        <v>38</v>
      </c>
      <c r="D834" s="3" t="s">
        <v>301</v>
      </c>
      <c r="E834" s="3" t="s">
        <v>719</v>
      </c>
      <c r="F834" s="3">
        <v>2003</v>
      </c>
      <c r="G834" s="3" t="s">
        <v>303</v>
      </c>
      <c r="H834" s="3" t="s">
        <v>304</v>
      </c>
      <c r="I834" s="3" t="s">
        <v>305</v>
      </c>
      <c r="J834" s="3" t="s">
        <v>306</v>
      </c>
      <c r="K834" s="3" t="s">
        <v>307</v>
      </c>
      <c r="L834" s="3" t="s">
        <v>46</v>
      </c>
      <c r="M834" s="1" t="s">
        <v>12</v>
      </c>
      <c r="N834" s="1" t="s">
        <v>76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77</v>
      </c>
      <c r="T834" s="1" t="s">
        <v>308</v>
      </c>
      <c r="U834" s="1" t="s">
        <v>309</v>
      </c>
      <c r="V834" s="3" t="s">
        <v>310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317</v>
      </c>
      <c r="AE834" s="1" t="s">
        <v>326</v>
      </c>
      <c r="AF834" s="6" t="s">
        <v>49</v>
      </c>
      <c r="AG834" s="6" t="s">
        <v>49</v>
      </c>
      <c r="AH834" s="1" t="s">
        <v>152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 t="s">
        <v>49</v>
      </c>
      <c r="AS834" s="6">
        <v>1.44</v>
      </c>
      <c r="AT834" s="6" t="s">
        <v>49</v>
      </c>
      <c r="AU834" s="6" t="s">
        <v>49</v>
      </c>
      <c r="AV834" s="6" t="s">
        <v>49</v>
      </c>
      <c r="AW834" s="30" t="s">
        <v>49</v>
      </c>
    </row>
    <row r="835" spans="1:49" ht="14.4" customHeight="1">
      <c r="A835" s="6">
        <v>3</v>
      </c>
      <c r="B835" s="6" t="s">
        <v>38</v>
      </c>
      <c r="C835" s="1" t="s">
        <v>38</v>
      </c>
      <c r="D835" s="3" t="s">
        <v>301</v>
      </c>
      <c r="E835" s="3" t="s">
        <v>719</v>
      </c>
      <c r="F835" s="3">
        <v>2003</v>
      </c>
      <c r="G835" s="3" t="s">
        <v>303</v>
      </c>
      <c r="H835" s="3" t="s">
        <v>304</v>
      </c>
      <c r="I835" s="3" t="s">
        <v>305</v>
      </c>
      <c r="J835" s="3" t="s">
        <v>306</v>
      </c>
      <c r="K835" s="3" t="s">
        <v>307</v>
      </c>
      <c r="L835" s="3" t="s">
        <v>46</v>
      </c>
      <c r="M835" s="1" t="s">
        <v>12</v>
      </c>
      <c r="N835" s="1" t="s">
        <v>76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77</v>
      </c>
      <c r="T835" s="1" t="s">
        <v>308</v>
      </c>
      <c r="U835" s="1" t="s">
        <v>309</v>
      </c>
      <c r="V835" s="3" t="s">
        <v>310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317</v>
      </c>
      <c r="AE835" s="6" t="s">
        <v>327</v>
      </c>
      <c r="AF835" s="6" t="s">
        <v>49</v>
      </c>
      <c r="AG835" s="6" t="s">
        <v>49</v>
      </c>
      <c r="AH835" s="1" t="s">
        <v>152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 t="s">
        <v>49</v>
      </c>
      <c r="AS835" s="6">
        <v>1.83</v>
      </c>
      <c r="AT835" s="6" t="s">
        <v>49</v>
      </c>
      <c r="AU835" s="6" t="s">
        <v>49</v>
      </c>
      <c r="AV835" s="6" t="s">
        <v>49</v>
      </c>
      <c r="AW835" s="30" t="s">
        <v>49</v>
      </c>
    </row>
    <row r="836" spans="1:49" ht="14.4" customHeight="1">
      <c r="A836" s="6">
        <v>3</v>
      </c>
      <c r="B836" s="6" t="s">
        <v>38</v>
      </c>
      <c r="C836" s="1" t="s">
        <v>38</v>
      </c>
      <c r="D836" s="3" t="s">
        <v>301</v>
      </c>
      <c r="E836" s="3" t="s">
        <v>719</v>
      </c>
      <c r="F836" s="3">
        <v>2003</v>
      </c>
      <c r="G836" s="3" t="s">
        <v>303</v>
      </c>
      <c r="H836" s="3" t="s">
        <v>304</v>
      </c>
      <c r="I836" s="3" t="s">
        <v>305</v>
      </c>
      <c r="J836" s="3" t="s">
        <v>306</v>
      </c>
      <c r="K836" s="3" t="s">
        <v>307</v>
      </c>
      <c r="L836" s="3" t="s">
        <v>46</v>
      </c>
      <c r="M836" s="1" t="s">
        <v>12</v>
      </c>
      <c r="N836" s="1" t="s">
        <v>76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77</v>
      </c>
      <c r="T836" s="1" t="s">
        <v>308</v>
      </c>
      <c r="U836" s="1" t="s">
        <v>309</v>
      </c>
      <c r="V836" s="3" t="s">
        <v>310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317</v>
      </c>
      <c r="AE836" s="6" t="s">
        <v>238</v>
      </c>
      <c r="AF836" s="6" t="s">
        <v>49</v>
      </c>
      <c r="AG836" s="6" t="s">
        <v>49</v>
      </c>
      <c r="AH836" s="1" t="s">
        <v>152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 t="s">
        <v>49</v>
      </c>
      <c r="AS836" s="6">
        <v>0.3</v>
      </c>
      <c r="AT836" s="6" t="s">
        <v>49</v>
      </c>
      <c r="AU836" s="6" t="s">
        <v>49</v>
      </c>
      <c r="AV836" s="6" t="s">
        <v>49</v>
      </c>
      <c r="AW836" s="30" t="s">
        <v>49</v>
      </c>
    </row>
    <row r="837" spans="1:49" ht="14.4" customHeight="1">
      <c r="A837" s="6">
        <v>3</v>
      </c>
      <c r="B837" s="6" t="s">
        <v>38</v>
      </c>
      <c r="C837" s="1" t="s">
        <v>38</v>
      </c>
      <c r="D837" s="3" t="s">
        <v>301</v>
      </c>
      <c r="E837" s="3" t="s">
        <v>719</v>
      </c>
      <c r="F837" s="3">
        <v>2003</v>
      </c>
      <c r="G837" s="3" t="s">
        <v>303</v>
      </c>
      <c r="H837" s="3" t="s">
        <v>304</v>
      </c>
      <c r="I837" s="3" t="s">
        <v>305</v>
      </c>
      <c r="J837" s="3" t="s">
        <v>306</v>
      </c>
      <c r="K837" s="3" t="s">
        <v>307</v>
      </c>
      <c r="L837" s="3" t="s">
        <v>46</v>
      </c>
      <c r="M837" s="1" t="s">
        <v>12</v>
      </c>
      <c r="N837" s="1" t="s">
        <v>76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77</v>
      </c>
      <c r="T837" s="1" t="s">
        <v>308</v>
      </c>
      <c r="U837" s="1" t="s">
        <v>309</v>
      </c>
      <c r="V837" s="3" t="s">
        <v>310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317</v>
      </c>
      <c r="AE837" s="6" t="s">
        <v>85</v>
      </c>
      <c r="AF837" s="6" t="s">
        <v>49</v>
      </c>
      <c r="AG837" s="6" t="s">
        <v>49</v>
      </c>
      <c r="AH837" s="1" t="s">
        <v>152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 t="s">
        <v>49</v>
      </c>
      <c r="AS837" s="6">
        <v>0.12</v>
      </c>
      <c r="AT837" s="6" t="s">
        <v>49</v>
      </c>
      <c r="AU837" s="6" t="s">
        <v>49</v>
      </c>
      <c r="AV837" s="6" t="s">
        <v>49</v>
      </c>
      <c r="AW837" s="30" t="s">
        <v>49</v>
      </c>
    </row>
    <row r="838" spans="1:49" ht="14.4" customHeight="1">
      <c r="A838" s="6">
        <v>3</v>
      </c>
      <c r="B838" s="6" t="s">
        <v>38</v>
      </c>
      <c r="C838" s="1" t="s">
        <v>38</v>
      </c>
      <c r="D838" s="3" t="s">
        <v>301</v>
      </c>
      <c r="E838" s="3" t="s">
        <v>719</v>
      </c>
      <c r="F838" s="3">
        <v>2003</v>
      </c>
      <c r="G838" s="3" t="s">
        <v>303</v>
      </c>
      <c r="H838" s="3" t="s">
        <v>304</v>
      </c>
      <c r="I838" s="3" t="s">
        <v>305</v>
      </c>
      <c r="J838" s="3" t="s">
        <v>306</v>
      </c>
      <c r="K838" s="3" t="s">
        <v>307</v>
      </c>
      <c r="L838" s="3" t="s">
        <v>46</v>
      </c>
      <c r="M838" s="1" t="s">
        <v>12</v>
      </c>
      <c r="N838" s="1" t="s">
        <v>76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77</v>
      </c>
      <c r="T838" s="1" t="s">
        <v>308</v>
      </c>
      <c r="U838" s="1" t="s">
        <v>309</v>
      </c>
      <c r="V838" s="3" t="s">
        <v>310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317</v>
      </c>
      <c r="AE838" s="6" t="s">
        <v>312</v>
      </c>
      <c r="AF838" s="6" t="s">
        <v>49</v>
      </c>
      <c r="AG838" s="6" t="s">
        <v>49</v>
      </c>
      <c r="AH838" s="1" t="s">
        <v>152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 t="s">
        <v>49</v>
      </c>
      <c r="AS838" s="6">
        <v>-0.06</v>
      </c>
      <c r="AT838" s="6" t="s">
        <v>49</v>
      </c>
      <c r="AU838" s="6" t="s">
        <v>49</v>
      </c>
      <c r="AV838" s="6" t="s">
        <v>49</v>
      </c>
      <c r="AW838" s="30" t="s">
        <v>49</v>
      </c>
    </row>
    <row r="839" spans="1:49" ht="14.4" customHeight="1">
      <c r="A839" s="6">
        <v>3</v>
      </c>
      <c r="B839" s="6" t="s">
        <v>38</v>
      </c>
      <c r="C839" s="1" t="s">
        <v>38</v>
      </c>
      <c r="D839" s="3" t="s">
        <v>301</v>
      </c>
      <c r="E839" s="3" t="s">
        <v>719</v>
      </c>
      <c r="F839" s="3">
        <v>2003</v>
      </c>
      <c r="G839" s="3" t="s">
        <v>303</v>
      </c>
      <c r="H839" s="3" t="s">
        <v>304</v>
      </c>
      <c r="I839" s="3" t="s">
        <v>305</v>
      </c>
      <c r="J839" s="3" t="s">
        <v>306</v>
      </c>
      <c r="K839" s="3" t="s">
        <v>307</v>
      </c>
      <c r="L839" s="3" t="s">
        <v>46</v>
      </c>
      <c r="M839" s="1" t="s">
        <v>12</v>
      </c>
      <c r="N839" s="1" t="s">
        <v>76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77</v>
      </c>
      <c r="T839" s="1" t="s">
        <v>308</v>
      </c>
      <c r="U839" s="1" t="s">
        <v>309</v>
      </c>
      <c r="V839" s="3" t="s">
        <v>310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318</v>
      </c>
      <c r="AE839" s="6" t="s">
        <v>321</v>
      </c>
      <c r="AF839" s="6" t="s">
        <v>49</v>
      </c>
      <c r="AG839" s="6" t="s">
        <v>49</v>
      </c>
      <c r="AH839" s="1" t="s">
        <v>152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 t="s">
        <v>49</v>
      </c>
      <c r="AS839" s="6">
        <v>1.37</v>
      </c>
      <c r="AT839" s="6" t="s">
        <v>49</v>
      </c>
      <c r="AU839" s="6" t="s">
        <v>49</v>
      </c>
      <c r="AV839" s="6" t="s">
        <v>49</v>
      </c>
      <c r="AW839" s="30" t="s">
        <v>49</v>
      </c>
    </row>
    <row r="840" spans="1:49" ht="14.4" customHeight="1">
      <c r="A840" s="6">
        <v>3</v>
      </c>
      <c r="B840" s="6" t="s">
        <v>38</v>
      </c>
      <c r="C840" s="1" t="s">
        <v>38</v>
      </c>
      <c r="D840" s="3" t="s">
        <v>301</v>
      </c>
      <c r="E840" s="3" t="s">
        <v>719</v>
      </c>
      <c r="F840" s="3">
        <v>2003</v>
      </c>
      <c r="G840" s="3" t="s">
        <v>303</v>
      </c>
      <c r="H840" s="3" t="s">
        <v>304</v>
      </c>
      <c r="I840" s="3" t="s">
        <v>305</v>
      </c>
      <c r="J840" s="3" t="s">
        <v>306</v>
      </c>
      <c r="K840" s="3" t="s">
        <v>307</v>
      </c>
      <c r="L840" s="3" t="s">
        <v>46</v>
      </c>
      <c r="M840" s="1" t="s">
        <v>12</v>
      </c>
      <c r="N840" s="1" t="s">
        <v>76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77</v>
      </c>
      <c r="T840" s="1" t="s">
        <v>308</v>
      </c>
      <c r="U840" s="1" t="s">
        <v>309</v>
      </c>
      <c r="V840" s="3" t="s">
        <v>310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318</v>
      </c>
      <c r="AE840" s="6" t="s">
        <v>314</v>
      </c>
      <c r="AF840" s="6" t="s">
        <v>49</v>
      </c>
      <c r="AG840" s="6" t="s">
        <v>49</v>
      </c>
      <c r="AH840" s="1" t="s">
        <v>152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 t="s">
        <v>49</v>
      </c>
      <c r="AS840" s="6">
        <v>0.1</v>
      </c>
      <c r="AT840" s="6" t="s">
        <v>49</v>
      </c>
      <c r="AU840" s="6" t="s">
        <v>49</v>
      </c>
      <c r="AV840" s="6" t="s">
        <v>49</v>
      </c>
      <c r="AW840" s="30" t="s">
        <v>49</v>
      </c>
    </row>
    <row r="841" spans="1:49" ht="14.4" customHeight="1">
      <c r="A841" s="6">
        <v>3</v>
      </c>
      <c r="B841" s="6" t="s">
        <v>38</v>
      </c>
      <c r="C841" s="1" t="s">
        <v>38</v>
      </c>
      <c r="D841" s="3" t="s">
        <v>301</v>
      </c>
      <c r="E841" s="3" t="s">
        <v>719</v>
      </c>
      <c r="F841" s="3">
        <v>2003</v>
      </c>
      <c r="G841" s="3" t="s">
        <v>303</v>
      </c>
      <c r="H841" s="3" t="s">
        <v>304</v>
      </c>
      <c r="I841" s="3" t="s">
        <v>305</v>
      </c>
      <c r="J841" s="3" t="s">
        <v>306</v>
      </c>
      <c r="K841" s="3" t="s">
        <v>307</v>
      </c>
      <c r="L841" s="3" t="s">
        <v>46</v>
      </c>
      <c r="M841" s="1" t="s">
        <v>12</v>
      </c>
      <c r="N841" s="1" t="s">
        <v>76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77</v>
      </c>
      <c r="T841" s="1" t="s">
        <v>308</v>
      </c>
      <c r="U841" s="1" t="s">
        <v>309</v>
      </c>
      <c r="V841" s="3" t="s">
        <v>310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318</v>
      </c>
      <c r="AE841" s="6" t="s">
        <v>313</v>
      </c>
      <c r="AF841" s="6" t="s">
        <v>49</v>
      </c>
      <c r="AG841" s="6" t="s">
        <v>49</v>
      </c>
      <c r="AH841" s="1" t="s">
        <v>152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 t="s">
        <v>49</v>
      </c>
      <c r="AS841" s="6">
        <v>0.15</v>
      </c>
      <c r="AT841" s="6" t="s">
        <v>49</v>
      </c>
      <c r="AU841" s="6" t="s">
        <v>49</v>
      </c>
      <c r="AV841" s="6" t="s">
        <v>49</v>
      </c>
      <c r="AW841" s="30" t="s">
        <v>49</v>
      </c>
    </row>
    <row r="842" spans="1:49" ht="14.4" customHeight="1">
      <c r="A842" s="6">
        <v>3</v>
      </c>
      <c r="B842" s="6" t="s">
        <v>38</v>
      </c>
      <c r="C842" s="1" t="s">
        <v>38</v>
      </c>
      <c r="D842" s="3" t="s">
        <v>301</v>
      </c>
      <c r="E842" s="3" t="s">
        <v>719</v>
      </c>
      <c r="F842" s="3">
        <v>2003</v>
      </c>
      <c r="G842" s="3" t="s">
        <v>303</v>
      </c>
      <c r="H842" s="3" t="s">
        <v>304</v>
      </c>
      <c r="I842" s="3" t="s">
        <v>305</v>
      </c>
      <c r="J842" s="3" t="s">
        <v>306</v>
      </c>
      <c r="K842" s="3" t="s">
        <v>307</v>
      </c>
      <c r="L842" s="3" t="s">
        <v>46</v>
      </c>
      <c r="M842" s="1" t="s">
        <v>12</v>
      </c>
      <c r="N842" s="1" t="s">
        <v>76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77</v>
      </c>
      <c r="T842" s="1" t="s">
        <v>308</v>
      </c>
      <c r="U842" s="1" t="s">
        <v>309</v>
      </c>
      <c r="V842" s="3" t="s">
        <v>310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318</v>
      </c>
      <c r="AE842" s="6" t="s">
        <v>93</v>
      </c>
      <c r="AF842" s="6" t="s">
        <v>49</v>
      </c>
      <c r="AG842" s="6" t="s">
        <v>49</v>
      </c>
      <c r="AH842" s="1" t="s">
        <v>152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 t="s">
        <v>49</v>
      </c>
      <c r="AS842" s="6">
        <v>0.49</v>
      </c>
      <c r="AT842" s="6" t="s">
        <v>49</v>
      </c>
      <c r="AU842" s="6" t="s">
        <v>49</v>
      </c>
      <c r="AV842" s="6" t="s">
        <v>49</v>
      </c>
      <c r="AW842" s="30" t="s">
        <v>49</v>
      </c>
    </row>
    <row r="843" spans="1:49" ht="14.4" customHeight="1">
      <c r="A843" s="6">
        <v>3</v>
      </c>
      <c r="B843" s="6" t="s">
        <v>38</v>
      </c>
      <c r="C843" s="1" t="s">
        <v>38</v>
      </c>
      <c r="D843" s="3" t="s">
        <v>301</v>
      </c>
      <c r="E843" s="3" t="s">
        <v>719</v>
      </c>
      <c r="F843" s="3">
        <v>2003</v>
      </c>
      <c r="G843" s="3" t="s">
        <v>303</v>
      </c>
      <c r="H843" s="3" t="s">
        <v>304</v>
      </c>
      <c r="I843" s="3" t="s">
        <v>305</v>
      </c>
      <c r="J843" s="3" t="s">
        <v>306</v>
      </c>
      <c r="K843" s="3" t="s">
        <v>307</v>
      </c>
      <c r="L843" s="3" t="s">
        <v>46</v>
      </c>
      <c r="M843" s="1" t="s">
        <v>12</v>
      </c>
      <c r="N843" s="1" t="s">
        <v>76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77</v>
      </c>
      <c r="T843" s="1" t="s">
        <v>308</v>
      </c>
      <c r="U843" s="1" t="s">
        <v>309</v>
      </c>
      <c r="V843" s="3" t="s">
        <v>310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318</v>
      </c>
      <c r="AE843" s="6" t="s">
        <v>320</v>
      </c>
      <c r="AF843" s="6" t="s">
        <v>49</v>
      </c>
      <c r="AG843" s="6" t="s">
        <v>49</v>
      </c>
      <c r="AH843" s="1" t="s">
        <v>152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 t="s">
        <v>49</v>
      </c>
      <c r="AS843" s="6">
        <v>0.11</v>
      </c>
      <c r="AT843" s="6" t="s">
        <v>49</v>
      </c>
      <c r="AU843" s="6" t="s">
        <v>49</v>
      </c>
      <c r="AV843" s="6" t="s">
        <v>49</v>
      </c>
      <c r="AW843" s="30" t="s">
        <v>49</v>
      </c>
    </row>
    <row r="844" spans="1:49" ht="14.4" customHeight="1">
      <c r="A844" s="6">
        <v>3</v>
      </c>
      <c r="B844" s="6" t="s">
        <v>38</v>
      </c>
      <c r="C844" s="1" t="s">
        <v>38</v>
      </c>
      <c r="D844" s="3" t="s">
        <v>301</v>
      </c>
      <c r="E844" s="3" t="s">
        <v>719</v>
      </c>
      <c r="F844" s="3">
        <v>2003</v>
      </c>
      <c r="G844" s="3" t="s">
        <v>303</v>
      </c>
      <c r="H844" s="3" t="s">
        <v>304</v>
      </c>
      <c r="I844" s="3" t="s">
        <v>305</v>
      </c>
      <c r="J844" s="3" t="s">
        <v>306</v>
      </c>
      <c r="K844" s="3" t="s">
        <v>307</v>
      </c>
      <c r="L844" s="3" t="s">
        <v>46</v>
      </c>
      <c r="M844" s="1" t="s">
        <v>12</v>
      </c>
      <c r="N844" s="1" t="s">
        <v>76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77</v>
      </c>
      <c r="T844" s="1" t="s">
        <v>308</v>
      </c>
      <c r="U844" s="1" t="s">
        <v>309</v>
      </c>
      <c r="V844" s="3" t="s">
        <v>310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318</v>
      </c>
      <c r="AE844" s="6" t="s">
        <v>323</v>
      </c>
      <c r="AF844" s="6" t="s">
        <v>49</v>
      </c>
      <c r="AG844" s="6" t="s">
        <v>49</v>
      </c>
      <c r="AH844" s="1" t="s">
        <v>152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 t="s">
        <v>49</v>
      </c>
      <c r="AS844" s="6">
        <v>0.36</v>
      </c>
      <c r="AT844" s="6" t="s">
        <v>49</v>
      </c>
      <c r="AU844" s="6" t="s">
        <v>49</v>
      </c>
      <c r="AV844" s="6" t="s">
        <v>49</v>
      </c>
      <c r="AW844" s="30" t="s">
        <v>49</v>
      </c>
    </row>
    <row r="845" spans="1:49" ht="14.4" customHeight="1">
      <c r="A845" s="6">
        <v>3</v>
      </c>
      <c r="B845" s="6" t="s">
        <v>38</v>
      </c>
      <c r="C845" s="1" t="s">
        <v>38</v>
      </c>
      <c r="D845" s="3" t="s">
        <v>301</v>
      </c>
      <c r="E845" s="3" t="s">
        <v>719</v>
      </c>
      <c r="F845" s="3">
        <v>2003</v>
      </c>
      <c r="G845" s="3" t="s">
        <v>303</v>
      </c>
      <c r="H845" s="3" t="s">
        <v>304</v>
      </c>
      <c r="I845" s="3" t="s">
        <v>305</v>
      </c>
      <c r="J845" s="3" t="s">
        <v>306</v>
      </c>
      <c r="K845" s="3" t="s">
        <v>307</v>
      </c>
      <c r="L845" s="3" t="s">
        <v>46</v>
      </c>
      <c r="M845" s="1" t="s">
        <v>12</v>
      </c>
      <c r="N845" s="1" t="s">
        <v>76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77</v>
      </c>
      <c r="T845" s="1" t="s">
        <v>308</v>
      </c>
      <c r="U845" s="1" t="s">
        <v>309</v>
      </c>
      <c r="V845" s="3" t="s">
        <v>310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318</v>
      </c>
      <c r="AE845" s="6" t="s">
        <v>324</v>
      </c>
      <c r="AF845" s="6" t="s">
        <v>49</v>
      </c>
      <c r="AG845" s="6" t="s">
        <v>49</v>
      </c>
      <c r="AH845" s="1" t="s">
        <v>152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 t="s">
        <v>49</v>
      </c>
      <c r="AS845" s="6">
        <v>0.34</v>
      </c>
      <c r="AT845" s="6" t="s">
        <v>49</v>
      </c>
      <c r="AU845" s="6" t="s">
        <v>49</v>
      </c>
      <c r="AV845" s="6" t="s">
        <v>49</v>
      </c>
      <c r="AW845" s="30" t="s">
        <v>49</v>
      </c>
    </row>
    <row r="846" spans="1:49" ht="14.4" customHeight="1">
      <c r="A846" s="6">
        <v>3</v>
      </c>
      <c r="B846" s="6" t="s">
        <v>38</v>
      </c>
      <c r="C846" s="1" t="s">
        <v>38</v>
      </c>
      <c r="D846" s="3" t="s">
        <v>301</v>
      </c>
      <c r="E846" s="3" t="s">
        <v>719</v>
      </c>
      <c r="F846" s="3">
        <v>2003</v>
      </c>
      <c r="G846" s="3" t="s">
        <v>303</v>
      </c>
      <c r="H846" s="3" t="s">
        <v>304</v>
      </c>
      <c r="I846" s="3" t="s">
        <v>305</v>
      </c>
      <c r="J846" s="3" t="s">
        <v>306</v>
      </c>
      <c r="K846" s="3" t="s">
        <v>307</v>
      </c>
      <c r="L846" s="3" t="s">
        <v>46</v>
      </c>
      <c r="M846" s="1" t="s">
        <v>12</v>
      </c>
      <c r="N846" s="1" t="s">
        <v>76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77</v>
      </c>
      <c r="T846" s="1" t="s">
        <v>308</v>
      </c>
      <c r="U846" s="1" t="s">
        <v>309</v>
      </c>
      <c r="V846" s="3" t="s">
        <v>310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318</v>
      </c>
      <c r="AE846" s="6" t="s">
        <v>325</v>
      </c>
      <c r="AF846" s="6" t="s">
        <v>49</v>
      </c>
      <c r="AG846" s="6" t="s">
        <v>49</v>
      </c>
      <c r="AH846" s="1" t="s">
        <v>152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 t="s">
        <v>49</v>
      </c>
      <c r="AS846" s="6">
        <v>0.21</v>
      </c>
      <c r="AT846" s="6" t="s">
        <v>49</v>
      </c>
      <c r="AU846" s="6" t="s">
        <v>49</v>
      </c>
      <c r="AV846" s="6" t="s">
        <v>49</v>
      </c>
      <c r="AW846" s="30" t="s">
        <v>49</v>
      </c>
    </row>
    <row r="847" spans="1:49" ht="14.4" customHeight="1">
      <c r="A847" s="6">
        <v>3</v>
      </c>
      <c r="B847" s="6" t="s">
        <v>38</v>
      </c>
      <c r="C847" s="1" t="s">
        <v>38</v>
      </c>
      <c r="D847" s="3" t="s">
        <v>301</v>
      </c>
      <c r="E847" s="3" t="s">
        <v>719</v>
      </c>
      <c r="F847" s="3">
        <v>2003</v>
      </c>
      <c r="G847" s="3" t="s">
        <v>303</v>
      </c>
      <c r="H847" s="3" t="s">
        <v>304</v>
      </c>
      <c r="I847" s="3" t="s">
        <v>305</v>
      </c>
      <c r="J847" s="3" t="s">
        <v>306</v>
      </c>
      <c r="K847" s="3" t="s">
        <v>307</v>
      </c>
      <c r="L847" s="3" t="s">
        <v>46</v>
      </c>
      <c r="M847" s="1" t="s">
        <v>12</v>
      </c>
      <c r="N847" s="1" t="s">
        <v>76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77</v>
      </c>
      <c r="T847" s="1" t="s">
        <v>308</v>
      </c>
      <c r="U847" s="1" t="s">
        <v>309</v>
      </c>
      <c r="V847" s="3" t="s">
        <v>310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318</v>
      </c>
      <c r="AE847" s="1" t="s">
        <v>326</v>
      </c>
      <c r="AF847" s="6" t="s">
        <v>49</v>
      </c>
      <c r="AG847" s="6" t="s">
        <v>49</v>
      </c>
      <c r="AH847" s="1" t="s">
        <v>152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 t="s">
        <v>49</v>
      </c>
      <c r="AS847" s="6">
        <v>2.09</v>
      </c>
      <c r="AT847" s="6" t="s">
        <v>49</v>
      </c>
      <c r="AU847" s="6" t="s">
        <v>49</v>
      </c>
      <c r="AV847" s="6" t="s">
        <v>49</v>
      </c>
      <c r="AW847" s="30" t="s">
        <v>49</v>
      </c>
    </row>
    <row r="848" spans="1:49" ht="14.4" customHeight="1">
      <c r="A848" s="6">
        <v>3</v>
      </c>
      <c r="B848" s="6" t="s">
        <v>38</v>
      </c>
      <c r="C848" s="1" t="s">
        <v>38</v>
      </c>
      <c r="D848" s="3" t="s">
        <v>301</v>
      </c>
      <c r="E848" s="3" t="s">
        <v>719</v>
      </c>
      <c r="F848" s="3">
        <v>2003</v>
      </c>
      <c r="G848" s="3" t="s">
        <v>303</v>
      </c>
      <c r="H848" s="3" t="s">
        <v>304</v>
      </c>
      <c r="I848" s="3" t="s">
        <v>305</v>
      </c>
      <c r="J848" s="3" t="s">
        <v>306</v>
      </c>
      <c r="K848" s="3" t="s">
        <v>307</v>
      </c>
      <c r="L848" s="3" t="s">
        <v>46</v>
      </c>
      <c r="M848" s="1" t="s">
        <v>12</v>
      </c>
      <c r="N848" s="1" t="s">
        <v>76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77</v>
      </c>
      <c r="T848" s="1" t="s">
        <v>308</v>
      </c>
      <c r="U848" s="1" t="s">
        <v>309</v>
      </c>
      <c r="V848" s="3" t="s">
        <v>310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318</v>
      </c>
      <c r="AE848" s="6" t="s">
        <v>327</v>
      </c>
      <c r="AF848" s="6" t="s">
        <v>49</v>
      </c>
      <c r="AG848" s="6" t="s">
        <v>49</v>
      </c>
      <c r="AH848" s="1" t="s">
        <v>152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 t="s">
        <v>49</v>
      </c>
      <c r="AS848" s="6">
        <v>3.21</v>
      </c>
      <c r="AT848" s="6" t="s">
        <v>49</v>
      </c>
      <c r="AU848" s="6" t="s">
        <v>49</v>
      </c>
      <c r="AV848" s="6" t="s">
        <v>49</v>
      </c>
      <c r="AW848" s="30" t="s">
        <v>49</v>
      </c>
    </row>
    <row r="849" spans="1:49" ht="14.4" customHeight="1">
      <c r="A849" s="6">
        <v>3</v>
      </c>
      <c r="B849" s="6" t="s">
        <v>38</v>
      </c>
      <c r="C849" s="1" t="s">
        <v>38</v>
      </c>
      <c r="D849" s="3" t="s">
        <v>301</v>
      </c>
      <c r="E849" s="3" t="s">
        <v>719</v>
      </c>
      <c r="F849" s="3">
        <v>2003</v>
      </c>
      <c r="G849" s="3" t="s">
        <v>303</v>
      </c>
      <c r="H849" s="3" t="s">
        <v>304</v>
      </c>
      <c r="I849" s="3" t="s">
        <v>305</v>
      </c>
      <c r="J849" s="3" t="s">
        <v>306</v>
      </c>
      <c r="K849" s="3" t="s">
        <v>307</v>
      </c>
      <c r="L849" s="3" t="s">
        <v>46</v>
      </c>
      <c r="M849" s="1" t="s">
        <v>12</v>
      </c>
      <c r="N849" s="1" t="s">
        <v>76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77</v>
      </c>
      <c r="T849" s="1" t="s">
        <v>308</v>
      </c>
      <c r="U849" s="1" t="s">
        <v>309</v>
      </c>
      <c r="V849" s="3" t="s">
        <v>310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318</v>
      </c>
      <c r="AE849" s="6" t="s">
        <v>238</v>
      </c>
      <c r="AF849" s="6" t="s">
        <v>49</v>
      </c>
      <c r="AG849" s="6" t="s">
        <v>49</v>
      </c>
      <c r="AH849" s="1" t="s">
        <v>152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 t="s">
        <v>49</v>
      </c>
      <c r="AS849" s="6">
        <v>0.3</v>
      </c>
      <c r="AT849" s="6" t="s">
        <v>49</v>
      </c>
      <c r="AU849" s="6" t="s">
        <v>49</v>
      </c>
      <c r="AV849" s="6" t="s">
        <v>49</v>
      </c>
      <c r="AW849" s="30" t="s">
        <v>49</v>
      </c>
    </row>
    <row r="850" spans="1:49" ht="14.4" customHeight="1">
      <c r="A850" s="6">
        <v>3</v>
      </c>
      <c r="B850" s="6" t="s">
        <v>38</v>
      </c>
      <c r="C850" s="1" t="s">
        <v>38</v>
      </c>
      <c r="D850" s="3" t="s">
        <v>301</v>
      </c>
      <c r="E850" s="3" t="s">
        <v>719</v>
      </c>
      <c r="F850" s="3">
        <v>2003</v>
      </c>
      <c r="G850" s="3" t="s">
        <v>303</v>
      </c>
      <c r="H850" s="3" t="s">
        <v>304</v>
      </c>
      <c r="I850" s="3" t="s">
        <v>305</v>
      </c>
      <c r="J850" s="3" t="s">
        <v>306</v>
      </c>
      <c r="K850" s="3" t="s">
        <v>307</v>
      </c>
      <c r="L850" s="3" t="s">
        <v>46</v>
      </c>
      <c r="M850" s="1" t="s">
        <v>12</v>
      </c>
      <c r="N850" s="1" t="s">
        <v>76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77</v>
      </c>
      <c r="T850" s="1" t="s">
        <v>308</v>
      </c>
      <c r="U850" s="1" t="s">
        <v>309</v>
      </c>
      <c r="V850" s="3" t="s">
        <v>310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318</v>
      </c>
      <c r="AE850" s="6" t="s">
        <v>85</v>
      </c>
      <c r="AF850" s="6" t="s">
        <v>49</v>
      </c>
      <c r="AG850" s="6" t="s">
        <v>49</v>
      </c>
      <c r="AH850" s="1" t="s">
        <v>152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 t="s">
        <v>49</v>
      </c>
      <c r="AS850" s="6">
        <v>0.17</v>
      </c>
      <c r="AT850" s="6" t="s">
        <v>49</v>
      </c>
      <c r="AU850" s="6" t="s">
        <v>49</v>
      </c>
      <c r="AV850" s="6" t="s">
        <v>49</v>
      </c>
      <c r="AW850" s="30" t="s">
        <v>49</v>
      </c>
    </row>
    <row r="851" spans="1:49" ht="14.4" customHeight="1">
      <c r="A851" s="6">
        <v>3</v>
      </c>
      <c r="B851" s="6" t="s">
        <v>38</v>
      </c>
      <c r="C851" s="1" t="s">
        <v>38</v>
      </c>
      <c r="D851" s="3" t="s">
        <v>301</v>
      </c>
      <c r="E851" s="3" t="s">
        <v>719</v>
      </c>
      <c r="F851" s="3">
        <v>2003</v>
      </c>
      <c r="G851" s="3" t="s">
        <v>303</v>
      </c>
      <c r="H851" s="3" t="s">
        <v>304</v>
      </c>
      <c r="I851" s="3" t="s">
        <v>305</v>
      </c>
      <c r="J851" s="3" t="s">
        <v>306</v>
      </c>
      <c r="K851" s="3" t="s">
        <v>307</v>
      </c>
      <c r="L851" s="3" t="s">
        <v>46</v>
      </c>
      <c r="M851" s="1" t="s">
        <v>12</v>
      </c>
      <c r="N851" s="1" t="s">
        <v>76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77</v>
      </c>
      <c r="T851" s="1" t="s">
        <v>308</v>
      </c>
      <c r="U851" s="1" t="s">
        <v>309</v>
      </c>
      <c r="V851" s="3" t="s">
        <v>310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318</v>
      </c>
      <c r="AE851" s="6" t="s">
        <v>312</v>
      </c>
      <c r="AF851" s="6" t="s">
        <v>49</v>
      </c>
      <c r="AG851" s="6" t="s">
        <v>49</v>
      </c>
      <c r="AH851" s="1" t="s">
        <v>152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 t="s">
        <v>49</v>
      </c>
      <c r="AS851" s="6">
        <v>3.1E-2</v>
      </c>
      <c r="AT851" s="6" t="s">
        <v>49</v>
      </c>
      <c r="AU851" s="6" t="s">
        <v>49</v>
      </c>
      <c r="AV851" s="6" t="s">
        <v>49</v>
      </c>
      <c r="AW851" s="30" t="s">
        <v>49</v>
      </c>
    </row>
    <row r="852" spans="1:49" ht="14.4" customHeight="1">
      <c r="A852" s="6">
        <v>3</v>
      </c>
      <c r="B852" s="6" t="s">
        <v>38</v>
      </c>
      <c r="C852" s="1" t="s">
        <v>38</v>
      </c>
      <c r="D852" s="3" t="s">
        <v>301</v>
      </c>
      <c r="E852" s="3" t="s">
        <v>719</v>
      </c>
      <c r="F852" s="3">
        <v>2003</v>
      </c>
      <c r="G852" s="3" t="s">
        <v>303</v>
      </c>
      <c r="H852" s="3" t="s">
        <v>304</v>
      </c>
      <c r="I852" s="3" t="s">
        <v>305</v>
      </c>
      <c r="J852" s="3" t="s">
        <v>306</v>
      </c>
      <c r="K852" s="3" t="s">
        <v>307</v>
      </c>
      <c r="L852" s="3" t="s">
        <v>46</v>
      </c>
      <c r="M852" s="1" t="s">
        <v>12</v>
      </c>
      <c r="N852" s="1" t="s">
        <v>76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77</v>
      </c>
      <c r="T852" s="1" t="s">
        <v>308</v>
      </c>
      <c r="U852" s="1" t="s">
        <v>309</v>
      </c>
      <c r="V852" s="3" t="s">
        <v>310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321</v>
      </c>
      <c r="AE852" s="6" t="s">
        <v>314</v>
      </c>
      <c r="AF852" s="6" t="s">
        <v>49</v>
      </c>
      <c r="AG852" s="6" t="s">
        <v>49</v>
      </c>
      <c r="AH852" s="1" t="s">
        <v>152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 t="s">
        <v>49</v>
      </c>
      <c r="AS852" s="6">
        <v>0.12</v>
      </c>
      <c r="AT852" s="6" t="s">
        <v>49</v>
      </c>
      <c r="AU852" s="6" t="s">
        <v>49</v>
      </c>
      <c r="AV852" s="6" t="s">
        <v>49</v>
      </c>
      <c r="AW852" s="30" t="s">
        <v>49</v>
      </c>
    </row>
    <row r="853" spans="1:49" ht="14.4" customHeight="1">
      <c r="A853" s="6">
        <v>3</v>
      </c>
      <c r="B853" s="6" t="s">
        <v>38</v>
      </c>
      <c r="C853" s="1" t="s">
        <v>38</v>
      </c>
      <c r="D853" s="3" t="s">
        <v>301</v>
      </c>
      <c r="E853" s="3" t="s">
        <v>719</v>
      </c>
      <c r="F853" s="3">
        <v>2003</v>
      </c>
      <c r="G853" s="3" t="s">
        <v>303</v>
      </c>
      <c r="H853" s="3" t="s">
        <v>304</v>
      </c>
      <c r="I853" s="3" t="s">
        <v>305</v>
      </c>
      <c r="J853" s="3" t="s">
        <v>306</v>
      </c>
      <c r="K853" s="3" t="s">
        <v>307</v>
      </c>
      <c r="L853" s="3" t="s">
        <v>46</v>
      </c>
      <c r="M853" s="1" t="s">
        <v>12</v>
      </c>
      <c r="N853" s="1" t="s">
        <v>76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77</v>
      </c>
      <c r="T853" s="1" t="s">
        <v>308</v>
      </c>
      <c r="U853" s="1" t="s">
        <v>309</v>
      </c>
      <c r="V853" s="3" t="s">
        <v>310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321</v>
      </c>
      <c r="AE853" s="6" t="s">
        <v>313</v>
      </c>
      <c r="AF853" s="6" t="s">
        <v>49</v>
      </c>
      <c r="AG853" s="6" t="s">
        <v>49</v>
      </c>
      <c r="AH853" s="1" t="s">
        <v>152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 t="s">
        <v>49</v>
      </c>
      <c r="AS853" s="6">
        <v>7.9000000000000001E-2</v>
      </c>
      <c r="AT853" s="6" t="s">
        <v>49</v>
      </c>
      <c r="AU853" s="6" t="s">
        <v>49</v>
      </c>
      <c r="AV853" s="6" t="s">
        <v>49</v>
      </c>
      <c r="AW853" s="30" t="s">
        <v>49</v>
      </c>
    </row>
    <row r="854" spans="1:49" ht="14.4" customHeight="1">
      <c r="A854" s="6">
        <v>3</v>
      </c>
      <c r="B854" s="6" t="s">
        <v>38</v>
      </c>
      <c r="C854" s="1" t="s">
        <v>38</v>
      </c>
      <c r="D854" s="3" t="s">
        <v>301</v>
      </c>
      <c r="E854" s="3" t="s">
        <v>719</v>
      </c>
      <c r="F854" s="3">
        <v>2003</v>
      </c>
      <c r="G854" s="3" t="s">
        <v>303</v>
      </c>
      <c r="H854" s="3" t="s">
        <v>304</v>
      </c>
      <c r="I854" s="3" t="s">
        <v>305</v>
      </c>
      <c r="J854" s="3" t="s">
        <v>306</v>
      </c>
      <c r="K854" s="3" t="s">
        <v>307</v>
      </c>
      <c r="L854" s="3" t="s">
        <v>46</v>
      </c>
      <c r="M854" s="1" t="s">
        <v>12</v>
      </c>
      <c r="N854" s="1" t="s">
        <v>76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77</v>
      </c>
      <c r="T854" s="1" t="s">
        <v>308</v>
      </c>
      <c r="U854" s="1" t="s">
        <v>309</v>
      </c>
      <c r="V854" s="3" t="s">
        <v>310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321</v>
      </c>
      <c r="AE854" s="6" t="s">
        <v>93</v>
      </c>
      <c r="AF854" s="6" t="s">
        <v>49</v>
      </c>
      <c r="AG854" s="6" t="s">
        <v>49</v>
      </c>
      <c r="AH854" s="1" t="s">
        <v>152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 t="s">
        <v>49</v>
      </c>
      <c r="AS854" s="6">
        <v>0.5</v>
      </c>
      <c r="AT854" s="6" t="s">
        <v>49</v>
      </c>
      <c r="AU854" s="6" t="s">
        <v>49</v>
      </c>
      <c r="AV854" s="6" t="s">
        <v>49</v>
      </c>
      <c r="AW854" s="30" t="s">
        <v>49</v>
      </c>
    </row>
    <row r="855" spans="1:49" ht="14.4" customHeight="1">
      <c r="A855" s="6">
        <v>3</v>
      </c>
      <c r="B855" s="6" t="s">
        <v>38</v>
      </c>
      <c r="C855" s="1" t="s">
        <v>38</v>
      </c>
      <c r="D855" s="3" t="s">
        <v>301</v>
      </c>
      <c r="E855" s="3" t="s">
        <v>719</v>
      </c>
      <c r="F855" s="3">
        <v>2003</v>
      </c>
      <c r="G855" s="3" t="s">
        <v>303</v>
      </c>
      <c r="H855" s="3" t="s">
        <v>304</v>
      </c>
      <c r="I855" s="3" t="s">
        <v>305</v>
      </c>
      <c r="J855" s="3" t="s">
        <v>306</v>
      </c>
      <c r="K855" s="3" t="s">
        <v>307</v>
      </c>
      <c r="L855" s="3" t="s">
        <v>46</v>
      </c>
      <c r="M855" s="1" t="s">
        <v>12</v>
      </c>
      <c r="N855" s="1" t="s">
        <v>76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77</v>
      </c>
      <c r="T855" s="1" t="s">
        <v>308</v>
      </c>
      <c r="U855" s="1" t="s">
        <v>309</v>
      </c>
      <c r="V855" s="3" t="s">
        <v>310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321</v>
      </c>
      <c r="AE855" s="6" t="s">
        <v>320</v>
      </c>
      <c r="AF855" s="6" t="s">
        <v>49</v>
      </c>
      <c r="AG855" s="6" t="s">
        <v>49</v>
      </c>
      <c r="AH855" s="1" t="s">
        <v>152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 t="s">
        <v>49</v>
      </c>
      <c r="AS855" s="6">
        <v>5.3999999999999999E-2</v>
      </c>
      <c r="AT855" s="6" t="s">
        <v>49</v>
      </c>
      <c r="AU855" s="6" t="s">
        <v>49</v>
      </c>
      <c r="AV855" s="6" t="s">
        <v>49</v>
      </c>
      <c r="AW855" s="30" t="s">
        <v>49</v>
      </c>
    </row>
    <row r="856" spans="1:49" ht="14.4" customHeight="1">
      <c r="A856" s="6">
        <v>3</v>
      </c>
      <c r="B856" s="6" t="s">
        <v>38</v>
      </c>
      <c r="C856" s="1" t="s">
        <v>38</v>
      </c>
      <c r="D856" s="3" t="s">
        <v>301</v>
      </c>
      <c r="E856" s="3" t="s">
        <v>719</v>
      </c>
      <c r="F856" s="3">
        <v>2003</v>
      </c>
      <c r="G856" s="3" t="s">
        <v>303</v>
      </c>
      <c r="H856" s="3" t="s">
        <v>304</v>
      </c>
      <c r="I856" s="3" t="s">
        <v>305</v>
      </c>
      <c r="J856" s="3" t="s">
        <v>306</v>
      </c>
      <c r="K856" s="3" t="s">
        <v>307</v>
      </c>
      <c r="L856" s="3" t="s">
        <v>46</v>
      </c>
      <c r="M856" s="1" t="s">
        <v>12</v>
      </c>
      <c r="N856" s="1" t="s">
        <v>76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77</v>
      </c>
      <c r="T856" s="1" t="s">
        <v>308</v>
      </c>
      <c r="U856" s="1" t="s">
        <v>309</v>
      </c>
      <c r="V856" s="3" t="s">
        <v>310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321</v>
      </c>
      <c r="AE856" s="6" t="s">
        <v>323</v>
      </c>
      <c r="AF856" s="6" t="s">
        <v>49</v>
      </c>
      <c r="AG856" s="6" t="s">
        <v>49</v>
      </c>
      <c r="AH856" s="1" t="s">
        <v>152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 t="s">
        <v>49</v>
      </c>
      <c r="AS856" s="6">
        <v>0.25</v>
      </c>
      <c r="AT856" s="6" t="s">
        <v>49</v>
      </c>
      <c r="AU856" s="6" t="s">
        <v>49</v>
      </c>
      <c r="AV856" s="6" t="s">
        <v>49</v>
      </c>
      <c r="AW856" s="30" t="s">
        <v>49</v>
      </c>
    </row>
    <row r="857" spans="1:49" ht="14.4" customHeight="1">
      <c r="A857" s="6">
        <v>3</v>
      </c>
      <c r="B857" s="6" t="s">
        <v>38</v>
      </c>
      <c r="C857" s="1" t="s">
        <v>38</v>
      </c>
      <c r="D857" s="3" t="s">
        <v>301</v>
      </c>
      <c r="E857" s="3" t="s">
        <v>719</v>
      </c>
      <c r="F857" s="3">
        <v>2003</v>
      </c>
      <c r="G857" s="3" t="s">
        <v>303</v>
      </c>
      <c r="H857" s="3" t="s">
        <v>304</v>
      </c>
      <c r="I857" s="3" t="s">
        <v>305</v>
      </c>
      <c r="J857" s="3" t="s">
        <v>306</v>
      </c>
      <c r="K857" s="3" t="s">
        <v>307</v>
      </c>
      <c r="L857" s="3" t="s">
        <v>46</v>
      </c>
      <c r="M857" s="1" t="s">
        <v>12</v>
      </c>
      <c r="N857" s="1" t="s">
        <v>76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77</v>
      </c>
      <c r="T857" s="1" t="s">
        <v>308</v>
      </c>
      <c r="U857" s="1" t="s">
        <v>309</v>
      </c>
      <c r="V857" s="3" t="s">
        <v>310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321</v>
      </c>
      <c r="AE857" s="6" t="s">
        <v>324</v>
      </c>
      <c r="AF857" s="6" t="s">
        <v>49</v>
      </c>
      <c r="AG857" s="6" t="s">
        <v>49</v>
      </c>
      <c r="AH857" s="1" t="s">
        <v>152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 t="s">
        <v>49</v>
      </c>
      <c r="AS857" s="6">
        <v>0.22</v>
      </c>
      <c r="AT857" s="6" t="s">
        <v>49</v>
      </c>
      <c r="AU857" s="6" t="s">
        <v>49</v>
      </c>
      <c r="AV857" s="6" t="s">
        <v>49</v>
      </c>
      <c r="AW857" s="30" t="s">
        <v>49</v>
      </c>
    </row>
    <row r="858" spans="1:49" ht="14.4" customHeight="1">
      <c r="A858" s="6">
        <v>3</v>
      </c>
      <c r="B858" s="6" t="s">
        <v>38</v>
      </c>
      <c r="C858" s="1" t="s">
        <v>38</v>
      </c>
      <c r="D858" s="3" t="s">
        <v>301</v>
      </c>
      <c r="E858" s="3" t="s">
        <v>719</v>
      </c>
      <c r="F858" s="3">
        <v>2003</v>
      </c>
      <c r="G858" s="3" t="s">
        <v>303</v>
      </c>
      <c r="H858" s="3" t="s">
        <v>304</v>
      </c>
      <c r="I858" s="3" t="s">
        <v>305</v>
      </c>
      <c r="J858" s="3" t="s">
        <v>306</v>
      </c>
      <c r="K858" s="3" t="s">
        <v>307</v>
      </c>
      <c r="L858" s="3" t="s">
        <v>46</v>
      </c>
      <c r="M858" s="1" t="s">
        <v>12</v>
      </c>
      <c r="N858" s="1" t="s">
        <v>76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77</v>
      </c>
      <c r="T858" s="1" t="s">
        <v>308</v>
      </c>
      <c r="U858" s="1" t="s">
        <v>309</v>
      </c>
      <c r="V858" s="3" t="s">
        <v>310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321</v>
      </c>
      <c r="AE858" s="6" t="s">
        <v>325</v>
      </c>
      <c r="AF858" s="6" t="s">
        <v>49</v>
      </c>
      <c r="AG858" s="6" t="s">
        <v>49</v>
      </c>
      <c r="AH858" s="1" t="s">
        <v>152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 t="s">
        <v>49</v>
      </c>
      <c r="AS858" s="6">
        <v>0.16</v>
      </c>
      <c r="AT858" s="6" t="s">
        <v>49</v>
      </c>
      <c r="AU858" s="6" t="s">
        <v>49</v>
      </c>
      <c r="AV858" s="6" t="s">
        <v>49</v>
      </c>
      <c r="AW858" s="30" t="s">
        <v>49</v>
      </c>
    </row>
    <row r="859" spans="1:49" ht="14.4" customHeight="1">
      <c r="A859" s="6">
        <v>3</v>
      </c>
      <c r="B859" s="6" t="s">
        <v>38</v>
      </c>
      <c r="C859" s="1" t="s">
        <v>38</v>
      </c>
      <c r="D859" s="3" t="s">
        <v>301</v>
      </c>
      <c r="E859" s="3" t="s">
        <v>719</v>
      </c>
      <c r="F859" s="3">
        <v>2003</v>
      </c>
      <c r="G859" s="3" t="s">
        <v>303</v>
      </c>
      <c r="H859" s="3" t="s">
        <v>304</v>
      </c>
      <c r="I859" s="3" t="s">
        <v>305</v>
      </c>
      <c r="J859" s="3" t="s">
        <v>306</v>
      </c>
      <c r="K859" s="3" t="s">
        <v>307</v>
      </c>
      <c r="L859" s="3" t="s">
        <v>46</v>
      </c>
      <c r="M859" s="1" t="s">
        <v>12</v>
      </c>
      <c r="N859" s="1" t="s">
        <v>76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77</v>
      </c>
      <c r="T859" s="1" t="s">
        <v>308</v>
      </c>
      <c r="U859" s="1" t="s">
        <v>309</v>
      </c>
      <c r="V859" s="3" t="s">
        <v>310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321</v>
      </c>
      <c r="AE859" s="1" t="s">
        <v>326</v>
      </c>
      <c r="AF859" s="6" t="s">
        <v>49</v>
      </c>
      <c r="AG859" s="6" t="s">
        <v>49</v>
      </c>
      <c r="AH859" s="1" t="s">
        <v>152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 t="s">
        <v>49</v>
      </c>
      <c r="AS859" s="6">
        <v>1.56</v>
      </c>
      <c r="AT859" s="6" t="s">
        <v>49</v>
      </c>
      <c r="AU859" s="6" t="s">
        <v>49</v>
      </c>
      <c r="AV859" s="6" t="s">
        <v>49</v>
      </c>
      <c r="AW859" s="30" t="s">
        <v>49</v>
      </c>
    </row>
    <row r="860" spans="1:49" ht="14.4" customHeight="1">
      <c r="A860" s="6">
        <v>3</v>
      </c>
      <c r="B860" s="6" t="s">
        <v>38</v>
      </c>
      <c r="C860" s="1" t="s">
        <v>38</v>
      </c>
      <c r="D860" s="3" t="s">
        <v>301</v>
      </c>
      <c r="E860" s="3" t="s">
        <v>719</v>
      </c>
      <c r="F860" s="3">
        <v>2003</v>
      </c>
      <c r="G860" s="3" t="s">
        <v>303</v>
      </c>
      <c r="H860" s="3" t="s">
        <v>304</v>
      </c>
      <c r="I860" s="3" t="s">
        <v>305</v>
      </c>
      <c r="J860" s="3" t="s">
        <v>306</v>
      </c>
      <c r="K860" s="3" t="s">
        <v>307</v>
      </c>
      <c r="L860" s="3" t="s">
        <v>46</v>
      </c>
      <c r="M860" s="1" t="s">
        <v>12</v>
      </c>
      <c r="N860" s="1" t="s">
        <v>76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77</v>
      </c>
      <c r="T860" s="1" t="s">
        <v>308</v>
      </c>
      <c r="U860" s="1" t="s">
        <v>309</v>
      </c>
      <c r="V860" s="3" t="s">
        <v>310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321</v>
      </c>
      <c r="AE860" s="6" t="s">
        <v>327</v>
      </c>
      <c r="AF860" s="6" t="s">
        <v>49</v>
      </c>
      <c r="AG860" s="6" t="s">
        <v>49</v>
      </c>
      <c r="AH860" s="1" t="s">
        <v>152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 t="s">
        <v>49</v>
      </c>
      <c r="AS860" s="6">
        <v>2.1800000000000002</v>
      </c>
      <c r="AT860" s="6" t="s">
        <v>49</v>
      </c>
      <c r="AU860" s="6" t="s">
        <v>49</v>
      </c>
      <c r="AV860" s="6" t="s">
        <v>49</v>
      </c>
      <c r="AW860" s="30" t="s">
        <v>49</v>
      </c>
    </row>
    <row r="861" spans="1:49" ht="14.4" customHeight="1">
      <c r="A861" s="6">
        <v>3</v>
      </c>
      <c r="B861" s="6" t="s">
        <v>38</v>
      </c>
      <c r="C861" s="1" t="s">
        <v>38</v>
      </c>
      <c r="D861" s="3" t="s">
        <v>301</v>
      </c>
      <c r="E861" s="3" t="s">
        <v>719</v>
      </c>
      <c r="F861" s="3">
        <v>2003</v>
      </c>
      <c r="G861" s="3" t="s">
        <v>303</v>
      </c>
      <c r="H861" s="3" t="s">
        <v>304</v>
      </c>
      <c r="I861" s="3" t="s">
        <v>305</v>
      </c>
      <c r="J861" s="3" t="s">
        <v>306</v>
      </c>
      <c r="K861" s="3" t="s">
        <v>307</v>
      </c>
      <c r="L861" s="3" t="s">
        <v>46</v>
      </c>
      <c r="M861" s="1" t="s">
        <v>12</v>
      </c>
      <c r="N861" s="1" t="s">
        <v>76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77</v>
      </c>
      <c r="T861" s="1" t="s">
        <v>308</v>
      </c>
      <c r="U861" s="1" t="s">
        <v>309</v>
      </c>
      <c r="V861" s="3" t="s">
        <v>310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321</v>
      </c>
      <c r="AE861" s="6" t="s">
        <v>238</v>
      </c>
      <c r="AF861" s="6" t="s">
        <v>49</v>
      </c>
      <c r="AG861" s="6" t="s">
        <v>49</v>
      </c>
      <c r="AH861" s="1" t="s">
        <v>152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 t="s">
        <v>49</v>
      </c>
      <c r="AS861" s="6">
        <v>0.31</v>
      </c>
      <c r="AT861" s="6" t="s">
        <v>49</v>
      </c>
      <c r="AU861" s="6" t="s">
        <v>49</v>
      </c>
      <c r="AV861" s="6" t="s">
        <v>49</v>
      </c>
      <c r="AW861" s="30" t="s">
        <v>49</v>
      </c>
    </row>
    <row r="862" spans="1:49" ht="14.4" customHeight="1">
      <c r="A862" s="6">
        <v>3</v>
      </c>
      <c r="B862" s="6" t="s">
        <v>38</v>
      </c>
      <c r="C862" s="1" t="s">
        <v>38</v>
      </c>
      <c r="D862" s="3" t="s">
        <v>301</v>
      </c>
      <c r="E862" s="3" t="s">
        <v>719</v>
      </c>
      <c r="F862" s="3">
        <v>2003</v>
      </c>
      <c r="G862" s="3" t="s">
        <v>303</v>
      </c>
      <c r="H862" s="3" t="s">
        <v>304</v>
      </c>
      <c r="I862" s="3" t="s">
        <v>305</v>
      </c>
      <c r="J862" s="3" t="s">
        <v>306</v>
      </c>
      <c r="K862" s="3" t="s">
        <v>307</v>
      </c>
      <c r="L862" s="3" t="s">
        <v>46</v>
      </c>
      <c r="M862" s="1" t="s">
        <v>12</v>
      </c>
      <c r="N862" s="1" t="s">
        <v>76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77</v>
      </c>
      <c r="T862" s="1" t="s">
        <v>308</v>
      </c>
      <c r="U862" s="1" t="s">
        <v>309</v>
      </c>
      <c r="V862" s="3" t="s">
        <v>310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321</v>
      </c>
      <c r="AE862" s="6" t="s">
        <v>85</v>
      </c>
      <c r="AF862" s="6" t="s">
        <v>49</v>
      </c>
      <c r="AG862" s="6" t="s">
        <v>49</v>
      </c>
      <c r="AH862" s="1" t="s">
        <v>152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 t="s">
        <v>49</v>
      </c>
      <c r="AS862" s="6">
        <v>0.12</v>
      </c>
      <c r="AT862" s="6" t="s">
        <v>49</v>
      </c>
      <c r="AU862" s="6" t="s">
        <v>49</v>
      </c>
      <c r="AV862" s="6" t="s">
        <v>49</v>
      </c>
      <c r="AW862" s="30" t="s">
        <v>49</v>
      </c>
    </row>
    <row r="863" spans="1:49" ht="14.4" customHeight="1">
      <c r="A863" s="6">
        <v>3</v>
      </c>
      <c r="B863" s="6" t="s">
        <v>38</v>
      </c>
      <c r="C863" s="1" t="s">
        <v>38</v>
      </c>
      <c r="D863" s="3" t="s">
        <v>301</v>
      </c>
      <c r="E863" s="3" t="s">
        <v>719</v>
      </c>
      <c r="F863" s="3">
        <v>2003</v>
      </c>
      <c r="G863" s="3" t="s">
        <v>303</v>
      </c>
      <c r="H863" s="3" t="s">
        <v>304</v>
      </c>
      <c r="I863" s="3" t="s">
        <v>305</v>
      </c>
      <c r="J863" s="3" t="s">
        <v>306</v>
      </c>
      <c r="K863" s="3" t="s">
        <v>307</v>
      </c>
      <c r="L863" s="3" t="s">
        <v>46</v>
      </c>
      <c r="M863" s="1" t="s">
        <v>12</v>
      </c>
      <c r="N863" s="1" t="s">
        <v>76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77</v>
      </c>
      <c r="T863" s="1" t="s">
        <v>308</v>
      </c>
      <c r="U863" s="1" t="s">
        <v>309</v>
      </c>
      <c r="V863" s="3" t="s">
        <v>310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321</v>
      </c>
      <c r="AE863" s="6" t="s">
        <v>312</v>
      </c>
      <c r="AF863" s="6" t="s">
        <v>49</v>
      </c>
      <c r="AG863" s="6" t="s">
        <v>49</v>
      </c>
      <c r="AH863" s="1" t="s">
        <v>152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 t="s">
        <v>49</v>
      </c>
      <c r="AS863" s="6">
        <v>8.0000000000000002E-3</v>
      </c>
      <c r="AT863" s="6" t="s">
        <v>49</v>
      </c>
      <c r="AU863" s="6" t="s">
        <v>49</v>
      </c>
      <c r="AV863" s="6" t="s">
        <v>49</v>
      </c>
      <c r="AW863" s="30" t="s">
        <v>49</v>
      </c>
    </row>
    <row r="864" spans="1:49" ht="14.4" customHeight="1">
      <c r="A864" s="6">
        <v>3</v>
      </c>
      <c r="B864" s="6" t="s">
        <v>38</v>
      </c>
      <c r="C864" s="1" t="s">
        <v>38</v>
      </c>
      <c r="D864" s="3" t="s">
        <v>301</v>
      </c>
      <c r="E864" s="3" t="s">
        <v>719</v>
      </c>
      <c r="F864" s="3">
        <v>2003</v>
      </c>
      <c r="G864" s="3" t="s">
        <v>303</v>
      </c>
      <c r="H864" s="3" t="s">
        <v>304</v>
      </c>
      <c r="I864" s="3" t="s">
        <v>305</v>
      </c>
      <c r="J864" s="3" t="s">
        <v>306</v>
      </c>
      <c r="K864" s="3" t="s">
        <v>307</v>
      </c>
      <c r="L864" s="3" t="s">
        <v>46</v>
      </c>
      <c r="M864" s="1" t="s">
        <v>12</v>
      </c>
      <c r="N864" s="1" t="s">
        <v>76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77</v>
      </c>
      <c r="T864" s="1" t="s">
        <v>308</v>
      </c>
      <c r="U864" s="1" t="s">
        <v>309</v>
      </c>
      <c r="V864" s="3" t="s">
        <v>310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314</v>
      </c>
      <c r="AE864" s="6" t="s">
        <v>313</v>
      </c>
      <c r="AF864" s="6" t="s">
        <v>49</v>
      </c>
      <c r="AG864" s="6" t="s">
        <v>49</v>
      </c>
      <c r="AH864" s="1" t="s">
        <v>152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 t="s">
        <v>49</v>
      </c>
      <c r="AS864" s="6">
        <v>5.1999999999999998E-2</v>
      </c>
      <c r="AT864" s="6" t="s">
        <v>49</v>
      </c>
      <c r="AU864" s="6" t="s">
        <v>49</v>
      </c>
      <c r="AV864" s="6" t="s">
        <v>49</v>
      </c>
      <c r="AW864" s="30" t="s">
        <v>49</v>
      </c>
    </row>
    <row r="865" spans="1:49" ht="14.4" customHeight="1">
      <c r="A865" s="6">
        <v>3</v>
      </c>
      <c r="B865" s="6" t="s">
        <v>38</v>
      </c>
      <c r="C865" s="1" t="s">
        <v>38</v>
      </c>
      <c r="D865" s="3" t="s">
        <v>301</v>
      </c>
      <c r="E865" s="3" t="s">
        <v>719</v>
      </c>
      <c r="F865" s="3">
        <v>2003</v>
      </c>
      <c r="G865" s="3" t="s">
        <v>303</v>
      </c>
      <c r="H865" s="3" t="s">
        <v>304</v>
      </c>
      <c r="I865" s="3" t="s">
        <v>305</v>
      </c>
      <c r="J865" s="3" t="s">
        <v>306</v>
      </c>
      <c r="K865" s="3" t="s">
        <v>307</v>
      </c>
      <c r="L865" s="3" t="s">
        <v>46</v>
      </c>
      <c r="M865" s="1" t="s">
        <v>12</v>
      </c>
      <c r="N865" s="1" t="s">
        <v>76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77</v>
      </c>
      <c r="T865" s="1" t="s">
        <v>308</v>
      </c>
      <c r="U865" s="1" t="s">
        <v>309</v>
      </c>
      <c r="V865" s="3" t="s">
        <v>310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314</v>
      </c>
      <c r="AE865" s="6" t="s">
        <v>93</v>
      </c>
      <c r="AF865" s="6" t="s">
        <v>49</v>
      </c>
      <c r="AG865" s="6" t="s">
        <v>49</v>
      </c>
      <c r="AH865" s="1" t="s">
        <v>152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 t="s">
        <v>49</v>
      </c>
      <c r="AS865" s="6">
        <v>7.4999999999999997E-2</v>
      </c>
      <c r="AT865" s="6" t="s">
        <v>49</v>
      </c>
      <c r="AU865" s="6" t="s">
        <v>49</v>
      </c>
      <c r="AV865" s="6" t="s">
        <v>49</v>
      </c>
      <c r="AW865" s="30" t="s">
        <v>49</v>
      </c>
    </row>
    <row r="866" spans="1:49" ht="14.4" customHeight="1">
      <c r="A866" s="6">
        <v>3</v>
      </c>
      <c r="B866" s="6" t="s">
        <v>38</v>
      </c>
      <c r="C866" s="1" t="s">
        <v>38</v>
      </c>
      <c r="D866" s="3" t="s">
        <v>301</v>
      </c>
      <c r="E866" s="3" t="s">
        <v>719</v>
      </c>
      <c r="F866" s="3">
        <v>2003</v>
      </c>
      <c r="G866" s="3" t="s">
        <v>303</v>
      </c>
      <c r="H866" s="3" t="s">
        <v>304</v>
      </c>
      <c r="I866" s="3" t="s">
        <v>305</v>
      </c>
      <c r="J866" s="3" t="s">
        <v>306</v>
      </c>
      <c r="K866" s="3" t="s">
        <v>307</v>
      </c>
      <c r="L866" s="3" t="s">
        <v>46</v>
      </c>
      <c r="M866" s="1" t="s">
        <v>12</v>
      </c>
      <c r="N866" s="1" t="s">
        <v>76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77</v>
      </c>
      <c r="T866" s="1" t="s">
        <v>308</v>
      </c>
      <c r="U866" s="1" t="s">
        <v>309</v>
      </c>
      <c r="V866" s="3" t="s">
        <v>310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314</v>
      </c>
      <c r="AE866" s="6" t="s">
        <v>320</v>
      </c>
      <c r="AF866" s="6" t="s">
        <v>49</v>
      </c>
      <c r="AG866" s="6" t="s">
        <v>49</v>
      </c>
      <c r="AH866" s="1" t="s">
        <v>152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 t="s">
        <v>49</v>
      </c>
      <c r="AS866" s="6">
        <v>2.9000000000000001E-2</v>
      </c>
      <c r="AT866" s="6" t="s">
        <v>49</v>
      </c>
      <c r="AU866" s="6" t="s">
        <v>49</v>
      </c>
      <c r="AV866" s="6" t="s">
        <v>49</v>
      </c>
      <c r="AW866" s="30" t="s">
        <v>49</v>
      </c>
    </row>
    <row r="867" spans="1:49" ht="14.4" customHeight="1">
      <c r="A867" s="6">
        <v>3</v>
      </c>
      <c r="B867" s="6" t="s">
        <v>38</v>
      </c>
      <c r="C867" s="1" t="s">
        <v>38</v>
      </c>
      <c r="D867" s="3" t="s">
        <v>301</v>
      </c>
      <c r="E867" s="3" t="s">
        <v>719</v>
      </c>
      <c r="F867" s="3">
        <v>2003</v>
      </c>
      <c r="G867" s="3" t="s">
        <v>303</v>
      </c>
      <c r="H867" s="3" t="s">
        <v>304</v>
      </c>
      <c r="I867" s="3" t="s">
        <v>305</v>
      </c>
      <c r="J867" s="3" t="s">
        <v>306</v>
      </c>
      <c r="K867" s="3" t="s">
        <v>307</v>
      </c>
      <c r="L867" s="3" t="s">
        <v>46</v>
      </c>
      <c r="M867" s="1" t="s">
        <v>12</v>
      </c>
      <c r="N867" s="1" t="s">
        <v>76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77</v>
      </c>
      <c r="T867" s="1" t="s">
        <v>308</v>
      </c>
      <c r="U867" s="1" t="s">
        <v>309</v>
      </c>
      <c r="V867" s="3" t="s">
        <v>310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314</v>
      </c>
      <c r="AE867" s="6" t="s">
        <v>323</v>
      </c>
      <c r="AF867" s="6" t="s">
        <v>49</v>
      </c>
      <c r="AG867" s="6" t="s">
        <v>49</v>
      </c>
      <c r="AH867" s="1" t="s">
        <v>152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 t="s">
        <v>49</v>
      </c>
      <c r="AS867" s="6">
        <v>0.1</v>
      </c>
      <c r="AT867" s="6" t="s">
        <v>49</v>
      </c>
      <c r="AU867" s="6" t="s">
        <v>49</v>
      </c>
      <c r="AV867" s="6" t="s">
        <v>49</v>
      </c>
      <c r="AW867" s="30" t="s">
        <v>49</v>
      </c>
    </row>
    <row r="868" spans="1:49" ht="14.4" customHeight="1">
      <c r="A868" s="6">
        <v>3</v>
      </c>
      <c r="B868" s="6" t="s">
        <v>38</v>
      </c>
      <c r="C868" s="1" t="s">
        <v>38</v>
      </c>
      <c r="D868" s="3" t="s">
        <v>301</v>
      </c>
      <c r="E868" s="3" t="s">
        <v>719</v>
      </c>
      <c r="F868" s="3">
        <v>2003</v>
      </c>
      <c r="G868" s="3" t="s">
        <v>303</v>
      </c>
      <c r="H868" s="3" t="s">
        <v>304</v>
      </c>
      <c r="I868" s="3" t="s">
        <v>305</v>
      </c>
      <c r="J868" s="3" t="s">
        <v>306</v>
      </c>
      <c r="K868" s="3" t="s">
        <v>307</v>
      </c>
      <c r="L868" s="3" t="s">
        <v>46</v>
      </c>
      <c r="M868" s="1" t="s">
        <v>12</v>
      </c>
      <c r="N868" s="1" t="s">
        <v>76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77</v>
      </c>
      <c r="T868" s="1" t="s">
        <v>308</v>
      </c>
      <c r="U868" s="1" t="s">
        <v>309</v>
      </c>
      <c r="V868" s="3" t="s">
        <v>310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314</v>
      </c>
      <c r="AE868" s="6" t="s">
        <v>324</v>
      </c>
      <c r="AF868" s="6" t="s">
        <v>49</v>
      </c>
      <c r="AG868" s="6" t="s">
        <v>49</v>
      </c>
      <c r="AH868" s="1" t="s">
        <v>152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 t="s">
        <v>49</v>
      </c>
      <c r="AS868" s="6">
        <v>5.8000000000000003E-2</v>
      </c>
      <c r="AT868" s="6" t="s">
        <v>49</v>
      </c>
      <c r="AU868" s="6" t="s">
        <v>49</v>
      </c>
      <c r="AV868" s="6" t="s">
        <v>49</v>
      </c>
      <c r="AW868" s="30" t="s">
        <v>49</v>
      </c>
    </row>
    <row r="869" spans="1:49" ht="14.4" customHeight="1">
      <c r="A869" s="6">
        <v>3</v>
      </c>
      <c r="B869" s="6" t="s">
        <v>38</v>
      </c>
      <c r="C869" s="1" t="s">
        <v>38</v>
      </c>
      <c r="D869" s="3" t="s">
        <v>301</v>
      </c>
      <c r="E869" s="3" t="s">
        <v>719</v>
      </c>
      <c r="F869" s="3">
        <v>2003</v>
      </c>
      <c r="G869" s="3" t="s">
        <v>303</v>
      </c>
      <c r="H869" s="3" t="s">
        <v>304</v>
      </c>
      <c r="I869" s="3" t="s">
        <v>305</v>
      </c>
      <c r="J869" s="3" t="s">
        <v>306</v>
      </c>
      <c r="K869" s="3" t="s">
        <v>307</v>
      </c>
      <c r="L869" s="3" t="s">
        <v>46</v>
      </c>
      <c r="M869" s="1" t="s">
        <v>12</v>
      </c>
      <c r="N869" s="1" t="s">
        <v>76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77</v>
      </c>
      <c r="T869" s="1" t="s">
        <v>308</v>
      </c>
      <c r="U869" s="1" t="s">
        <v>309</v>
      </c>
      <c r="V869" s="3" t="s">
        <v>310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314</v>
      </c>
      <c r="AE869" s="6" t="s">
        <v>325</v>
      </c>
      <c r="AF869" s="6" t="s">
        <v>49</v>
      </c>
      <c r="AG869" s="6" t="s">
        <v>49</v>
      </c>
      <c r="AH869" s="1" t="s">
        <v>152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 t="s">
        <v>49</v>
      </c>
      <c r="AS869" s="6">
        <v>3.5999999999999997E-2</v>
      </c>
      <c r="AT869" s="6" t="s">
        <v>49</v>
      </c>
      <c r="AU869" s="6" t="s">
        <v>49</v>
      </c>
      <c r="AV869" s="6" t="s">
        <v>49</v>
      </c>
      <c r="AW869" s="30" t="s">
        <v>49</v>
      </c>
    </row>
    <row r="870" spans="1:49" ht="14.4" customHeight="1">
      <c r="A870" s="6">
        <v>3</v>
      </c>
      <c r="B870" s="6" t="s">
        <v>38</v>
      </c>
      <c r="C870" s="1" t="s">
        <v>38</v>
      </c>
      <c r="D870" s="3" t="s">
        <v>301</v>
      </c>
      <c r="E870" s="3" t="s">
        <v>719</v>
      </c>
      <c r="F870" s="3">
        <v>2003</v>
      </c>
      <c r="G870" s="3" t="s">
        <v>303</v>
      </c>
      <c r="H870" s="3" t="s">
        <v>304</v>
      </c>
      <c r="I870" s="3" t="s">
        <v>305</v>
      </c>
      <c r="J870" s="3" t="s">
        <v>306</v>
      </c>
      <c r="K870" s="3" t="s">
        <v>307</v>
      </c>
      <c r="L870" s="3" t="s">
        <v>46</v>
      </c>
      <c r="M870" s="1" t="s">
        <v>12</v>
      </c>
      <c r="N870" s="1" t="s">
        <v>76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77</v>
      </c>
      <c r="T870" s="1" t="s">
        <v>308</v>
      </c>
      <c r="U870" s="1" t="s">
        <v>309</v>
      </c>
      <c r="V870" s="3" t="s">
        <v>310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314</v>
      </c>
      <c r="AE870" s="1" t="s">
        <v>326</v>
      </c>
      <c r="AF870" s="6" t="s">
        <v>49</v>
      </c>
      <c r="AG870" s="6" t="s">
        <v>49</v>
      </c>
      <c r="AH870" s="1" t="s">
        <v>152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 t="s">
        <v>49</v>
      </c>
      <c r="AS870" s="6">
        <v>0.51</v>
      </c>
      <c r="AT870" s="6" t="s">
        <v>49</v>
      </c>
      <c r="AU870" s="6" t="s">
        <v>49</v>
      </c>
      <c r="AV870" s="6" t="s">
        <v>49</v>
      </c>
      <c r="AW870" s="30" t="s">
        <v>49</v>
      </c>
    </row>
    <row r="871" spans="1:49" ht="14.4" customHeight="1">
      <c r="A871" s="6">
        <v>3</v>
      </c>
      <c r="B871" s="6" t="s">
        <v>38</v>
      </c>
      <c r="C871" s="1" t="s">
        <v>38</v>
      </c>
      <c r="D871" s="3" t="s">
        <v>301</v>
      </c>
      <c r="E871" s="3" t="s">
        <v>719</v>
      </c>
      <c r="F871" s="3">
        <v>2003</v>
      </c>
      <c r="G871" s="3" t="s">
        <v>303</v>
      </c>
      <c r="H871" s="3" t="s">
        <v>304</v>
      </c>
      <c r="I871" s="3" t="s">
        <v>305</v>
      </c>
      <c r="J871" s="3" t="s">
        <v>306</v>
      </c>
      <c r="K871" s="3" t="s">
        <v>307</v>
      </c>
      <c r="L871" s="3" t="s">
        <v>46</v>
      </c>
      <c r="M871" s="1" t="s">
        <v>12</v>
      </c>
      <c r="N871" s="1" t="s">
        <v>76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77</v>
      </c>
      <c r="T871" s="1" t="s">
        <v>308</v>
      </c>
      <c r="U871" s="1" t="s">
        <v>309</v>
      </c>
      <c r="V871" s="3" t="s">
        <v>310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314</v>
      </c>
      <c r="AE871" s="6" t="s">
        <v>327</v>
      </c>
      <c r="AF871" s="6" t="s">
        <v>49</v>
      </c>
      <c r="AG871" s="6" t="s">
        <v>49</v>
      </c>
      <c r="AH871" s="1" t="s">
        <v>152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 t="s">
        <v>49</v>
      </c>
      <c r="AS871" s="6">
        <v>0.68</v>
      </c>
      <c r="AT871" s="6" t="s">
        <v>49</v>
      </c>
      <c r="AU871" s="6" t="s">
        <v>49</v>
      </c>
      <c r="AV871" s="6" t="s">
        <v>49</v>
      </c>
      <c r="AW871" s="30" t="s">
        <v>49</v>
      </c>
    </row>
    <row r="872" spans="1:49" ht="14.4" customHeight="1">
      <c r="A872" s="6">
        <v>3</v>
      </c>
      <c r="B872" s="6" t="s">
        <v>38</v>
      </c>
      <c r="C872" s="1" t="s">
        <v>38</v>
      </c>
      <c r="D872" s="3" t="s">
        <v>301</v>
      </c>
      <c r="E872" s="3" t="s">
        <v>719</v>
      </c>
      <c r="F872" s="3">
        <v>2003</v>
      </c>
      <c r="G872" s="3" t="s">
        <v>303</v>
      </c>
      <c r="H872" s="3" t="s">
        <v>304</v>
      </c>
      <c r="I872" s="3" t="s">
        <v>305</v>
      </c>
      <c r="J872" s="3" t="s">
        <v>306</v>
      </c>
      <c r="K872" s="3" t="s">
        <v>307</v>
      </c>
      <c r="L872" s="3" t="s">
        <v>46</v>
      </c>
      <c r="M872" s="1" t="s">
        <v>12</v>
      </c>
      <c r="N872" s="1" t="s">
        <v>76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77</v>
      </c>
      <c r="T872" s="1" t="s">
        <v>308</v>
      </c>
      <c r="U872" s="1" t="s">
        <v>309</v>
      </c>
      <c r="V872" s="3" t="s">
        <v>310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314</v>
      </c>
      <c r="AE872" s="6" t="s">
        <v>238</v>
      </c>
      <c r="AF872" s="6" t="s">
        <v>49</v>
      </c>
      <c r="AG872" s="6" t="s">
        <v>49</v>
      </c>
      <c r="AH872" s="1" t="s">
        <v>152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 t="s">
        <v>49</v>
      </c>
      <c r="AS872" s="6">
        <v>5.1999999999999998E-2</v>
      </c>
      <c r="AT872" s="6" t="s">
        <v>49</v>
      </c>
      <c r="AU872" s="6" t="s">
        <v>49</v>
      </c>
      <c r="AV872" s="6" t="s">
        <v>49</v>
      </c>
      <c r="AW872" s="30" t="s">
        <v>49</v>
      </c>
    </row>
    <row r="873" spans="1:49" ht="14.4" customHeight="1">
      <c r="A873" s="6">
        <v>3</v>
      </c>
      <c r="B873" s="6" t="s">
        <v>38</v>
      </c>
      <c r="C873" s="1" t="s">
        <v>38</v>
      </c>
      <c r="D873" s="3" t="s">
        <v>301</v>
      </c>
      <c r="E873" s="3" t="s">
        <v>719</v>
      </c>
      <c r="F873" s="3">
        <v>2003</v>
      </c>
      <c r="G873" s="3" t="s">
        <v>303</v>
      </c>
      <c r="H873" s="3" t="s">
        <v>304</v>
      </c>
      <c r="I873" s="3" t="s">
        <v>305</v>
      </c>
      <c r="J873" s="3" t="s">
        <v>306</v>
      </c>
      <c r="K873" s="3" t="s">
        <v>307</v>
      </c>
      <c r="L873" s="3" t="s">
        <v>46</v>
      </c>
      <c r="M873" s="1" t="s">
        <v>12</v>
      </c>
      <c r="N873" s="1" t="s">
        <v>76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77</v>
      </c>
      <c r="T873" s="1" t="s">
        <v>308</v>
      </c>
      <c r="U873" s="1" t="s">
        <v>309</v>
      </c>
      <c r="V873" s="3" t="s">
        <v>310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314</v>
      </c>
      <c r="AE873" s="6" t="s">
        <v>85</v>
      </c>
      <c r="AF873" s="6" t="s">
        <v>49</v>
      </c>
      <c r="AG873" s="6" t="s">
        <v>49</v>
      </c>
      <c r="AH873" s="1" t="s">
        <v>152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 t="s">
        <v>49</v>
      </c>
      <c r="AS873" s="6">
        <v>7.3999999999999996E-2</v>
      </c>
      <c r="AT873" s="6" t="s">
        <v>49</v>
      </c>
      <c r="AU873" s="6" t="s">
        <v>49</v>
      </c>
      <c r="AV873" s="6" t="s">
        <v>49</v>
      </c>
      <c r="AW873" s="30" t="s">
        <v>49</v>
      </c>
    </row>
    <row r="874" spans="1:49" ht="14.4" customHeight="1">
      <c r="A874" s="6">
        <v>3</v>
      </c>
      <c r="B874" s="6" t="s">
        <v>38</v>
      </c>
      <c r="C874" s="1" t="s">
        <v>38</v>
      </c>
      <c r="D874" s="3" t="s">
        <v>301</v>
      </c>
      <c r="E874" s="3" t="s">
        <v>719</v>
      </c>
      <c r="F874" s="3">
        <v>2003</v>
      </c>
      <c r="G874" s="3" t="s">
        <v>303</v>
      </c>
      <c r="H874" s="3" t="s">
        <v>304</v>
      </c>
      <c r="I874" s="3" t="s">
        <v>305</v>
      </c>
      <c r="J874" s="3" t="s">
        <v>306</v>
      </c>
      <c r="K874" s="3" t="s">
        <v>307</v>
      </c>
      <c r="L874" s="3" t="s">
        <v>46</v>
      </c>
      <c r="M874" s="1" t="s">
        <v>12</v>
      </c>
      <c r="N874" s="1" t="s">
        <v>76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77</v>
      </c>
      <c r="T874" s="1" t="s">
        <v>308</v>
      </c>
      <c r="U874" s="1" t="s">
        <v>309</v>
      </c>
      <c r="V874" s="3" t="s">
        <v>310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314</v>
      </c>
      <c r="AE874" s="6" t="s">
        <v>312</v>
      </c>
      <c r="AF874" s="6" t="s">
        <v>49</v>
      </c>
      <c r="AG874" s="6" t="s">
        <v>49</v>
      </c>
      <c r="AH874" s="1" t="s">
        <v>152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 t="s">
        <v>49</v>
      </c>
      <c r="AS874" s="6">
        <v>3.0000000000000001E-3</v>
      </c>
      <c r="AT874" s="6" t="s">
        <v>49</v>
      </c>
      <c r="AU874" s="6" t="s">
        <v>49</v>
      </c>
      <c r="AV874" s="6" t="s">
        <v>49</v>
      </c>
      <c r="AW874" s="30" t="s">
        <v>49</v>
      </c>
    </row>
    <row r="875" spans="1:49" ht="14.4" customHeight="1">
      <c r="A875" s="6">
        <v>3</v>
      </c>
      <c r="B875" s="6" t="s">
        <v>38</v>
      </c>
      <c r="C875" s="1" t="s">
        <v>38</v>
      </c>
      <c r="D875" s="3" t="s">
        <v>301</v>
      </c>
      <c r="E875" s="3" t="s">
        <v>719</v>
      </c>
      <c r="F875" s="3">
        <v>2003</v>
      </c>
      <c r="G875" s="3" t="s">
        <v>303</v>
      </c>
      <c r="H875" s="3" t="s">
        <v>304</v>
      </c>
      <c r="I875" s="3" t="s">
        <v>305</v>
      </c>
      <c r="J875" s="3" t="s">
        <v>306</v>
      </c>
      <c r="K875" s="3" t="s">
        <v>307</v>
      </c>
      <c r="L875" s="3" t="s">
        <v>46</v>
      </c>
      <c r="M875" s="1" t="s">
        <v>12</v>
      </c>
      <c r="N875" s="1" t="s">
        <v>76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77</v>
      </c>
      <c r="T875" s="1" t="s">
        <v>308</v>
      </c>
      <c r="U875" s="1" t="s">
        <v>309</v>
      </c>
      <c r="V875" s="3" t="s">
        <v>310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313</v>
      </c>
      <c r="AE875" s="6" t="s">
        <v>93</v>
      </c>
      <c r="AF875" s="6" t="s">
        <v>49</v>
      </c>
      <c r="AG875" s="6" t="s">
        <v>49</v>
      </c>
      <c r="AH875" s="1" t="s">
        <v>152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 t="s">
        <v>49</v>
      </c>
      <c r="AS875" s="6">
        <v>-2.8000000000000001E-2</v>
      </c>
      <c r="AT875" s="6" t="s">
        <v>49</v>
      </c>
      <c r="AU875" s="6" t="s">
        <v>49</v>
      </c>
      <c r="AV875" s="6" t="s">
        <v>49</v>
      </c>
      <c r="AW875" s="30" t="s">
        <v>49</v>
      </c>
    </row>
    <row r="876" spans="1:49" ht="14.4" customHeight="1">
      <c r="A876" s="6">
        <v>3</v>
      </c>
      <c r="B876" s="6" t="s">
        <v>38</v>
      </c>
      <c r="C876" s="1" t="s">
        <v>38</v>
      </c>
      <c r="D876" s="3" t="s">
        <v>301</v>
      </c>
      <c r="E876" s="3" t="s">
        <v>719</v>
      </c>
      <c r="F876" s="3">
        <v>2003</v>
      </c>
      <c r="G876" s="3" t="s">
        <v>303</v>
      </c>
      <c r="H876" s="3" t="s">
        <v>304</v>
      </c>
      <c r="I876" s="3" t="s">
        <v>305</v>
      </c>
      <c r="J876" s="3" t="s">
        <v>306</v>
      </c>
      <c r="K876" s="3" t="s">
        <v>307</v>
      </c>
      <c r="L876" s="3" t="s">
        <v>46</v>
      </c>
      <c r="M876" s="1" t="s">
        <v>12</v>
      </c>
      <c r="N876" s="1" t="s">
        <v>76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77</v>
      </c>
      <c r="T876" s="1" t="s">
        <v>308</v>
      </c>
      <c r="U876" s="1" t="s">
        <v>309</v>
      </c>
      <c r="V876" s="3" t="s">
        <v>310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313</v>
      </c>
      <c r="AE876" s="6" t="s">
        <v>320</v>
      </c>
      <c r="AF876" s="6" t="s">
        <v>49</v>
      </c>
      <c r="AG876" s="6" t="s">
        <v>49</v>
      </c>
      <c r="AH876" s="1" t="s">
        <v>152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 t="s">
        <v>49</v>
      </c>
      <c r="AS876" s="6">
        <v>2.9000000000000001E-2</v>
      </c>
      <c r="AT876" s="6" t="s">
        <v>49</v>
      </c>
      <c r="AU876" s="6" t="s">
        <v>49</v>
      </c>
      <c r="AV876" s="6" t="s">
        <v>49</v>
      </c>
      <c r="AW876" s="30" t="s">
        <v>49</v>
      </c>
    </row>
    <row r="877" spans="1:49" ht="14.4" customHeight="1">
      <c r="A877" s="6">
        <v>3</v>
      </c>
      <c r="B877" s="6" t="s">
        <v>38</v>
      </c>
      <c r="C877" s="1" t="s">
        <v>38</v>
      </c>
      <c r="D877" s="3" t="s">
        <v>301</v>
      </c>
      <c r="E877" s="3" t="s">
        <v>719</v>
      </c>
      <c r="F877" s="3">
        <v>2003</v>
      </c>
      <c r="G877" s="3" t="s">
        <v>303</v>
      </c>
      <c r="H877" s="3" t="s">
        <v>304</v>
      </c>
      <c r="I877" s="3" t="s">
        <v>305</v>
      </c>
      <c r="J877" s="3" t="s">
        <v>306</v>
      </c>
      <c r="K877" s="3" t="s">
        <v>307</v>
      </c>
      <c r="L877" s="3" t="s">
        <v>46</v>
      </c>
      <c r="M877" s="1" t="s">
        <v>12</v>
      </c>
      <c r="N877" s="1" t="s">
        <v>76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77</v>
      </c>
      <c r="T877" s="1" t="s">
        <v>308</v>
      </c>
      <c r="U877" s="1" t="s">
        <v>309</v>
      </c>
      <c r="V877" s="3" t="s">
        <v>310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313</v>
      </c>
      <c r="AE877" s="6" t="s">
        <v>323</v>
      </c>
      <c r="AF877" s="6" t="s">
        <v>49</v>
      </c>
      <c r="AG877" s="6" t="s">
        <v>49</v>
      </c>
      <c r="AH877" s="1" t="s">
        <v>152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 t="s">
        <v>49</v>
      </c>
      <c r="AS877" s="6">
        <v>9.5000000000000001E-2</v>
      </c>
      <c r="AT877" s="6" t="s">
        <v>49</v>
      </c>
      <c r="AU877" s="6" t="s">
        <v>49</v>
      </c>
      <c r="AV877" s="6" t="s">
        <v>49</v>
      </c>
      <c r="AW877" s="30" t="s">
        <v>49</v>
      </c>
    </row>
    <row r="878" spans="1:49" ht="14.4" customHeight="1">
      <c r="A878" s="6">
        <v>3</v>
      </c>
      <c r="B878" s="6" t="s">
        <v>38</v>
      </c>
      <c r="C878" s="1" t="s">
        <v>38</v>
      </c>
      <c r="D878" s="3" t="s">
        <v>301</v>
      </c>
      <c r="E878" s="3" t="s">
        <v>719</v>
      </c>
      <c r="F878" s="3">
        <v>2003</v>
      </c>
      <c r="G878" s="3" t="s">
        <v>303</v>
      </c>
      <c r="H878" s="3" t="s">
        <v>304</v>
      </c>
      <c r="I878" s="3" t="s">
        <v>305</v>
      </c>
      <c r="J878" s="3" t="s">
        <v>306</v>
      </c>
      <c r="K878" s="3" t="s">
        <v>307</v>
      </c>
      <c r="L878" s="3" t="s">
        <v>46</v>
      </c>
      <c r="M878" s="1" t="s">
        <v>12</v>
      </c>
      <c r="N878" s="1" t="s">
        <v>76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77</v>
      </c>
      <c r="T878" s="1" t="s">
        <v>308</v>
      </c>
      <c r="U878" s="1" t="s">
        <v>309</v>
      </c>
      <c r="V878" s="3" t="s">
        <v>310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313</v>
      </c>
      <c r="AE878" s="6" t="s">
        <v>324</v>
      </c>
      <c r="AF878" s="6" t="s">
        <v>49</v>
      </c>
      <c r="AG878" s="6" t="s">
        <v>49</v>
      </c>
      <c r="AH878" s="1" t="s">
        <v>152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 t="s">
        <v>49</v>
      </c>
      <c r="AS878" s="6">
        <v>0.06</v>
      </c>
      <c r="AT878" s="6" t="s">
        <v>49</v>
      </c>
      <c r="AU878" s="6" t="s">
        <v>49</v>
      </c>
      <c r="AV878" s="6" t="s">
        <v>49</v>
      </c>
      <c r="AW878" s="30" t="s">
        <v>49</v>
      </c>
    </row>
    <row r="879" spans="1:49" ht="14.4" customHeight="1">
      <c r="A879" s="6">
        <v>3</v>
      </c>
      <c r="B879" s="6" t="s">
        <v>38</v>
      </c>
      <c r="C879" s="1" t="s">
        <v>38</v>
      </c>
      <c r="D879" s="3" t="s">
        <v>301</v>
      </c>
      <c r="E879" s="3" t="s">
        <v>719</v>
      </c>
      <c r="F879" s="3">
        <v>2003</v>
      </c>
      <c r="G879" s="3" t="s">
        <v>303</v>
      </c>
      <c r="H879" s="3" t="s">
        <v>304</v>
      </c>
      <c r="I879" s="3" t="s">
        <v>305</v>
      </c>
      <c r="J879" s="3" t="s">
        <v>306</v>
      </c>
      <c r="K879" s="3" t="s">
        <v>307</v>
      </c>
      <c r="L879" s="3" t="s">
        <v>46</v>
      </c>
      <c r="M879" s="1" t="s">
        <v>12</v>
      </c>
      <c r="N879" s="1" t="s">
        <v>76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77</v>
      </c>
      <c r="T879" s="1" t="s">
        <v>308</v>
      </c>
      <c r="U879" s="1" t="s">
        <v>309</v>
      </c>
      <c r="V879" s="3" t="s">
        <v>310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313</v>
      </c>
      <c r="AE879" s="6" t="s">
        <v>325</v>
      </c>
      <c r="AF879" s="6" t="s">
        <v>49</v>
      </c>
      <c r="AG879" s="6" t="s">
        <v>49</v>
      </c>
      <c r="AH879" s="1" t="s">
        <v>152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 t="s">
        <v>49</v>
      </c>
      <c r="AS879" s="6">
        <v>4.7E-2</v>
      </c>
      <c r="AT879" s="6" t="s">
        <v>49</v>
      </c>
      <c r="AU879" s="6" t="s">
        <v>49</v>
      </c>
      <c r="AV879" s="6" t="s">
        <v>49</v>
      </c>
      <c r="AW879" s="30" t="s">
        <v>49</v>
      </c>
    </row>
    <row r="880" spans="1:49" ht="14.4" customHeight="1">
      <c r="A880" s="6">
        <v>3</v>
      </c>
      <c r="B880" s="6" t="s">
        <v>38</v>
      </c>
      <c r="C880" s="1" t="s">
        <v>38</v>
      </c>
      <c r="D880" s="3" t="s">
        <v>301</v>
      </c>
      <c r="E880" s="3" t="s">
        <v>719</v>
      </c>
      <c r="F880" s="3">
        <v>2003</v>
      </c>
      <c r="G880" s="3" t="s">
        <v>303</v>
      </c>
      <c r="H880" s="3" t="s">
        <v>304</v>
      </c>
      <c r="I880" s="3" t="s">
        <v>305</v>
      </c>
      <c r="J880" s="3" t="s">
        <v>306</v>
      </c>
      <c r="K880" s="3" t="s">
        <v>307</v>
      </c>
      <c r="L880" s="3" t="s">
        <v>46</v>
      </c>
      <c r="M880" s="1" t="s">
        <v>12</v>
      </c>
      <c r="N880" s="1" t="s">
        <v>76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77</v>
      </c>
      <c r="T880" s="1" t="s">
        <v>308</v>
      </c>
      <c r="U880" s="1" t="s">
        <v>309</v>
      </c>
      <c r="V880" s="3" t="s">
        <v>310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313</v>
      </c>
      <c r="AE880" s="1" t="s">
        <v>326</v>
      </c>
      <c r="AF880" s="6" t="s">
        <v>49</v>
      </c>
      <c r="AG880" s="6" t="s">
        <v>49</v>
      </c>
      <c r="AH880" s="1" t="s">
        <v>152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 t="s">
        <v>49</v>
      </c>
      <c r="AS880" s="6">
        <v>0.2</v>
      </c>
      <c r="AT880" s="6" t="s">
        <v>49</v>
      </c>
      <c r="AU880" s="6" t="s">
        <v>49</v>
      </c>
      <c r="AV880" s="6" t="s">
        <v>49</v>
      </c>
      <c r="AW880" s="30" t="s">
        <v>49</v>
      </c>
    </row>
    <row r="881" spans="1:49" ht="14.4" customHeight="1">
      <c r="A881" s="6">
        <v>3</v>
      </c>
      <c r="B881" s="6" t="s">
        <v>38</v>
      </c>
      <c r="C881" s="1" t="s">
        <v>38</v>
      </c>
      <c r="D881" s="3" t="s">
        <v>301</v>
      </c>
      <c r="E881" s="3" t="s">
        <v>719</v>
      </c>
      <c r="F881" s="3">
        <v>2003</v>
      </c>
      <c r="G881" s="3" t="s">
        <v>303</v>
      </c>
      <c r="H881" s="3" t="s">
        <v>304</v>
      </c>
      <c r="I881" s="3" t="s">
        <v>305</v>
      </c>
      <c r="J881" s="3" t="s">
        <v>306</v>
      </c>
      <c r="K881" s="3" t="s">
        <v>307</v>
      </c>
      <c r="L881" s="3" t="s">
        <v>46</v>
      </c>
      <c r="M881" s="1" t="s">
        <v>12</v>
      </c>
      <c r="N881" s="1" t="s">
        <v>76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77</v>
      </c>
      <c r="T881" s="1" t="s">
        <v>308</v>
      </c>
      <c r="U881" s="1" t="s">
        <v>309</v>
      </c>
      <c r="V881" s="3" t="s">
        <v>310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313</v>
      </c>
      <c r="AE881" s="6" t="s">
        <v>327</v>
      </c>
      <c r="AF881" s="6" t="s">
        <v>49</v>
      </c>
      <c r="AG881" s="6" t="s">
        <v>49</v>
      </c>
      <c r="AH881" s="1" t="s">
        <v>152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 t="s">
        <v>49</v>
      </c>
      <c r="AS881" s="6">
        <v>0.63</v>
      </c>
      <c r="AT881" s="6" t="s">
        <v>49</v>
      </c>
      <c r="AU881" s="6" t="s">
        <v>49</v>
      </c>
      <c r="AV881" s="6" t="s">
        <v>49</v>
      </c>
      <c r="AW881" s="30" t="s">
        <v>49</v>
      </c>
    </row>
    <row r="882" spans="1:49" ht="14.4" customHeight="1">
      <c r="A882" s="6">
        <v>3</v>
      </c>
      <c r="B882" s="6" t="s">
        <v>38</v>
      </c>
      <c r="C882" s="1" t="s">
        <v>38</v>
      </c>
      <c r="D882" s="3" t="s">
        <v>301</v>
      </c>
      <c r="E882" s="3" t="s">
        <v>719</v>
      </c>
      <c r="F882" s="3">
        <v>2003</v>
      </c>
      <c r="G882" s="3" t="s">
        <v>303</v>
      </c>
      <c r="H882" s="3" t="s">
        <v>304</v>
      </c>
      <c r="I882" s="3" t="s">
        <v>305</v>
      </c>
      <c r="J882" s="3" t="s">
        <v>306</v>
      </c>
      <c r="K882" s="3" t="s">
        <v>307</v>
      </c>
      <c r="L882" s="3" t="s">
        <v>46</v>
      </c>
      <c r="M882" s="1" t="s">
        <v>12</v>
      </c>
      <c r="N882" s="1" t="s">
        <v>76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77</v>
      </c>
      <c r="T882" s="1" t="s">
        <v>308</v>
      </c>
      <c r="U882" s="1" t="s">
        <v>309</v>
      </c>
      <c r="V882" s="3" t="s">
        <v>310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313</v>
      </c>
      <c r="AE882" s="6" t="s">
        <v>238</v>
      </c>
      <c r="AF882" s="6" t="s">
        <v>49</v>
      </c>
      <c r="AG882" s="6" t="s">
        <v>49</v>
      </c>
      <c r="AH882" s="1" t="s">
        <v>152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 t="s">
        <v>49</v>
      </c>
      <c r="AS882" s="6">
        <v>2.9000000000000001E-2</v>
      </c>
      <c r="AT882" s="6" t="s">
        <v>49</v>
      </c>
      <c r="AU882" s="6" t="s">
        <v>49</v>
      </c>
      <c r="AV882" s="6" t="s">
        <v>49</v>
      </c>
      <c r="AW882" s="30" t="s">
        <v>49</v>
      </c>
    </row>
    <row r="883" spans="1:49" ht="14.4" customHeight="1">
      <c r="A883" s="6">
        <v>3</v>
      </c>
      <c r="B883" s="6" t="s">
        <v>38</v>
      </c>
      <c r="C883" s="1" t="s">
        <v>38</v>
      </c>
      <c r="D883" s="3" t="s">
        <v>301</v>
      </c>
      <c r="E883" s="3" t="s">
        <v>719</v>
      </c>
      <c r="F883" s="3">
        <v>2003</v>
      </c>
      <c r="G883" s="3" t="s">
        <v>303</v>
      </c>
      <c r="H883" s="3" t="s">
        <v>304</v>
      </c>
      <c r="I883" s="3" t="s">
        <v>305</v>
      </c>
      <c r="J883" s="3" t="s">
        <v>306</v>
      </c>
      <c r="K883" s="3" t="s">
        <v>307</v>
      </c>
      <c r="L883" s="3" t="s">
        <v>46</v>
      </c>
      <c r="M883" s="1" t="s">
        <v>12</v>
      </c>
      <c r="N883" s="1" t="s">
        <v>76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77</v>
      </c>
      <c r="T883" s="1" t="s">
        <v>308</v>
      </c>
      <c r="U883" s="1" t="s">
        <v>309</v>
      </c>
      <c r="V883" s="3" t="s">
        <v>310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313</v>
      </c>
      <c r="AE883" s="6" t="s">
        <v>85</v>
      </c>
      <c r="AF883" s="6" t="s">
        <v>49</v>
      </c>
      <c r="AG883" s="6" t="s">
        <v>49</v>
      </c>
      <c r="AH883" s="1" t="s">
        <v>152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 t="s">
        <v>49</v>
      </c>
      <c r="AS883" s="6">
        <v>6.6000000000000003E-2</v>
      </c>
      <c r="AT883" s="6" t="s">
        <v>49</v>
      </c>
      <c r="AU883" s="6" t="s">
        <v>49</v>
      </c>
      <c r="AV883" s="6" t="s">
        <v>49</v>
      </c>
      <c r="AW883" s="30" t="s">
        <v>49</v>
      </c>
    </row>
    <row r="884" spans="1:49" ht="14.4" customHeight="1">
      <c r="A884" s="6">
        <v>3</v>
      </c>
      <c r="B884" s="6" t="s">
        <v>38</v>
      </c>
      <c r="C884" s="1" t="s">
        <v>38</v>
      </c>
      <c r="D884" s="3" t="s">
        <v>301</v>
      </c>
      <c r="E884" s="3" t="s">
        <v>719</v>
      </c>
      <c r="F884" s="3">
        <v>2003</v>
      </c>
      <c r="G884" s="3" t="s">
        <v>303</v>
      </c>
      <c r="H884" s="3" t="s">
        <v>304</v>
      </c>
      <c r="I884" s="3" t="s">
        <v>305</v>
      </c>
      <c r="J884" s="3" t="s">
        <v>306</v>
      </c>
      <c r="K884" s="3" t="s">
        <v>307</v>
      </c>
      <c r="L884" s="3" t="s">
        <v>46</v>
      </c>
      <c r="M884" s="1" t="s">
        <v>12</v>
      </c>
      <c r="N884" s="1" t="s">
        <v>76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77</v>
      </c>
      <c r="T884" s="1" t="s">
        <v>308</v>
      </c>
      <c r="U884" s="1" t="s">
        <v>309</v>
      </c>
      <c r="V884" s="3" t="s">
        <v>310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313</v>
      </c>
      <c r="AE884" s="6" t="s">
        <v>312</v>
      </c>
      <c r="AF884" s="6" t="s">
        <v>49</v>
      </c>
      <c r="AG884" s="6" t="s">
        <v>49</v>
      </c>
      <c r="AH884" s="1" t="s">
        <v>152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 t="s">
        <v>49</v>
      </c>
      <c r="AS884" s="6">
        <v>1.2E-2</v>
      </c>
      <c r="AT884" s="6" t="s">
        <v>49</v>
      </c>
      <c r="AU884" s="6" t="s">
        <v>49</v>
      </c>
      <c r="AV884" s="6" t="s">
        <v>49</v>
      </c>
      <c r="AW884" s="30" t="s">
        <v>49</v>
      </c>
    </row>
    <row r="885" spans="1:49" ht="14.4" customHeight="1">
      <c r="A885" s="6">
        <v>3</v>
      </c>
      <c r="B885" s="6" t="s">
        <v>38</v>
      </c>
      <c r="C885" s="1" t="s">
        <v>38</v>
      </c>
      <c r="D885" s="3" t="s">
        <v>301</v>
      </c>
      <c r="E885" s="3" t="s">
        <v>719</v>
      </c>
      <c r="F885" s="3">
        <v>2003</v>
      </c>
      <c r="G885" s="3" t="s">
        <v>303</v>
      </c>
      <c r="H885" s="3" t="s">
        <v>304</v>
      </c>
      <c r="I885" s="3" t="s">
        <v>305</v>
      </c>
      <c r="J885" s="3" t="s">
        <v>306</v>
      </c>
      <c r="K885" s="3" t="s">
        <v>307</v>
      </c>
      <c r="L885" s="3" t="s">
        <v>46</v>
      </c>
      <c r="M885" s="1" t="s">
        <v>12</v>
      </c>
      <c r="N885" s="1" t="s">
        <v>76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77</v>
      </c>
      <c r="T885" s="1" t="s">
        <v>308</v>
      </c>
      <c r="U885" s="1" t="s">
        <v>309</v>
      </c>
      <c r="V885" s="3" t="s">
        <v>310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93</v>
      </c>
      <c r="AE885" s="6" t="s">
        <v>320</v>
      </c>
      <c r="AF885" s="6" t="s">
        <v>49</v>
      </c>
      <c r="AG885" s="6" t="s">
        <v>49</v>
      </c>
      <c r="AH885" s="1" t="s">
        <v>152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 t="s">
        <v>49</v>
      </c>
      <c r="AS885" s="6">
        <v>1.2E-2</v>
      </c>
      <c r="AT885" s="6" t="s">
        <v>49</v>
      </c>
      <c r="AU885" s="6" t="s">
        <v>49</v>
      </c>
      <c r="AV885" s="6" t="s">
        <v>49</v>
      </c>
      <c r="AW885" s="30" t="s">
        <v>49</v>
      </c>
    </row>
    <row r="886" spans="1:49" ht="14.4" customHeight="1">
      <c r="A886" s="6">
        <v>3</v>
      </c>
      <c r="B886" s="6" t="s">
        <v>38</v>
      </c>
      <c r="C886" s="1" t="s">
        <v>38</v>
      </c>
      <c r="D886" s="3" t="s">
        <v>301</v>
      </c>
      <c r="E886" s="3" t="s">
        <v>719</v>
      </c>
      <c r="F886" s="3">
        <v>2003</v>
      </c>
      <c r="G886" s="3" t="s">
        <v>303</v>
      </c>
      <c r="H886" s="3" t="s">
        <v>304</v>
      </c>
      <c r="I886" s="3" t="s">
        <v>305</v>
      </c>
      <c r="J886" s="3" t="s">
        <v>306</v>
      </c>
      <c r="K886" s="3" t="s">
        <v>307</v>
      </c>
      <c r="L886" s="3" t="s">
        <v>46</v>
      </c>
      <c r="M886" s="1" t="s">
        <v>12</v>
      </c>
      <c r="N886" s="1" t="s">
        <v>76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77</v>
      </c>
      <c r="T886" s="1" t="s">
        <v>308</v>
      </c>
      <c r="U886" s="1" t="s">
        <v>309</v>
      </c>
      <c r="V886" s="3" t="s">
        <v>310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93</v>
      </c>
      <c r="AE886" s="6" t="s">
        <v>323</v>
      </c>
      <c r="AF886" s="6" t="s">
        <v>49</v>
      </c>
      <c r="AG886" s="6" t="s">
        <v>49</v>
      </c>
      <c r="AH886" s="1" t="s">
        <v>152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 t="s">
        <v>49</v>
      </c>
      <c r="AS886" s="6">
        <v>6.9000000000000006E-2</v>
      </c>
      <c r="AT886" s="6" t="s">
        <v>49</v>
      </c>
      <c r="AU886" s="6" t="s">
        <v>49</v>
      </c>
      <c r="AV886" s="6" t="s">
        <v>49</v>
      </c>
      <c r="AW886" s="30" t="s">
        <v>49</v>
      </c>
    </row>
    <row r="887" spans="1:49" ht="14.4" customHeight="1">
      <c r="A887" s="6">
        <v>3</v>
      </c>
      <c r="B887" s="6" t="s">
        <v>38</v>
      </c>
      <c r="C887" s="1" t="s">
        <v>38</v>
      </c>
      <c r="D887" s="3" t="s">
        <v>301</v>
      </c>
      <c r="E887" s="3" t="s">
        <v>719</v>
      </c>
      <c r="F887" s="3">
        <v>2003</v>
      </c>
      <c r="G887" s="3" t="s">
        <v>303</v>
      </c>
      <c r="H887" s="3" t="s">
        <v>304</v>
      </c>
      <c r="I887" s="3" t="s">
        <v>305</v>
      </c>
      <c r="J887" s="3" t="s">
        <v>306</v>
      </c>
      <c r="K887" s="3" t="s">
        <v>307</v>
      </c>
      <c r="L887" s="3" t="s">
        <v>46</v>
      </c>
      <c r="M887" s="1" t="s">
        <v>12</v>
      </c>
      <c r="N887" s="1" t="s">
        <v>76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77</v>
      </c>
      <c r="T887" s="1" t="s">
        <v>308</v>
      </c>
      <c r="U887" s="1" t="s">
        <v>309</v>
      </c>
      <c r="V887" s="3" t="s">
        <v>310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93</v>
      </c>
      <c r="AE887" s="6" t="s">
        <v>324</v>
      </c>
      <c r="AF887" s="6" t="s">
        <v>49</v>
      </c>
      <c r="AG887" s="6" t="s">
        <v>49</v>
      </c>
      <c r="AH887" s="1" t="s">
        <v>152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 t="s">
        <v>49</v>
      </c>
      <c r="AS887" s="6">
        <v>5.3999999999999999E-2</v>
      </c>
      <c r="AT887" s="6" t="s">
        <v>49</v>
      </c>
      <c r="AU887" s="6" t="s">
        <v>49</v>
      </c>
      <c r="AV887" s="6" t="s">
        <v>49</v>
      </c>
      <c r="AW887" s="30" t="s">
        <v>49</v>
      </c>
    </row>
    <row r="888" spans="1:49" ht="14.4" customHeight="1">
      <c r="A888" s="6">
        <v>3</v>
      </c>
      <c r="B888" s="6" t="s">
        <v>38</v>
      </c>
      <c r="C888" s="1" t="s">
        <v>38</v>
      </c>
      <c r="D888" s="3" t="s">
        <v>301</v>
      </c>
      <c r="E888" s="3" t="s">
        <v>719</v>
      </c>
      <c r="F888" s="3">
        <v>2003</v>
      </c>
      <c r="G888" s="3" t="s">
        <v>303</v>
      </c>
      <c r="H888" s="3" t="s">
        <v>304</v>
      </c>
      <c r="I888" s="3" t="s">
        <v>305</v>
      </c>
      <c r="J888" s="3" t="s">
        <v>306</v>
      </c>
      <c r="K888" s="3" t="s">
        <v>307</v>
      </c>
      <c r="L888" s="3" t="s">
        <v>46</v>
      </c>
      <c r="M888" s="1" t="s">
        <v>12</v>
      </c>
      <c r="N888" s="1" t="s">
        <v>76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77</v>
      </c>
      <c r="T888" s="1" t="s">
        <v>308</v>
      </c>
      <c r="U888" s="1" t="s">
        <v>309</v>
      </c>
      <c r="V888" s="3" t="s">
        <v>310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93</v>
      </c>
      <c r="AE888" s="6" t="s">
        <v>325</v>
      </c>
      <c r="AF888" s="6" t="s">
        <v>49</v>
      </c>
      <c r="AG888" s="6" t="s">
        <v>49</v>
      </c>
      <c r="AH888" s="1" t="s">
        <v>152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 t="s">
        <v>49</v>
      </c>
      <c r="AS888" s="6">
        <v>1.2999999999999999E-2</v>
      </c>
      <c r="AT888" s="6" t="s">
        <v>49</v>
      </c>
      <c r="AU888" s="6" t="s">
        <v>49</v>
      </c>
      <c r="AV888" s="6" t="s">
        <v>49</v>
      </c>
      <c r="AW888" s="30" t="s">
        <v>49</v>
      </c>
    </row>
    <row r="889" spans="1:49" ht="14.4" customHeight="1">
      <c r="A889" s="6">
        <v>3</v>
      </c>
      <c r="B889" s="6" t="s">
        <v>38</v>
      </c>
      <c r="C889" s="1" t="s">
        <v>38</v>
      </c>
      <c r="D889" s="3" t="s">
        <v>301</v>
      </c>
      <c r="E889" s="3" t="s">
        <v>719</v>
      </c>
      <c r="F889" s="3">
        <v>2003</v>
      </c>
      <c r="G889" s="3" t="s">
        <v>303</v>
      </c>
      <c r="H889" s="3" t="s">
        <v>304</v>
      </c>
      <c r="I889" s="3" t="s">
        <v>305</v>
      </c>
      <c r="J889" s="3" t="s">
        <v>306</v>
      </c>
      <c r="K889" s="3" t="s">
        <v>307</v>
      </c>
      <c r="L889" s="3" t="s">
        <v>46</v>
      </c>
      <c r="M889" s="1" t="s">
        <v>12</v>
      </c>
      <c r="N889" s="1" t="s">
        <v>76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77</v>
      </c>
      <c r="T889" s="1" t="s">
        <v>308</v>
      </c>
      <c r="U889" s="1" t="s">
        <v>309</v>
      </c>
      <c r="V889" s="3" t="s">
        <v>310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93</v>
      </c>
      <c r="AE889" s="1" t="s">
        <v>326</v>
      </c>
      <c r="AF889" s="6" t="s">
        <v>49</v>
      </c>
      <c r="AG889" s="6" t="s">
        <v>49</v>
      </c>
      <c r="AH889" s="1" t="s">
        <v>152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 t="s">
        <v>49</v>
      </c>
      <c r="AS889" s="6">
        <v>0.74</v>
      </c>
      <c r="AT889" s="6" t="s">
        <v>49</v>
      </c>
      <c r="AU889" s="6" t="s">
        <v>49</v>
      </c>
      <c r="AV889" s="6" t="s">
        <v>49</v>
      </c>
      <c r="AW889" s="30" t="s">
        <v>49</v>
      </c>
    </row>
    <row r="890" spans="1:49" ht="14.4" customHeight="1">
      <c r="A890" s="6">
        <v>3</v>
      </c>
      <c r="B890" s="6" t="s">
        <v>38</v>
      </c>
      <c r="C890" s="1" t="s">
        <v>38</v>
      </c>
      <c r="D890" s="3" t="s">
        <v>301</v>
      </c>
      <c r="E890" s="3" t="s">
        <v>719</v>
      </c>
      <c r="F890" s="3">
        <v>2003</v>
      </c>
      <c r="G890" s="3" t="s">
        <v>303</v>
      </c>
      <c r="H890" s="3" t="s">
        <v>304</v>
      </c>
      <c r="I890" s="3" t="s">
        <v>305</v>
      </c>
      <c r="J890" s="3" t="s">
        <v>306</v>
      </c>
      <c r="K890" s="3" t="s">
        <v>307</v>
      </c>
      <c r="L890" s="3" t="s">
        <v>46</v>
      </c>
      <c r="M890" s="1" t="s">
        <v>12</v>
      </c>
      <c r="N890" s="1" t="s">
        <v>76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77</v>
      </c>
      <c r="T890" s="1" t="s">
        <v>308</v>
      </c>
      <c r="U890" s="1" t="s">
        <v>309</v>
      </c>
      <c r="V890" s="3" t="s">
        <v>310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93</v>
      </c>
      <c r="AE890" s="6" t="s">
        <v>327</v>
      </c>
      <c r="AF890" s="6" t="s">
        <v>49</v>
      </c>
      <c r="AG890" s="6" t="s">
        <v>49</v>
      </c>
      <c r="AH890" s="1" t="s">
        <v>152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 t="s">
        <v>49</v>
      </c>
      <c r="AS890" s="6">
        <v>0.61</v>
      </c>
      <c r="AT890" s="6" t="s">
        <v>49</v>
      </c>
      <c r="AU890" s="6" t="s">
        <v>49</v>
      </c>
      <c r="AV890" s="6" t="s">
        <v>49</v>
      </c>
      <c r="AW890" s="30" t="s">
        <v>49</v>
      </c>
    </row>
    <row r="891" spans="1:49" ht="14.4" customHeight="1">
      <c r="A891" s="6">
        <v>3</v>
      </c>
      <c r="B891" s="6" t="s">
        <v>38</v>
      </c>
      <c r="C891" s="1" t="s">
        <v>38</v>
      </c>
      <c r="D891" s="3" t="s">
        <v>301</v>
      </c>
      <c r="E891" s="3" t="s">
        <v>719</v>
      </c>
      <c r="F891" s="3">
        <v>2003</v>
      </c>
      <c r="G891" s="3" t="s">
        <v>303</v>
      </c>
      <c r="H891" s="3" t="s">
        <v>304</v>
      </c>
      <c r="I891" s="3" t="s">
        <v>305</v>
      </c>
      <c r="J891" s="3" t="s">
        <v>306</v>
      </c>
      <c r="K891" s="3" t="s">
        <v>307</v>
      </c>
      <c r="L891" s="3" t="s">
        <v>46</v>
      </c>
      <c r="M891" s="1" t="s">
        <v>12</v>
      </c>
      <c r="N891" s="1" t="s">
        <v>76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77</v>
      </c>
      <c r="T891" s="1" t="s">
        <v>308</v>
      </c>
      <c r="U891" s="1" t="s">
        <v>309</v>
      </c>
      <c r="V891" s="3" t="s">
        <v>310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93</v>
      </c>
      <c r="AE891" s="6" t="s">
        <v>238</v>
      </c>
      <c r="AF891" s="6" t="s">
        <v>49</v>
      </c>
      <c r="AG891" s="6" t="s">
        <v>49</v>
      </c>
      <c r="AH891" s="1" t="s">
        <v>152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 t="s">
        <v>49</v>
      </c>
      <c r="AS891" s="6">
        <v>0.14000000000000001</v>
      </c>
      <c r="AT891" s="6" t="s">
        <v>49</v>
      </c>
      <c r="AU891" s="6" t="s">
        <v>49</v>
      </c>
      <c r="AV891" s="6" t="s">
        <v>49</v>
      </c>
      <c r="AW891" s="30" t="s">
        <v>49</v>
      </c>
    </row>
    <row r="892" spans="1:49" ht="14.4" customHeight="1">
      <c r="A892" s="6">
        <v>3</v>
      </c>
      <c r="B892" s="6" t="s">
        <v>38</v>
      </c>
      <c r="C892" s="1" t="s">
        <v>38</v>
      </c>
      <c r="D892" s="3" t="s">
        <v>301</v>
      </c>
      <c r="E892" s="3" t="s">
        <v>719</v>
      </c>
      <c r="F892" s="3">
        <v>2003</v>
      </c>
      <c r="G892" s="3" t="s">
        <v>303</v>
      </c>
      <c r="H892" s="3" t="s">
        <v>304</v>
      </c>
      <c r="I892" s="3" t="s">
        <v>305</v>
      </c>
      <c r="J892" s="3" t="s">
        <v>306</v>
      </c>
      <c r="K892" s="3" t="s">
        <v>307</v>
      </c>
      <c r="L892" s="3" t="s">
        <v>46</v>
      </c>
      <c r="M892" s="1" t="s">
        <v>12</v>
      </c>
      <c r="N892" s="1" t="s">
        <v>76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77</v>
      </c>
      <c r="T892" s="1" t="s">
        <v>308</v>
      </c>
      <c r="U892" s="1" t="s">
        <v>309</v>
      </c>
      <c r="V892" s="3" t="s">
        <v>310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93</v>
      </c>
      <c r="AE892" s="6" t="s">
        <v>85</v>
      </c>
      <c r="AF892" s="6" t="s">
        <v>49</v>
      </c>
      <c r="AG892" s="6" t="s">
        <v>49</v>
      </c>
      <c r="AH892" s="1" t="s">
        <v>152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 t="s">
        <v>49</v>
      </c>
      <c r="AS892" s="6">
        <v>-1.2E-2</v>
      </c>
      <c r="AT892" s="6" t="s">
        <v>49</v>
      </c>
      <c r="AU892" s="6" t="s">
        <v>49</v>
      </c>
      <c r="AV892" s="6" t="s">
        <v>49</v>
      </c>
      <c r="AW892" s="30" t="s">
        <v>49</v>
      </c>
    </row>
    <row r="893" spans="1:49" ht="14.4" customHeight="1">
      <c r="A893" s="6">
        <v>3</v>
      </c>
      <c r="B893" s="6" t="s">
        <v>38</v>
      </c>
      <c r="C893" s="1" t="s">
        <v>38</v>
      </c>
      <c r="D893" s="3" t="s">
        <v>301</v>
      </c>
      <c r="E893" s="3" t="s">
        <v>719</v>
      </c>
      <c r="F893" s="3">
        <v>2003</v>
      </c>
      <c r="G893" s="3" t="s">
        <v>303</v>
      </c>
      <c r="H893" s="3" t="s">
        <v>304</v>
      </c>
      <c r="I893" s="3" t="s">
        <v>305</v>
      </c>
      <c r="J893" s="3" t="s">
        <v>306</v>
      </c>
      <c r="K893" s="3" t="s">
        <v>307</v>
      </c>
      <c r="L893" s="3" t="s">
        <v>46</v>
      </c>
      <c r="M893" s="1" t="s">
        <v>12</v>
      </c>
      <c r="N893" s="1" t="s">
        <v>76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77</v>
      </c>
      <c r="T893" s="1" t="s">
        <v>308</v>
      </c>
      <c r="U893" s="1" t="s">
        <v>309</v>
      </c>
      <c r="V893" s="3" t="s">
        <v>310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93</v>
      </c>
      <c r="AE893" s="6" t="s">
        <v>312</v>
      </c>
      <c r="AF893" s="6" t="s">
        <v>49</v>
      </c>
      <c r="AG893" s="6" t="s">
        <v>49</v>
      </c>
      <c r="AH893" s="1" t="s">
        <v>152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 t="s">
        <v>49</v>
      </c>
      <c r="AS893" s="6">
        <v>-7.0000000000000001E-3</v>
      </c>
      <c r="AT893" s="6" t="s">
        <v>49</v>
      </c>
      <c r="AU893" s="6" t="s">
        <v>49</v>
      </c>
      <c r="AV893" s="6" t="s">
        <v>49</v>
      </c>
      <c r="AW893" s="30" t="s">
        <v>49</v>
      </c>
    </row>
    <row r="894" spans="1:49" ht="14.4" customHeight="1">
      <c r="A894" s="6">
        <v>3</v>
      </c>
      <c r="B894" s="6" t="s">
        <v>38</v>
      </c>
      <c r="C894" s="1" t="s">
        <v>38</v>
      </c>
      <c r="D894" s="3" t="s">
        <v>301</v>
      </c>
      <c r="E894" s="3" t="s">
        <v>719</v>
      </c>
      <c r="F894" s="3">
        <v>2003</v>
      </c>
      <c r="G894" s="3" t="s">
        <v>303</v>
      </c>
      <c r="H894" s="3" t="s">
        <v>304</v>
      </c>
      <c r="I894" s="3" t="s">
        <v>305</v>
      </c>
      <c r="J894" s="3" t="s">
        <v>306</v>
      </c>
      <c r="K894" s="3" t="s">
        <v>307</v>
      </c>
      <c r="L894" s="3" t="s">
        <v>46</v>
      </c>
      <c r="M894" s="1" t="s">
        <v>12</v>
      </c>
      <c r="N894" s="1" t="s">
        <v>76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77</v>
      </c>
      <c r="T894" s="1" t="s">
        <v>308</v>
      </c>
      <c r="U894" s="1" t="s">
        <v>309</v>
      </c>
      <c r="V894" s="3" t="s">
        <v>310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320</v>
      </c>
      <c r="AE894" s="6" t="s">
        <v>323</v>
      </c>
      <c r="AF894" s="6" t="s">
        <v>49</v>
      </c>
      <c r="AG894" s="6" t="s">
        <v>49</v>
      </c>
      <c r="AH894" s="1" t="s">
        <v>152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 t="s">
        <v>49</v>
      </c>
      <c r="AS894" s="6">
        <v>2.7E-2</v>
      </c>
      <c r="AT894" s="6" t="s">
        <v>49</v>
      </c>
      <c r="AU894" s="6" t="s">
        <v>49</v>
      </c>
      <c r="AV894" s="6" t="s">
        <v>49</v>
      </c>
      <c r="AW894" s="30" t="s">
        <v>49</v>
      </c>
    </row>
    <row r="895" spans="1:49" ht="14.4" customHeight="1">
      <c r="A895" s="6">
        <v>3</v>
      </c>
      <c r="B895" s="6" t="s">
        <v>38</v>
      </c>
      <c r="C895" s="1" t="s">
        <v>38</v>
      </c>
      <c r="D895" s="3" t="s">
        <v>301</v>
      </c>
      <c r="E895" s="3" t="s">
        <v>719</v>
      </c>
      <c r="F895" s="3">
        <v>2003</v>
      </c>
      <c r="G895" s="3" t="s">
        <v>303</v>
      </c>
      <c r="H895" s="3" t="s">
        <v>304</v>
      </c>
      <c r="I895" s="3" t="s">
        <v>305</v>
      </c>
      <c r="J895" s="3" t="s">
        <v>306</v>
      </c>
      <c r="K895" s="3" t="s">
        <v>307</v>
      </c>
      <c r="L895" s="3" t="s">
        <v>46</v>
      </c>
      <c r="M895" s="1" t="s">
        <v>12</v>
      </c>
      <c r="N895" s="1" t="s">
        <v>76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77</v>
      </c>
      <c r="T895" s="1" t="s">
        <v>308</v>
      </c>
      <c r="U895" s="1" t="s">
        <v>309</v>
      </c>
      <c r="V895" s="3" t="s">
        <v>310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320</v>
      </c>
      <c r="AE895" s="6" t="s">
        <v>324</v>
      </c>
      <c r="AF895" s="6" t="s">
        <v>49</v>
      </c>
      <c r="AG895" s="6" t="s">
        <v>49</v>
      </c>
      <c r="AH895" s="1" t="s">
        <v>152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 t="s">
        <v>49</v>
      </c>
      <c r="AS895" s="6">
        <v>2.7E-2</v>
      </c>
      <c r="AT895" s="6" t="s">
        <v>49</v>
      </c>
      <c r="AU895" s="6" t="s">
        <v>49</v>
      </c>
      <c r="AV895" s="6" t="s">
        <v>49</v>
      </c>
      <c r="AW895" s="30" t="s">
        <v>49</v>
      </c>
    </row>
    <row r="896" spans="1:49" ht="14.4" customHeight="1">
      <c r="A896" s="6">
        <v>3</v>
      </c>
      <c r="B896" s="6" t="s">
        <v>38</v>
      </c>
      <c r="C896" s="1" t="s">
        <v>38</v>
      </c>
      <c r="D896" s="3" t="s">
        <v>301</v>
      </c>
      <c r="E896" s="3" t="s">
        <v>719</v>
      </c>
      <c r="F896" s="3">
        <v>2003</v>
      </c>
      <c r="G896" s="3" t="s">
        <v>303</v>
      </c>
      <c r="H896" s="3" t="s">
        <v>304</v>
      </c>
      <c r="I896" s="3" t="s">
        <v>305</v>
      </c>
      <c r="J896" s="3" t="s">
        <v>306</v>
      </c>
      <c r="K896" s="3" t="s">
        <v>307</v>
      </c>
      <c r="L896" s="3" t="s">
        <v>46</v>
      </c>
      <c r="M896" s="1" t="s">
        <v>12</v>
      </c>
      <c r="N896" s="1" t="s">
        <v>76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77</v>
      </c>
      <c r="T896" s="1" t="s">
        <v>308</v>
      </c>
      <c r="U896" s="1" t="s">
        <v>309</v>
      </c>
      <c r="V896" s="3" t="s">
        <v>310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320</v>
      </c>
      <c r="AE896" s="6" t="s">
        <v>325</v>
      </c>
      <c r="AF896" s="6" t="s">
        <v>49</v>
      </c>
      <c r="AG896" s="6" t="s">
        <v>49</v>
      </c>
      <c r="AH896" s="1" t="s">
        <v>152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 t="s">
        <v>49</v>
      </c>
      <c r="AS896" s="6">
        <v>1.7999999999999999E-2</v>
      </c>
      <c r="AT896" s="6" t="s">
        <v>49</v>
      </c>
      <c r="AU896" s="6" t="s">
        <v>49</v>
      </c>
      <c r="AV896" s="6" t="s">
        <v>49</v>
      </c>
      <c r="AW896" s="30" t="s">
        <v>49</v>
      </c>
    </row>
    <row r="897" spans="1:49" ht="14.4" customHeight="1">
      <c r="A897" s="6">
        <v>3</v>
      </c>
      <c r="B897" s="6" t="s">
        <v>38</v>
      </c>
      <c r="C897" s="1" t="s">
        <v>38</v>
      </c>
      <c r="D897" s="3" t="s">
        <v>301</v>
      </c>
      <c r="E897" s="3" t="s">
        <v>719</v>
      </c>
      <c r="F897" s="3">
        <v>2003</v>
      </c>
      <c r="G897" s="3" t="s">
        <v>303</v>
      </c>
      <c r="H897" s="3" t="s">
        <v>304</v>
      </c>
      <c r="I897" s="3" t="s">
        <v>305</v>
      </c>
      <c r="J897" s="3" t="s">
        <v>306</v>
      </c>
      <c r="K897" s="3" t="s">
        <v>307</v>
      </c>
      <c r="L897" s="3" t="s">
        <v>46</v>
      </c>
      <c r="M897" s="1" t="s">
        <v>12</v>
      </c>
      <c r="N897" s="1" t="s">
        <v>76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77</v>
      </c>
      <c r="T897" s="1" t="s">
        <v>308</v>
      </c>
      <c r="U897" s="1" t="s">
        <v>309</v>
      </c>
      <c r="V897" s="3" t="s">
        <v>310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320</v>
      </c>
      <c r="AE897" s="1" t="s">
        <v>326</v>
      </c>
      <c r="AF897" s="6" t="s">
        <v>49</v>
      </c>
      <c r="AG897" s="6" t="s">
        <v>49</v>
      </c>
      <c r="AH897" s="1" t="s">
        <v>152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 t="s">
        <v>49</v>
      </c>
      <c r="AS897" s="6">
        <v>0.25</v>
      </c>
      <c r="AT897" s="6" t="s">
        <v>49</v>
      </c>
      <c r="AU897" s="6" t="s">
        <v>49</v>
      </c>
      <c r="AV897" s="6" t="s">
        <v>49</v>
      </c>
      <c r="AW897" s="30" t="s">
        <v>49</v>
      </c>
    </row>
    <row r="898" spans="1:49" ht="14.4" customHeight="1">
      <c r="A898" s="6">
        <v>3</v>
      </c>
      <c r="B898" s="6" t="s">
        <v>38</v>
      </c>
      <c r="C898" s="1" t="s">
        <v>38</v>
      </c>
      <c r="D898" s="3" t="s">
        <v>301</v>
      </c>
      <c r="E898" s="3" t="s">
        <v>719</v>
      </c>
      <c r="F898" s="3">
        <v>2003</v>
      </c>
      <c r="G898" s="3" t="s">
        <v>303</v>
      </c>
      <c r="H898" s="3" t="s">
        <v>304</v>
      </c>
      <c r="I898" s="3" t="s">
        <v>305</v>
      </c>
      <c r="J898" s="3" t="s">
        <v>306</v>
      </c>
      <c r="K898" s="3" t="s">
        <v>307</v>
      </c>
      <c r="L898" s="3" t="s">
        <v>46</v>
      </c>
      <c r="M898" s="1" t="s">
        <v>12</v>
      </c>
      <c r="N898" s="1" t="s">
        <v>76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77</v>
      </c>
      <c r="T898" s="1" t="s">
        <v>308</v>
      </c>
      <c r="U898" s="1" t="s">
        <v>309</v>
      </c>
      <c r="V898" s="3" t="s">
        <v>310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320</v>
      </c>
      <c r="AE898" s="6" t="s">
        <v>327</v>
      </c>
      <c r="AF898" s="6" t="s">
        <v>49</v>
      </c>
      <c r="AG898" s="6" t="s">
        <v>49</v>
      </c>
      <c r="AH898" s="1" t="s">
        <v>152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 t="s">
        <v>49</v>
      </c>
      <c r="AS898" s="6">
        <v>0.25</v>
      </c>
      <c r="AT898" s="6" t="s">
        <v>49</v>
      </c>
      <c r="AU898" s="6" t="s">
        <v>49</v>
      </c>
      <c r="AV898" s="6" t="s">
        <v>49</v>
      </c>
      <c r="AW898" s="30" t="s">
        <v>49</v>
      </c>
    </row>
    <row r="899" spans="1:49" ht="14.4" customHeight="1">
      <c r="A899" s="6">
        <v>3</v>
      </c>
      <c r="B899" s="6" t="s">
        <v>38</v>
      </c>
      <c r="C899" s="1" t="s">
        <v>38</v>
      </c>
      <c r="D899" s="3" t="s">
        <v>301</v>
      </c>
      <c r="E899" s="3" t="s">
        <v>719</v>
      </c>
      <c r="F899" s="3">
        <v>2003</v>
      </c>
      <c r="G899" s="3" t="s">
        <v>303</v>
      </c>
      <c r="H899" s="3" t="s">
        <v>304</v>
      </c>
      <c r="I899" s="3" t="s">
        <v>305</v>
      </c>
      <c r="J899" s="3" t="s">
        <v>306</v>
      </c>
      <c r="K899" s="3" t="s">
        <v>307</v>
      </c>
      <c r="L899" s="3" t="s">
        <v>46</v>
      </c>
      <c r="M899" s="1" t="s">
        <v>12</v>
      </c>
      <c r="N899" s="1" t="s">
        <v>76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77</v>
      </c>
      <c r="T899" s="1" t="s">
        <v>308</v>
      </c>
      <c r="U899" s="1" t="s">
        <v>309</v>
      </c>
      <c r="V899" s="3" t="s">
        <v>310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320</v>
      </c>
      <c r="AE899" s="6" t="s">
        <v>238</v>
      </c>
      <c r="AF899" s="6" t="s">
        <v>49</v>
      </c>
      <c r="AG899" s="6" t="s">
        <v>49</v>
      </c>
      <c r="AH899" s="1" t="s">
        <v>152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 t="s">
        <v>49</v>
      </c>
      <c r="AS899" s="6">
        <v>1.2999999999999999E-2</v>
      </c>
      <c r="AT899" s="6" t="s">
        <v>49</v>
      </c>
      <c r="AU899" s="6" t="s">
        <v>49</v>
      </c>
      <c r="AV899" s="6" t="s">
        <v>49</v>
      </c>
      <c r="AW899" s="30" t="s">
        <v>49</v>
      </c>
    </row>
    <row r="900" spans="1:49" ht="14.4" customHeight="1">
      <c r="A900" s="6">
        <v>3</v>
      </c>
      <c r="B900" s="6" t="s">
        <v>38</v>
      </c>
      <c r="C900" s="1" t="s">
        <v>38</v>
      </c>
      <c r="D900" s="3" t="s">
        <v>301</v>
      </c>
      <c r="E900" s="3" t="s">
        <v>719</v>
      </c>
      <c r="F900" s="3">
        <v>2003</v>
      </c>
      <c r="G900" s="3" t="s">
        <v>303</v>
      </c>
      <c r="H900" s="3" t="s">
        <v>304</v>
      </c>
      <c r="I900" s="3" t="s">
        <v>305</v>
      </c>
      <c r="J900" s="3" t="s">
        <v>306</v>
      </c>
      <c r="K900" s="3" t="s">
        <v>307</v>
      </c>
      <c r="L900" s="3" t="s">
        <v>46</v>
      </c>
      <c r="M900" s="1" t="s">
        <v>12</v>
      </c>
      <c r="N900" s="1" t="s">
        <v>76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77</v>
      </c>
      <c r="T900" s="1" t="s">
        <v>308</v>
      </c>
      <c r="U900" s="1" t="s">
        <v>309</v>
      </c>
      <c r="V900" s="3" t="s">
        <v>310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320</v>
      </c>
      <c r="AE900" s="6" t="s">
        <v>85</v>
      </c>
      <c r="AF900" s="6" t="s">
        <v>49</v>
      </c>
      <c r="AG900" s="6" t="s">
        <v>49</v>
      </c>
      <c r="AH900" s="1" t="s">
        <v>152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 t="s">
        <v>49</v>
      </c>
      <c r="AS900" s="6">
        <v>2.1999999999999999E-2</v>
      </c>
      <c r="AT900" s="6" t="s">
        <v>49</v>
      </c>
      <c r="AU900" s="6" t="s">
        <v>49</v>
      </c>
      <c r="AV900" s="6" t="s">
        <v>49</v>
      </c>
      <c r="AW900" s="30" t="s">
        <v>49</v>
      </c>
    </row>
    <row r="901" spans="1:49" ht="14.4" customHeight="1">
      <c r="A901" s="6">
        <v>3</v>
      </c>
      <c r="B901" s="6" t="s">
        <v>38</v>
      </c>
      <c r="C901" s="1" t="s">
        <v>38</v>
      </c>
      <c r="D901" s="3" t="s">
        <v>301</v>
      </c>
      <c r="E901" s="3" t="s">
        <v>719</v>
      </c>
      <c r="F901" s="3">
        <v>2003</v>
      </c>
      <c r="G901" s="3" t="s">
        <v>303</v>
      </c>
      <c r="H901" s="3" t="s">
        <v>304</v>
      </c>
      <c r="I901" s="3" t="s">
        <v>305</v>
      </c>
      <c r="J901" s="3" t="s">
        <v>306</v>
      </c>
      <c r="K901" s="3" t="s">
        <v>307</v>
      </c>
      <c r="L901" s="3" t="s">
        <v>46</v>
      </c>
      <c r="M901" s="1" t="s">
        <v>12</v>
      </c>
      <c r="N901" s="1" t="s">
        <v>76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77</v>
      </c>
      <c r="T901" s="1" t="s">
        <v>308</v>
      </c>
      <c r="U901" s="1" t="s">
        <v>309</v>
      </c>
      <c r="V901" s="3" t="s">
        <v>310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320</v>
      </c>
      <c r="AE901" s="6" t="s">
        <v>312</v>
      </c>
      <c r="AF901" s="6" t="s">
        <v>49</v>
      </c>
      <c r="AG901" s="6" t="s">
        <v>49</v>
      </c>
      <c r="AH901" s="1" t="s">
        <v>152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 t="s">
        <v>49</v>
      </c>
      <c r="AS901" s="6">
        <v>5.0000000000000001E-3</v>
      </c>
      <c r="AT901" s="6" t="s">
        <v>49</v>
      </c>
      <c r="AU901" s="6" t="s">
        <v>49</v>
      </c>
      <c r="AV901" s="6" t="s">
        <v>49</v>
      </c>
      <c r="AW901" s="30" t="s">
        <v>49</v>
      </c>
    </row>
    <row r="902" spans="1:49" ht="14.4" customHeight="1">
      <c r="A902" s="6">
        <v>3</v>
      </c>
      <c r="B902" s="6" t="s">
        <v>38</v>
      </c>
      <c r="C902" s="1" t="s">
        <v>38</v>
      </c>
      <c r="D902" s="3" t="s">
        <v>301</v>
      </c>
      <c r="E902" s="3" t="s">
        <v>719</v>
      </c>
      <c r="F902" s="3">
        <v>2003</v>
      </c>
      <c r="G902" s="3" t="s">
        <v>303</v>
      </c>
      <c r="H902" s="3" t="s">
        <v>304</v>
      </c>
      <c r="I902" s="3" t="s">
        <v>305</v>
      </c>
      <c r="J902" s="3" t="s">
        <v>306</v>
      </c>
      <c r="K902" s="3" t="s">
        <v>307</v>
      </c>
      <c r="L902" s="3" t="s">
        <v>46</v>
      </c>
      <c r="M902" s="1" t="s">
        <v>12</v>
      </c>
      <c r="N902" s="1" t="s">
        <v>76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77</v>
      </c>
      <c r="T902" s="1" t="s">
        <v>308</v>
      </c>
      <c r="U902" s="1" t="s">
        <v>309</v>
      </c>
      <c r="V902" s="3" t="s">
        <v>310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323</v>
      </c>
      <c r="AE902" s="6" t="s">
        <v>324</v>
      </c>
      <c r="AF902" s="6" t="s">
        <v>49</v>
      </c>
      <c r="AG902" s="6" t="s">
        <v>49</v>
      </c>
      <c r="AH902" s="1" t="s">
        <v>152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 t="s">
        <v>49</v>
      </c>
      <c r="AS902" s="6">
        <v>0.11</v>
      </c>
      <c r="AT902" s="6" t="s">
        <v>49</v>
      </c>
      <c r="AU902" s="6" t="s">
        <v>49</v>
      </c>
      <c r="AV902" s="6" t="s">
        <v>49</v>
      </c>
      <c r="AW902" s="30" t="s">
        <v>49</v>
      </c>
    </row>
    <row r="903" spans="1:49" ht="14.4" customHeight="1">
      <c r="A903" s="6">
        <v>3</v>
      </c>
      <c r="B903" s="6" t="s">
        <v>38</v>
      </c>
      <c r="C903" s="1" t="s">
        <v>38</v>
      </c>
      <c r="D903" s="3" t="s">
        <v>301</v>
      </c>
      <c r="E903" s="3" t="s">
        <v>719</v>
      </c>
      <c r="F903" s="3">
        <v>2003</v>
      </c>
      <c r="G903" s="3" t="s">
        <v>303</v>
      </c>
      <c r="H903" s="3" t="s">
        <v>304</v>
      </c>
      <c r="I903" s="3" t="s">
        <v>305</v>
      </c>
      <c r="J903" s="3" t="s">
        <v>306</v>
      </c>
      <c r="K903" s="3" t="s">
        <v>307</v>
      </c>
      <c r="L903" s="3" t="s">
        <v>46</v>
      </c>
      <c r="M903" s="1" t="s">
        <v>12</v>
      </c>
      <c r="N903" s="1" t="s">
        <v>76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77</v>
      </c>
      <c r="T903" s="1" t="s">
        <v>308</v>
      </c>
      <c r="U903" s="1" t="s">
        <v>309</v>
      </c>
      <c r="V903" s="3" t="s">
        <v>310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323</v>
      </c>
      <c r="AE903" s="6" t="s">
        <v>325</v>
      </c>
      <c r="AF903" s="6" t="s">
        <v>49</v>
      </c>
      <c r="AG903" s="6" t="s">
        <v>49</v>
      </c>
      <c r="AH903" s="1" t="s">
        <v>152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 t="s">
        <v>49</v>
      </c>
      <c r="AS903" s="6">
        <v>6.6000000000000003E-2</v>
      </c>
      <c r="AT903" s="6" t="s">
        <v>49</v>
      </c>
      <c r="AU903" s="6" t="s">
        <v>49</v>
      </c>
      <c r="AV903" s="6" t="s">
        <v>49</v>
      </c>
      <c r="AW903" s="30" t="s">
        <v>49</v>
      </c>
    </row>
    <row r="904" spans="1:49" ht="14.4" customHeight="1">
      <c r="A904" s="6">
        <v>3</v>
      </c>
      <c r="B904" s="6" t="s">
        <v>38</v>
      </c>
      <c r="C904" s="1" t="s">
        <v>38</v>
      </c>
      <c r="D904" s="3" t="s">
        <v>301</v>
      </c>
      <c r="E904" s="3" t="s">
        <v>719</v>
      </c>
      <c r="F904" s="3">
        <v>2003</v>
      </c>
      <c r="G904" s="3" t="s">
        <v>303</v>
      </c>
      <c r="H904" s="3" t="s">
        <v>304</v>
      </c>
      <c r="I904" s="3" t="s">
        <v>305</v>
      </c>
      <c r="J904" s="3" t="s">
        <v>306</v>
      </c>
      <c r="K904" s="3" t="s">
        <v>307</v>
      </c>
      <c r="L904" s="3" t="s">
        <v>46</v>
      </c>
      <c r="M904" s="1" t="s">
        <v>12</v>
      </c>
      <c r="N904" s="1" t="s">
        <v>76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77</v>
      </c>
      <c r="T904" s="1" t="s">
        <v>308</v>
      </c>
      <c r="U904" s="1" t="s">
        <v>309</v>
      </c>
      <c r="V904" s="3" t="s">
        <v>310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323</v>
      </c>
      <c r="AE904" s="1" t="s">
        <v>326</v>
      </c>
      <c r="AF904" s="6" t="s">
        <v>49</v>
      </c>
      <c r="AG904" s="6" t="s">
        <v>49</v>
      </c>
      <c r="AH904" s="1" t="s">
        <v>152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 t="s">
        <v>49</v>
      </c>
      <c r="AS904" s="6">
        <v>0.74</v>
      </c>
      <c r="AT904" s="6" t="s">
        <v>49</v>
      </c>
      <c r="AU904" s="6" t="s">
        <v>49</v>
      </c>
      <c r="AV904" s="6" t="s">
        <v>49</v>
      </c>
      <c r="AW904" s="30" t="s">
        <v>49</v>
      </c>
    </row>
    <row r="905" spans="1:49" ht="14.4" customHeight="1">
      <c r="A905" s="6">
        <v>3</v>
      </c>
      <c r="B905" s="6" t="s">
        <v>38</v>
      </c>
      <c r="C905" s="1" t="s">
        <v>38</v>
      </c>
      <c r="D905" s="3" t="s">
        <v>301</v>
      </c>
      <c r="E905" s="3" t="s">
        <v>719</v>
      </c>
      <c r="F905" s="3">
        <v>2003</v>
      </c>
      <c r="G905" s="3" t="s">
        <v>303</v>
      </c>
      <c r="H905" s="3" t="s">
        <v>304</v>
      </c>
      <c r="I905" s="3" t="s">
        <v>305</v>
      </c>
      <c r="J905" s="3" t="s">
        <v>306</v>
      </c>
      <c r="K905" s="3" t="s">
        <v>307</v>
      </c>
      <c r="L905" s="3" t="s">
        <v>46</v>
      </c>
      <c r="M905" s="1" t="s">
        <v>12</v>
      </c>
      <c r="N905" s="1" t="s">
        <v>76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77</v>
      </c>
      <c r="T905" s="1" t="s">
        <v>308</v>
      </c>
      <c r="U905" s="1" t="s">
        <v>309</v>
      </c>
      <c r="V905" s="3" t="s">
        <v>310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323</v>
      </c>
      <c r="AE905" s="6" t="s">
        <v>327</v>
      </c>
      <c r="AF905" s="6" t="s">
        <v>49</v>
      </c>
      <c r="AG905" s="6" t="s">
        <v>49</v>
      </c>
      <c r="AH905" s="1" t="s">
        <v>152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 t="s">
        <v>49</v>
      </c>
      <c r="AS905" s="6">
        <v>1.2</v>
      </c>
      <c r="AT905" s="6" t="s">
        <v>49</v>
      </c>
      <c r="AU905" s="6" t="s">
        <v>49</v>
      </c>
      <c r="AV905" s="6" t="s">
        <v>49</v>
      </c>
      <c r="AW905" s="30" t="s">
        <v>49</v>
      </c>
    </row>
    <row r="906" spans="1:49" ht="14.4" customHeight="1">
      <c r="A906" s="6">
        <v>3</v>
      </c>
      <c r="B906" s="6" t="s">
        <v>38</v>
      </c>
      <c r="C906" s="1" t="s">
        <v>38</v>
      </c>
      <c r="D906" s="3" t="s">
        <v>301</v>
      </c>
      <c r="E906" s="3" t="s">
        <v>719</v>
      </c>
      <c r="F906" s="3">
        <v>2003</v>
      </c>
      <c r="G906" s="3" t="s">
        <v>303</v>
      </c>
      <c r="H906" s="3" t="s">
        <v>304</v>
      </c>
      <c r="I906" s="3" t="s">
        <v>305</v>
      </c>
      <c r="J906" s="3" t="s">
        <v>306</v>
      </c>
      <c r="K906" s="3" t="s">
        <v>307</v>
      </c>
      <c r="L906" s="3" t="s">
        <v>46</v>
      </c>
      <c r="M906" s="1" t="s">
        <v>12</v>
      </c>
      <c r="N906" s="1" t="s">
        <v>76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77</v>
      </c>
      <c r="T906" s="1" t="s">
        <v>308</v>
      </c>
      <c r="U906" s="1" t="s">
        <v>309</v>
      </c>
      <c r="V906" s="3" t="s">
        <v>310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323</v>
      </c>
      <c r="AE906" s="6" t="s">
        <v>238</v>
      </c>
      <c r="AF906" s="6" t="s">
        <v>49</v>
      </c>
      <c r="AG906" s="6" t="s">
        <v>49</v>
      </c>
      <c r="AH906" s="1" t="s">
        <v>152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 t="s">
        <v>49</v>
      </c>
      <c r="AS906" s="6">
        <v>6.5000000000000002E-2</v>
      </c>
      <c r="AT906" s="6" t="s">
        <v>49</v>
      </c>
      <c r="AU906" s="6" t="s">
        <v>49</v>
      </c>
      <c r="AV906" s="6" t="s">
        <v>49</v>
      </c>
      <c r="AW906" s="30" t="s">
        <v>49</v>
      </c>
    </row>
    <row r="907" spans="1:49" ht="14.4" customHeight="1">
      <c r="A907" s="6">
        <v>3</v>
      </c>
      <c r="B907" s="6" t="s">
        <v>38</v>
      </c>
      <c r="C907" s="1" t="s">
        <v>38</v>
      </c>
      <c r="D907" s="3" t="s">
        <v>301</v>
      </c>
      <c r="E907" s="3" t="s">
        <v>719</v>
      </c>
      <c r="F907" s="3">
        <v>2003</v>
      </c>
      <c r="G907" s="3" t="s">
        <v>303</v>
      </c>
      <c r="H907" s="3" t="s">
        <v>304</v>
      </c>
      <c r="I907" s="3" t="s">
        <v>305</v>
      </c>
      <c r="J907" s="3" t="s">
        <v>306</v>
      </c>
      <c r="K907" s="3" t="s">
        <v>307</v>
      </c>
      <c r="L907" s="3" t="s">
        <v>46</v>
      </c>
      <c r="M907" s="1" t="s">
        <v>12</v>
      </c>
      <c r="N907" s="1" t="s">
        <v>76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77</v>
      </c>
      <c r="T907" s="1" t="s">
        <v>308</v>
      </c>
      <c r="U907" s="1" t="s">
        <v>309</v>
      </c>
      <c r="V907" s="3" t="s">
        <v>310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323</v>
      </c>
      <c r="AE907" s="6" t="s">
        <v>85</v>
      </c>
      <c r="AF907" s="6" t="s">
        <v>49</v>
      </c>
      <c r="AG907" s="6" t="s">
        <v>49</v>
      </c>
      <c r="AH907" s="1" t="s">
        <v>152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 t="s">
        <v>49</v>
      </c>
      <c r="AS907" s="6">
        <v>9.9000000000000005E-2</v>
      </c>
      <c r="AT907" s="6" t="s">
        <v>49</v>
      </c>
      <c r="AU907" s="6" t="s">
        <v>49</v>
      </c>
      <c r="AV907" s="6" t="s">
        <v>49</v>
      </c>
      <c r="AW907" s="30" t="s">
        <v>49</v>
      </c>
    </row>
    <row r="908" spans="1:49" ht="14.4" customHeight="1">
      <c r="A908" s="6">
        <v>3</v>
      </c>
      <c r="B908" s="6" t="s">
        <v>38</v>
      </c>
      <c r="C908" s="1" t="s">
        <v>38</v>
      </c>
      <c r="D908" s="3" t="s">
        <v>301</v>
      </c>
      <c r="E908" s="3" t="s">
        <v>719</v>
      </c>
      <c r="F908" s="3">
        <v>2003</v>
      </c>
      <c r="G908" s="3" t="s">
        <v>303</v>
      </c>
      <c r="H908" s="3" t="s">
        <v>304</v>
      </c>
      <c r="I908" s="3" t="s">
        <v>305</v>
      </c>
      <c r="J908" s="3" t="s">
        <v>306</v>
      </c>
      <c r="K908" s="3" t="s">
        <v>307</v>
      </c>
      <c r="L908" s="3" t="s">
        <v>46</v>
      </c>
      <c r="M908" s="1" t="s">
        <v>12</v>
      </c>
      <c r="N908" s="1" t="s">
        <v>76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77</v>
      </c>
      <c r="T908" s="1" t="s">
        <v>308</v>
      </c>
      <c r="U908" s="1" t="s">
        <v>309</v>
      </c>
      <c r="V908" s="3" t="s">
        <v>310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323</v>
      </c>
      <c r="AE908" s="6" t="s">
        <v>312</v>
      </c>
      <c r="AF908" s="6" t="s">
        <v>49</v>
      </c>
      <c r="AG908" s="6" t="s">
        <v>49</v>
      </c>
      <c r="AH908" s="1" t="s">
        <v>152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 t="s">
        <v>49</v>
      </c>
      <c r="AS908" s="6">
        <v>2.7E-2</v>
      </c>
      <c r="AT908" s="6" t="s">
        <v>49</v>
      </c>
      <c r="AU908" s="6" t="s">
        <v>49</v>
      </c>
      <c r="AV908" s="6" t="s">
        <v>49</v>
      </c>
      <c r="AW908" s="30" t="s">
        <v>49</v>
      </c>
    </row>
    <row r="909" spans="1:49" ht="14.4" customHeight="1">
      <c r="A909" s="6">
        <v>3</v>
      </c>
      <c r="B909" s="6" t="s">
        <v>38</v>
      </c>
      <c r="C909" s="1" t="s">
        <v>38</v>
      </c>
      <c r="D909" s="3" t="s">
        <v>301</v>
      </c>
      <c r="E909" s="3" t="s">
        <v>719</v>
      </c>
      <c r="F909" s="3">
        <v>2003</v>
      </c>
      <c r="G909" s="3" t="s">
        <v>303</v>
      </c>
      <c r="H909" s="3" t="s">
        <v>304</v>
      </c>
      <c r="I909" s="3" t="s">
        <v>305</v>
      </c>
      <c r="J909" s="3" t="s">
        <v>306</v>
      </c>
      <c r="K909" s="3" t="s">
        <v>307</v>
      </c>
      <c r="L909" s="3" t="s">
        <v>46</v>
      </c>
      <c r="M909" s="1" t="s">
        <v>12</v>
      </c>
      <c r="N909" s="1" t="s">
        <v>76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77</v>
      </c>
      <c r="T909" s="1" t="s">
        <v>308</v>
      </c>
      <c r="U909" s="1" t="s">
        <v>309</v>
      </c>
      <c r="V909" s="3" t="s">
        <v>310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324</v>
      </c>
      <c r="AE909" s="6" t="s">
        <v>325</v>
      </c>
      <c r="AF909" s="6" t="s">
        <v>49</v>
      </c>
      <c r="AG909" s="6" t="s">
        <v>49</v>
      </c>
      <c r="AH909" s="1" t="s">
        <v>152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 t="s">
        <v>49</v>
      </c>
      <c r="AS909" s="6">
        <v>4.9000000000000002E-2</v>
      </c>
      <c r="AT909" s="6" t="s">
        <v>49</v>
      </c>
      <c r="AU909" s="6" t="s">
        <v>49</v>
      </c>
      <c r="AV909" s="6" t="s">
        <v>49</v>
      </c>
      <c r="AW909" s="30" t="s">
        <v>49</v>
      </c>
    </row>
    <row r="910" spans="1:49" ht="14.4" customHeight="1">
      <c r="A910" s="6">
        <v>3</v>
      </c>
      <c r="B910" s="6" t="s">
        <v>38</v>
      </c>
      <c r="C910" s="1" t="s">
        <v>38</v>
      </c>
      <c r="D910" s="3" t="s">
        <v>301</v>
      </c>
      <c r="E910" s="3" t="s">
        <v>719</v>
      </c>
      <c r="F910" s="3">
        <v>2003</v>
      </c>
      <c r="G910" s="3" t="s">
        <v>303</v>
      </c>
      <c r="H910" s="3" t="s">
        <v>304</v>
      </c>
      <c r="I910" s="3" t="s">
        <v>305</v>
      </c>
      <c r="J910" s="3" t="s">
        <v>306</v>
      </c>
      <c r="K910" s="3" t="s">
        <v>307</v>
      </c>
      <c r="L910" s="3" t="s">
        <v>46</v>
      </c>
      <c r="M910" s="1" t="s">
        <v>12</v>
      </c>
      <c r="N910" s="1" t="s">
        <v>76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77</v>
      </c>
      <c r="T910" s="1" t="s">
        <v>308</v>
      </c>
      <c r="U910" s="1" t="s">
        <v>309</v>
      </c>
      <c r="V910" s="3" t="s">
        <v>310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324</v>
      </c>
      <c r="AE910" s="1" t="s">
        <v>326</v>
      </c>
      <c r="AF910" s="6" t="s">
        <v>49</v>
      </c>
      <c r="AG910" s="6" t="s">
        <v>49</v>
      </c>
      <c r="AH910" s="1" t="s">
        <v>152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 t="s">
        <v>49</v>
      </c>
      <c r="AS910" s="6">
        <v>0.65</v>
      </c>
      <c r="AT910" s="6" t="s">
        <v>49</v>
      </c>
      <c r="AU910" s="6" t="s">
        <v>49</v>
      </c>
      <c r="AV910" s="6" t="s">
        <v>49</v>
      </c>
      <c r="AW910" s="30" t="s">
        <v>49</v>
      </c>
    </row>
    <row r="911" spans="1:49" ht="14.4" customHeight="1">
      <c r="A911" s="6">
        <v>3</v>
      </c>
      <c r="B911" s="6" t="s">
        <v>38</v>
      </c>
      <c r="C911" s="1" t="s">
        <v>38</v>
      </c>
      <c r="D911" s="3" t="s">
        <v>301</v>
      </c>
      <c r="E911" s="3" t="s">
        <v>719</v>
      </c>
      <c r="F911" s="3">
        <v>2003</v>
      </c>
      <c r="G911" s="3" t="s">
        <v>303</v>
      </c>
      <c r="H911" s="3" t="s">
        <v>304</v>
      </c>
      <c r="I911" s="3" t="s">
        <v>305</v>
      </c>
      <c r="J911" s="3" t="s">
        <v>306</v>
      </c>
      <c r="K911" s="3" t="s">
        <v>307</v>
      </c>
      <c r="L911" s="3" t="s">
        <v>46</v>
      </c>
      <c r="M911" s="1" t="s">
        <v>12</v>
      </c>
      <c r="N911" s="1" t="s">
        <v>76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77</v>
      </c>
      <c r="T911" s="1" t="s">
        <v>308</v>
      </c>
      <c r="U911" s="1" t="s">
        <v>309</v>
      </c>
      <c r="V911" s="3" t="s">
        <v>310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324</v>
      </c>
      <c r="AE911" s="6" t="s">
        <v>327</v>
      </c>
      <c r="AF911" s="6" t="s">
        <v>49</v>
      </c>
      <c r="AG911" s="6" t="s">
        <v>49</v>
      </c>
      <c r="AH911" s="1" t="s">
        <v>152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 t="s">
        <v>49</v>
      </c>
      <c r="AS911" s="6">
        <v>0.92</v>
      </c>
      <c r="AT911" s="6" t="s">
        <v>49</v>
      </c>
      <c r="AU911" s="6" t="s">
        <v>49</v>
      </c>
      <c r="AV911" s="6" t="s">
        <v>49</v>
      </c>
      <c r="AW911" s="30" t="s">
        <v>49</v>
      </c>
    </row>
    <row r="912" spans="1:49" ht="14.4" customHeight="1">
      <c r="A912" s="6">
        <v>3</v>
      </c>
      <c r="B912" s="6" t="s">
        <v>38</v>
      </c>
      <c r="C912" s="1" t="s">
        <v>38</v>
      </c>
      <c r="D912" s="3" t="s">
        <v>301</v>
      </c>
      <c r="E912" s="3" t="s">
        <v>719</v>
      </c>
      <c r="F912" s="3">
        <v>2003</v>
      </c>
      <c r="G912" s="3" t="s">
        <v>303</v>
      </c>
      <c r="H912" s="3" t="s">
        <v>304</v>
      </c>
      <c r="I912" s="3" t="s">
        <v>305</v>
      </c>
      <c r="J912" s="3" t="s">
        <v>306</v>
      </c>
      <c r="K912" s="3" t="s">
        <v>307</v>
      </c>
      <c r="L912" s="3" t="s">
        <v>46</v>
      </c>
      <c r="M912" s="1" t="s">
        <v>12</v>
      </c>
      <c r="N912" s="1" t="s">
        <v>76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77</v>
      </c>
      <c r="T912" s="1" t="s">
        <v>308</v>
      </c>
      <c r="U912" s="1" t="s">
        <v>309</v>
      </c>
      <c r="V912" s="3" t="s">
        <v>310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324</v>
      </c>
      <c r="AE912" s="6" t="s">
        <v>238</v>
      </c>
      <c r="AF912" s="6" t="s">
        <v>49</v>
      </c>
      <c r="AG912" s="6" t="s">
        <v>49</v>
      </c>
      <c r="AH912" s="1" t="s">
        <v>152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 t="s">
        <v>49</v>
      </c>
      <c r="AS912" s="6">
        <v>6.9000000000000006E-2</v>
      </c>
      <c r="AT912" s="6" t="s">
        <v>49</v>
      </c>
      <c r="AU912" s="6" t="s">
        <v>49</v>
      </c>
      <c r="AV912" s="6" t="s">
        <v>49</v>
      </c>
      <c r="AW912" s="30" t="s">
        <v>49</v>
      </c>
    </row>
    <row r="913" spans="1:49" ht="14.4" customHeight="1">
      <c r="A913" s="6">
        <v>3</v>
      </c>
      <c r="B913" s="6" t="s">
        <v>38</v>
      </c>
      <c r="C913" s="1" t="s">
        <v>38</v>
      </c>
      <c r="D913" s="3" t="s">
        <v>301</v>
      </c>
      <c r="E913" s="3" t="s">
        <v>719</v>
      </c>
      <c r="F913" s="3">
        <v>2003</v>
      </c>
      <c r="G913" s="3" t="s">
        <v>303</v>
      </c>
      <c r="H913" s="3" t="s">
        <v>304</v>
      </c>
      <c r="I913" s="3" t="s">
        <v>305</v>
      </c>
      <c r="J913" s="3" t="s">
        <v>306</v>
      </c>
      <c r="K913" s="3" t="s">
        <v>307</v>
      </c>
      <c r="L913" s="3" t="s">
        <v>46</v>
      </c>
      <c r="M913" s="1" t="s">
        <v>12</v>
      </c>
      <c r="N913" s="1" t="s">
        <v>76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77</v>
      </c>
      <c r="T913" s="1" t="s">
        <v>308</v>
      </c>
      <c r="U913" s="1" t="s">
        <v>309</v>
      </c>
      <c r="V913" s="3" t="s">
        <v>310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324</v>
      </c>
      <c r="AE913" s="6" t="s">
        <v>85</v>
      </c>
      <c r="AF913" s="6" t="s">
        <v>49</v>
      </c>
      <c r="AG913" s="6" t="s">
        <v>49</v>
      </c>
      <c r="AH913" s="1" t="s">
        <v>152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 t="s">
        <v>49</v>
      </c>
      <c r="AS913" s="6">
        <v>6.3E-2</v>
      </c>
      <c r="AT913" s="6" t="s">
        <v>49</v>
      </c>
      <c r="AU913" s="6" t="s">
        <v>49</v>
      </c>
      <c r="AV913" s="6" t="s">
        <v>49</v>
      </c>
      <c r="AW913" s="30" t="s">
        <v>49</v>
      </c>
    </row>
    <row r="914" spans="1:49" ht="14.4" customHeight="1">
      <c r="A914" s="6">
        <v>3</v>
      </c>
      <c r="B914" s="6" t="s">
        <v>38</v>
      </c>
      <c r="C914" s="1" t="s">
        <v>38</v>
      </c>
      <c r="D914" s="3" t="s">
        <v>301</v>
      </c>
      <c r="E914" s="3" t="s">
        <v>719</v>
      </c>
      <c r="F914" s="3">
        <v>2003</v>
      </c>
      <c r="G914" s="3" t="s">
        <v>303</v>
      </c>
      <c r="H914" s="3" t="s">
        <v>304</v>
      </c>
      <c r="I914" s="3" t="s">
        <v>305</v>
      </c>
      <c r="J914" s="3" t="s">
        <v>306</v>
      </c>
      <c r="K914" s="3" t="s">
        <v>307</v>
      </c>
      <c r="L914" s="3" t="s">
        <v>46</v>
      </c>
      <c r="M914" s="1" t="s">
        <v>12</v>
      </c>
      <c r="N914" s="1" t="s">
        <v>76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77</v>
      </c>
      <c r="T914" s="1" t="s">
        <v>308</v>
      </c>
      <c r="U914" s="1" t="s">
        <v>309</v>
      </c>
      <c r="V914" s="3" t="s">
        <v>310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324</v>
      </c>
      <c r="AE914" s="6" t="s">
        <v>312</v>
      </c>
      <c r="AF914" s="6" t="s">
        <v>49</v>
      </c>
      <c r="AG914" s="6" t="s">
        <v>49</v>
      </c>
      <c r="AH914" s="1" t="s">
        <v>152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 t="s">
        <v>49</v>
      </c>
      <c r="AS914" s="6">
        <v>1.4E-2</v>
      </c>
      <c r="AT914" s="6" t="s">
        <v>49</v>
      </c>
      <c r="AU914" s="6" t="s">
        <v>49</v>
      </c>
      <c r="AV914" s="6" t="s">
        <v>49</v>
      </c>
      <c r="AW914" s="30" t="s">
        <v>49</v>
      </c>
    </row>
    <row r="915" spans="1:49" ht="14.4" customHeight="1">
      <c r="A915" s="6">
        <v>3</v>
      </c>
      <c r="B915" s="6" t="s">
        <v>38</v>
      </c>
      <c r="C915" s="1" t="s">
        <v>38</v>
      </c>
      <c r="D915" s="3" t="s">
        <v>301</v>
      </c>
      <c r="E915" s="3" t="s">
        <v>719</v>
      </c>
      <c r="F915" s="3">
        <v>2003</v>
      </c>
      <c r="G915" s="3" t="s">
        <v>303</v>
      </c>
      <c r="H915" s="3" t="s">
        <v>304</v>
      </c>
      <c r="I915" s="3" t="s">
        <v>305</v>
      </c>
      <c r="J915" s="3" t="s">
        <v>306</v>
      </c>
      <c r="K915" s="3" t="s">
        <v>307</v>
      </c>
      <c r="L915" s="3" t="s">
        <v>46</v>
      </c>
      <c r="M915" s="1" t="s">
        <v>12</v>
      </c>
      <c r="N915" s="1" t="s">
        <v>76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77</v>
      </c>
      <c r="T915" s="1" t="s">
        <v>308</v>
      </c>
      <c r="U915" s="1" t="s">
        <v>309</v>
      </c>
      <c r="V915" s="3" t="s">
        <v>310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325</v>
      </c>
      <c r="AE915" s="1" t="s">
        <v>326</v>
      </c>
      <c r="AF915" s="6" t="s">
        <v>49</v>
      </c>
      <c r="AG915" s="6" t="s">
        <v>49</v>
      </c>
      <c r="AH915" s="1" t="s">
        <v>152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 t="s">
        <v>49</v>
      </c>
      <c r="AS915" s="6">
        <v>0.33</v>
      </c>
      <c r="AT915" s="6" t="s">
        <v>49</v>
      </c>
      <c r="AU915" s="6" t="s">
        <v>49</v>
      </c>
      <c r="AV915" s="6" t="s">
        <v>49</v>
      </c>
      <c r="AW915" s="30" t="s">
        <v>49</v>
      </c>
    </row>
    <row r="916" spans="1:49" ht="14.4" customHeight="1">
      <c r="A916" s="6">
        <v>3</v>
      </c>
      <c r="B916" s="6" t="s">
        <v>38</v>
      </c>
      <c r="C916" s="1" t="s">
        <v>38</v>
      </c>
      <c r="D916" s="3" t="s">
        <v>301</v>
      </c>
      <c r="E916" s="3" t="s">
        <v>719</v>
      </c>
      <c r="F916" s="3">
        <v>2003</v>
      </c>
      <c r="G916" s="3" t="s">
        <v>303</v>
      </c>
      <c r="H916" s="3" t="s">
        <v>304</v>
      </c>
      <c r="I916" s="3" t="s">
        <v>305</v>
      </c>
      <c r="J916" s="3" t="s">
        <v>306</v>
      </c>
      <c r="K916" s="3" t="s">
        <v>307</v>
      </c>
      <c r="L916" s="3" t="s">
        <v>46</v>
      </c>
      <c r="M916" s="1" t="s">
        <v>12</v>
      </c>
      <c r="N916" s="1" t="s">
        <v>76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77</v>
      </c>
      <c r="T916" s="1" t="s">
        <v>308</v>
      </c>
      <c r="U916" s="1" t="s">
        <v>309</v>
      </c>
      <c r="V916" s="3" t="s">
        <v>310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325</v>
      </c>
      <c r="AE916" s="6" t="s">
        <v>327</v>
      </c>
      <c r="AF916" s="6" t="s">
        <v>49</v>
      </c>
      <c r="AG916" s="6" t="s">
        <v>49</v>
      </c>
      <c r="AH916" s="1" t="s">
        <v>152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 t="s">
        <v>49</v>
      </c>
      <c r="AS916" s="6">
        <v>0.49</v>
      </c>
      <c r="AT916" s="6" t="s">
        <v>49</v>
      </c>
      <c r="AU916" s="6" t="s">
        <v>49</v>
      </c>
      <c r="AV916" s="6" t="s">
        <v>49</v>
      </c>
      <c r="AW916" s="30" t="s">
        <v>49</v>
      </c>
    </row>
    <row r="917" spans="1:49" ht="14.4" customHeight="1">
      <c r="A917" s="6">
        <v>3</v>
      </c>
      <c r="B917" s="6" t="s">
        <v>38</v>
      </c>
      <c r="C917" s="1" t="s">
        <v>38</v>
      </c>
      <c r="D917" s="3" t="s">
        <v>301</v>
      </c>
      <c r="E917" s="3" t="s">
        <v>719</v>
      </c>
      <c r="F917" s="3">
        <v>2003</v>
      </c>
      <c r="G917" s="3" t="s">
        <v>303</v>
      </c>
      <c r="H917" s="3" t="s">
        <v>304</v>
      </c>
      <c r="I917" s="3" t="s">
        <v>305</v>
      </c>
      <c r="J917" s="3" t="s">
        <v>306</v>
      </c>
      <c r="K917" s="3" t="s">
        <v>307</v>
      </c>
      <c r="L917" s="3" t="s">
        <v>46</v>
      </c>
      <c r="M917" s="1" t="s">
        <v>12</v>
      </c>
      <c r="N917" s="1" t="s">
        <v>76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77</v>
      </c>
      <c r="T917" s="1" t="s">
        <v>308</v>
      </c>
      <c r="U917" s="1" t="s">
        <v>309</v>
      </c>
      <c r="V917" s="3" t="s">
        <v>310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325</v>
      </c>
      <c r="AE917" s="6" t="s">
        <v>238</v>
      </c>
      <c r="AF917" s="6" t="s">
        <v>49</v>
      </c>
      <c r="AG917" s="6" t="s">
        <v>49</v>
      </c>
      <c r="AH917" s="1" t="s">
        <v>152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 t="s">
        <v>49</v>
      </c>
      <c r="AS917" s="6">
        <v>4.2000000000000003E-2</v>
      </c>
      <c r="AT917" s="6" t="s">
        <v>49</v>
      </c>
      <c r="AU917" s="6" t="s">
        <v>49</v>
      </c>
      <c r="AV917" s="6" t="s">
        <v>49</v>
      </c>
      <c r="AW917" s="30" t="s">
        <v>49</v>
      </c>
    </row>
    <row r="918" spans="1:49" ht="14.4" customHeight="1">
      <c r="A918" s="6">
        <v>3</v>
      </c>
      <c r="B918" s="6" t="s">
        <v>38</v>
      </c>
      <c r="C918" s="1" t="s">
        <v>38</v>
      </c>
      <c r="D918" s="3" t="s">
        <v>301</v>
      </c>
      <c r="E918" s="3" t="s">
        <v>719</v>
      </c>
      <c r="F918" s="3">
        <v>2003</v>
      </c>
      <c r="G918" s="3" t="s">
        <v>303</v>
      </c>
      <c r="H918" s="3" t="s">
        <v>304</v>
      </c>
      <c r="I918" s="3" t="s">
        <v>305</v>
      </c>
      <c r="J918" s="3" t="s">
        <v>306</v>
      </c>
      <c r="K918" s="3" t="s">
        <v>307</v>
      </c>
      <c r="L918" s="3" t="s">
        <v>46</v>
      </c>
      <c r="M918" s="1" t="s">
        <v>12</v>
      </c>
      <c r="N918" s="1" t="s">
        <v>76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77</v>
      </c>
      <c r="T918" s="1" t="s">
        <v>308</v>
      </c>
      <c r="U918" s="1" t="s">
        <v>309</v>
      </c>
      <c r="V918" s="3" t="s">
        <v>310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325</v>
      </c>
      <c r="AE918" s="6" t="s">
        <v>85</v>
      </c>
      <c r="AF918" s="6" t="s">
        <v>49</v>
      </c>
      <c r="AG918" s="6" t="s">
        <v>49</v>
      </c>
      <c r="AH918" s="1" t="s">
        <v>152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 t="s">
        <v>49</v>
      </c>
      <c r="AS918" s="6">
        <v>5.6000000000000001E-2</v>
      </c>
      <c r="AT918" s="6" t="s">
        <v>49</v>
      </c>
      <c r="AU918" s="6" t="s">
        <v>49</v>
      </c>
      <c r="AV918" s="6" t="s">
        <v>49</v>
      </c>
      <c r="AW918" s="30" t="s">
        <v>49</v>
      </c>
    </row>
    <row r="919" spans="1:49" ht="14.4" customHeight="1">
      <c r="A919" s="6">
        <v>3</v>
      </c>
      <c r="B919" s="6" t="s">
        <v>38</v>
      </c>
      <c r="C919" s="1" t="s">
        <v>38</v>
      </c>
      <c r="D919" s="3" t="s">
        <v>301</v>
      </c>
      <c r="E919" s="3" t="s">
        <v>719</v>
      </c>
      <c r="F919" s="3">
        <v>2003</v>
      </c>
      <c r="G919" s="3" t="s">
        <v>303</v>
      </c>
      <c r="H919" s="3" t="s">
        <v>304</v>
      </c>
      <c r="I919" s="3" t="s">
        <v>305</v>
      </c>
      <c r="J919" s="3" t="s">
        <v>306</v>
      </c>
      <c r="K919" s="3" t="s">
        <v>307</v>
      </c>
      <c r="L919" s="3" t="s">
        <v>46</v>
      </c>
      <c r="M919" s="1" t="s">
        <v>12</v>
      </c>
      <c r="N919" s="1" t="s">
        <v>76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77</v>
      </c>
      <c r="T919" s="1" t="s">
        <v>308</v>
      </c>
      <c r="U919" s="1" t="s">
        <v>309</v>
      </c>
      <c r="V919" s="3" t="s">
        <v>310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325</v>
      </c>
      <c r="AE919" s="6" t="s">
        <v>312</v>
      </c>
      <c r="AF919" s="6" t="s">
        <v>49</v>
      </c>
      <c r="AG919" s="6" t="s">
        <v>49</v>
      </c>
      <c r="AH919" s="1" t="s">
        <v>152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 t="s">
        <v>49</v>
      </c>
      <c r="AS919" s="6">
        <v>8.9999999999999993E-3</v>
      </c>
      <c r="AT919" s="6" t="s">
        <v>49</v>
      </c>
      <c r="AU919" s="6" t="s">
        <v>49</v>
      </c>
      <c r="AV919" s="6" t="s">
        <v>49</v>
      </c>
      <c r="AW919" s="30" t="s">
        <v>49</v>
      </c>
    </row>
    <row r="920" spans="1:49" ht="14.4" customHeight="1">
      <c r="A920" s="6">
        <v>3</v>
      </c>
      <c r="B920" s="6" t="s">
        <v>38</v>
      </c>
      <c r="C920" s="1" t="s">
        <v>38</v>
      </c>
      <c r="D920" s="3" t="s">
        <v>301</v>
      </c>
      <c r="E920" s="3" t="s">
        <v>719</v>
      </c>
      <c r="F920" s="3">
        <v>2003</v>
      </c>
      <c r="G920" s="3" t="s">
        <v>303</v>
      </c>
      <c r="H920" s="3" t="s">
        <v>304</v>
      </c>
      <c r="I920" s="3" t="s">
        <v>305</v>
      </c>
      <c r="J920" s="3" t="s">
        <v>306</v>
      </c>
      <c r="K920" s="3" t="s">
        <v>307</v>
      </c>
      <c r="L920" s="3" t="s">
        <v>46</v>
      </c>
      <c r="M920" s="1" t="s">
        <v>12</v>
      </c>
      <c r="N920" s="1" t="s">
        <v>76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77</v>
      </c>
      <c r="T920" s="1" t="s">
        <v>308</v>
      </c>
      <c r="U920" s="1" t="s">
        <v>309</v>
      </c>
      <c r="V920" s="3" t="s">
        <v>310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1" t="s">
        <v>326</v>
      </c>
      <c r="AE920" s="6" t="s">
        <v>327</v>
      </c>
      <c r="AF920" s="6" t="s">
        <v>49</v>
      </c>
      <c r="AG920" s="6" t="s">
        <v>49</v>
      </c>
      <c r="AH920" s="1" t="s">
        <v>152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 t="s">
        <v>49</v>
      </c>
      <c r="AS920" s="6">
        <v>6.36</v>
      </c>
      <c r="AT920" s="6" t="s">
        <v>49</v>
      </c>
      <c r="AU920" s="6" t="s">
        <v>49</v>
      </c>
      <c r="AV920" s="6" t="s">
        <v>49</v>
      </c>
      <c r="AW920" s="30" t="s">
        <v>49</v>
      </c>
    </row>
    <row r="921" spans="1:49" ht="14.4" customHeight="1">
      <c r="A921" s="6">
        <v>3</v>
      </c>
      <c r="B921" s="6" t="s">
        <v>38</v>
      </c>
      <c r="C921" s="1" t="s">
        <v>38</v>
      </c>
      <c r="D921" s="3" t="s">
        <v>301</v>
      </c>
      <c r="E921" s="3" t="s">
        <v>719</v>
      </c>
      <c r="F921" s="3">
        <v>2003</v>
      </c>
      <c r="G921" s="3" t="s">
        <v>303</v>
      </c>
      <c r="H921" s="3" t="s">
        <v>304</v>
      </c>
      <c r="I921" s="3" t="s">
        <v>305</v>
      </c>
      <c r="J921" s="3" t="s">
        <v>306</v>
      </c>
      <c r="K921" s="3" t="s">
        <v>307</v>
      </c>
      <c r="L921" s="3" t="s">
        <v>46</v>
      </c>
      <c r="M921" s="1" t="s">
        <v>12</v>
      </c>
      <c r="N921" s="1" t="s">
        <v>76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77</v>
      </c>
      <c r="T921" s="1" t="s">
        <v>308</v>
      </c>
      <c r="U921" s="1" t="s">
        <v>309</v>
      </c>
      <c r="V921" s="3" t="s">
        <v>310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1" t="s">
        <v>326</v>
      </c>
      <c r="AE921" s="6" t="s">
        <v>238</v>
      </c>
      <c r="AF921" s="6" t="s">
        <v>49</v>
      </c>
      <c r="AG921" s="6" t="s">
        <v>49</v>
      </c>
      <c r="AH921" s="1" t="s">
        <v>152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 t="s">
        <v>49</v>
      </c>
      <c r="AS921" s="6">
        <v>0.51</v>
      </c>
      <c r="AT921" s="6" t="s">
        <v>49</v>
      </c>
      <c r="AU921" s="6" t="s">
        <v>49</v>
      </c>
      <c r="AV921" s="6" t="s">
        <v>49</v>
      </c>
      <c r="AW921" s="30" t="s">
        <v>49</v>
      </c>
    </row>
    <row r="922" spans="1:49" ht="14.4" customHeight="1">
      <c r="A922" s="6">
        <v>3</v>
      </c>
      <c r="B922" s="6" t="s">
        <v>38</v>
      </c>
      <c r="C922" s="1" t="s">
        <v>38</v>
      </c>
      <c r="D922" s="3" t="s">
        <v>301</v>
      </c>
      <c r="E922" s="3" t="s">
        <v>719</v>
      </c>
      <c r="F922" s="3">
        <v>2003</v>
      </c>
      <c r="G922" s="3" t="s">
        <v>303</v>
      </c>
      <c r="H922" s="3" t="s">
        <v>304</v>
      </c>
      <c r="I922" s="3" t="s">
        <v>305</v>
      </c>
      <c r="J922" s="3" t="s">
        <v>306</v>
      </c>
      <c r="K922" s="3" t="s">
        <v>307</v>
      </c>
      <c r="L922" s="3" t="s">
        <v>46</v>
      </c>
      <c r="M922" s="1" t="s">
        <v>12</v>
      </c>
      <c r="N922" s="1" t="s">
        <v>76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77</v>
      </c>
      <c r="T922" s="1" t="s">
        <v>308</v>
      </c>
      <c r="U922" s="1" t="s">
        <v>309</v>
      </c>
      <c r="V922" s="3" t="s">
        <v>310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1" t="s">
        <v>326</v>
      </c>
      <c r="AE922" s="6" t="s">
        <v>85</v>
      </c>
      <c r="AF922" s="6" t="s">
        <v>49</v>
      </c>
      <c r="AG922" s="6" t="s">
        <v>49</v>
      </c>
      <c r="AH922" s="1" t="s">
        <v>152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 t="s">
        <v>49</v>
      </c>
      <c r="AS922" s="6">
        <v>0.24</v>
      </c>
      <c r="AT922" s="6" t="s">
        <v>49</v>
      </c>
      <c r="AU922" s="6" t="s">
        <v>49</v>
      </c>
      <c r="AV922" s="6" t="s">
        <v>49</v>
      </c>
      <c r="AW922" s="30" t="s">
        <v>49</v>
      </c>
    </row>
    <row r="923" spans="1:49" ht="14.4" customHeight="1">
      <c r="A923" s="6">
        <v>3</v>
      </c>
      <c r="B923" s="6" t="s">
        <v>38</v>
      </c>
      <c r="C923" s="1" t="s">
        <v>38</v>
      </c>
      <c r="D923" s="3" t="s">
        <v>301</v>
      </c>
      <c r="E923" s="3" t="s">
        <v>719</v>
      </c>
      <c r="F923" s="3">
        <v>2003</v>
      </c>
      <c r="G923" s="3" t="s">
        <v>303</v>
      </c>
      <c r="H923" s="3" t="s">
        <v>304</v>
      </c>
      <c r="I923" s="3" t="s">
        <v>305</v>
      </c>
      <c r="J923" s="3" t="s">
        <v>306</v>
      </c>
      <c r="K923" s="3" t="s">
        <v>307</v>
      </c>
      <c r="L923" s="3" t="s">
        <v>46</v>
      </c>
      <c r="M923" s="1" t="s">
        <v>12</v>
      </c>
      <c r="N923" s="1" t="s">
        <v>76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77</v>
      </c>
      <c r="T923" s="1" t="s">
        <v>308</v>
      </c>
      <c r="U923" s="1" t="s">
        <v>309</v>
      </c>
      <c r="V923" s="3" t="s">
        <v>310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1" t="s">
        <v>326</v>
      </c>
      <c r="AE923" s="6" t="s">
        <v>312</v>
      </c>
      <c r="AF923" s="6" t="s">
        <v>49</v>
      </c>
      <c r="AG923" s="6" t="s">
        <v>49</v>
      </c>
      <c r="AH923" s="1" t="s">
        <v>152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 t="s">
        <v>49</v>
      </c>
      <c r="AS923" s="6">
        <v>0.09</v>
      </c>
      <c r="AT923" s="6" t="s">
        <v>49</v>
      </c>
      <c r="AU923" s="6" t="s">
        <v>49</v>
      </c>
      <c r="AV923" s="6" t="s">
        <v>49</v>
      </c>
      <c r="AW923" s="30" t="s">
        <v>49</v>
      </c>
    </row>
    <row r="924" spans="1:49" ht="14.4" customHeight="1">
      <c r="A924" s="6">
        <v>3</v>
      </c>
      <c r="B924" s="6" t="s">
        <v>38</v>
      </c>
      <c r="C924" s="1" t="s">
        <v>38</v>
      </c>
      <c r="D924" s="3" t="s">
        <v>301</v>
      </c>
      <c r="E924" s="3" t="s">
        <v>719</v>
      </c>
      <c r="F924" s="3">
        <v>2003</v>
      </c>
      <c r="G924" s="3" t="s">
        <v>303</v>
      </c>
      <c r="H924" s="3" t="s">
        <v>304</v>
      </c>
      <c r="I924" s="3" t="s">
        <v>305</v>
      </c>
      <c r="J924" s="3" t="s">
        <v>306</v>
      </c>
      <c r="K924" s="3" t="s">
        <v>307</v>
      </c>
      <c r="L924" s="3" t="s">
        <v>46</v>
      </c>
      <c r="M924" s="1" t="s">
        <v>12</v>
      </c>
      <c r="N924" s="1" t="s">
        <v>76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77</v>
      </c>
      <c r="T924" s="1" t="s">
        <v>308</v>
      </c>
      <c r="U924" s="1" t="s">
        <v>309</v>
      </c>
      <c r="V924" s="3" t="s">
        <v>310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327</v>
      </c>
      <c r="AE924" s="6" t="s">
        <v>238</v>
      </c>
      <c r="AF924" s="6" t="s">
        <v>49</v>
      </c>
      <c r="AG924" s="6" t="s">
        <v>49</v>
      </c>
      <c r="AH924" s="1" t="s">
        <v>152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 t="s">
        <v>49</v>
      </c>
      <c r="AS924" s="6">
        <v>0.65</v>
      </c>
      <c r="AT924" s="6" t="s">
        <v>49</v>
      </c>
      <c r="AU924" s="6" t="s">
        <v>49</v>
      </c>
      <c r="AV924" s="6" t="s">
        <v>49</v>
      </c>
      <c r="AW924" s="30" t="s">
        <v>49</v>
      </c>
    </row>
    <row r="925" spans="1:49" ht="14.4" customHeight="1">
      <c r="A925" s="6">
        <v>3</v>
      </c>
      <c r="B925" s="6" t="s">
        <v>38</v>
      </c>
      <c r="C925" s="1" t="s">
        <v>38</v>
      </c>
      <c r="D925" s="3" t="s">
        <v>301</v>
      </c>
      <c r="E925" s="3" t="s">
        <v>719</v>
      </c>
      <c r="F925" s="3">
        <v>2003</v>
      </c>
      <c r="G925" s="3" t="s">
        <v>303</v>
      </c>
      <c r="H925" s="3" t="s">
        <v>304</v>
      </c>
      <c r="I925" s="3" t="s">
        <v>305</v>
      </c>
      <c r="J925" s="3" t="s">
        <v>306</v>
      </c>
      <c r="K925" s="3" t="s">
        <v>307</v>
      </c>
      <c r="L925" s="3" t="s">
        <v>46</v>
      </c>
      <c r="M925" s="1" t="s">
        <v>12</v>
      </c>
      <c r="N925" s="1" t="s">
        <v>76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77</v>
      </c>
      <c r="T925" s="1" t="s">
        <v>308</v>
      </c>
      <c r="U925" s="1" t="s">
        <v>309</v>
      </c>
      <c r="V925" s="3" t="s">
        <v>310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327</v>
      </c>
      <c r="AE925" s="6" t="s">
        <v>85</v>
      </c>
      <c r="AF925" s="6" t="s">
        <v>49</v>
      </c>
      <c r="AG925" s="6" t="s">
        <v>49</v>
      </c>
      <c r="AH925" s="1" t="s">
        <v>152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 t="s">
        <v>49</v>
      </c>
      <c r="AS925" s="6">
        <v>0.67</v>
      </c>
      <c r="AT925" s="6" t="s">
        <v>49</v>
      </c>
      <c r="AU925" s="6" t="s">
        <v>49</v>
      </c>
      <c r="AV925" s="6" t="s">
        <v>49</v>
      </c>
      <c r="AW925" s="30" t="s">
        <v>49</v>
      </c>
    </row>
    <row r="926" spans="1:49" ht="14.4" customHeight="1">
      <c r="A926" s="6">
        <v>3</v>
      </c>
      <c r="B926" s="6" t="s">
        <v>38</v>
      </c>
      <c r="C926" s="1" t="s">
        <v>38</v>
      </c>
      <c r="D926" s="3" t="s">
        <v>301</v>
      </c>
      <c r="E926" s="3" t="s">
        <v>719</v>
      </c>
      <c r="F926" s="3">
        <v>2003</v>
      </c>
      <c r="G926" s="3" t="s">
        <v>303</v>
      </c>
      <c r="H926" s="3" t="s">
        <v>304</v>
      </c>
      <c r="I926" s="3" t="s">
        <v>305</v>
      </c>
      <c r="J926" s="3" t="s">
        <v>306</v>
      </c>
      <c r="K926" s="3" t="s">
        <v>307</v>
      </c>
      <c r="L926" s="3" t="s">
        <v>46</v>
      </c>
      <c r="M926" s="1" t="s">
        <v>12</v>
      </c>
      <c r="N926" s="1" t="s">
        <v>76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77</v>
      </c>
      <c r="T926" s="1" t="s">
        <v>308</v>
      </c>
      <c r="U926" s="1" t="s">
        <v>309</v>
      </c>
      <c r="V926" s="3" t="s">
        <v>310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327</v>
      </c>
      <c r="AE926" s="6" t="s">
        <v>312</v>
      </c>
      <c r="AF926" s="6" t="s">
        <v>49</v>
      </c>
      <c r="AG926" s="6" t="s">
        <v>49</v>
      </c>
      <c r="AH926" s="1" t="s">
        <v>152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 t="s">
        <v>49</v>
      </c>
      <c r="AS926" s="6">
        <v>0.17</v>
      </c>
      <c r="AT926" s="6" t="s">
        <v>49</v>
      </c>
      <c r="AU926" s="6" t="s">
        <v>49</v>
      </c>
      <c r="AV926" s="6" t="s">
        <v>49</v>
      </c>
      <c r="AW926" s="30" t="s">
        <v>49</v>
      </c>
    </row>
    <row r="927" spans="1:49" ht="14.4" customHeight="1">
      <c r="A927" s="6">
        <v>3</v>
      </c>
      <c r="B927" s="6" t="s">
        <v>38</v>
      </c>
      <c r="C927" s="1" t="s">
        <v>38</v>
      </c>
      <c r="D927" s="3" t="s">
        <v>301</v>
      </c>
      <c r="E927" s="3" t="s">
        <v>719</v>
      </c>
      <c r="F927" s="3">
        <v>2003</v>
      </c>
      <c r="G927" s="3" t="s">
        <v>303</v>
      </c>
      <c r="H927" s="3" t="s">
        <v>304</v>
      </c>
      <c r="I927" s="3" t="s">
        <v>305</v>
      </c>
      <c r="J927" s="3" t="s">
        <v>306</v>
      </c>
      <c r="K927" s="3" t="s">
        <v>307</v>
      </c>
      <c r="L927" s="3" t="s">
        <v>46</v>
      </c>
      <c r="M927" s="1" t="s">
        <v>12</v>
      </c>
      <c r="N927" s="1" t="s">
        <v>76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77</v>
      </c>
      <c r="T927" s="1" t="s">
        <v>308</v>
      </c>
      <c r="U927" s="1" t="s">
        <v>309</v>
      </c>
      <c r="V927" s="3" t="s">
        <v>310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238</v>
      </c>
      <c r="AE927" s="6" t="s">
        <v>85</v>
      </c>
      <c r="AF927" s="6" t="s">
        <v>49</v>
      </c>
      <c r="AG927" s="6" t="s">
        <v>49</v>
      </c>
      <c r="AH927" s="1" t="s">
        <v>152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 t="s">
        <v>49</v>
      </c>
      <c r="AS927" s="6">
        <v>6.2E-2</v>
      </c>
      <c r="AT927" s="6" t="s">
        <v>49</v>
      </c>
      <c r="AU927" s="6" t="s">
        <v>49</v>
      </c>
      <c r="AV927" s="6" t="s">
        <v>49</v>
      </c>
      <c r="AW927" s="30" t="s">
        <v>49</v>
      </c>
    </row>
    <row r="928" spans="1:49" ht="14.4" customHeight="1">
      <c r="A928" s="6">
        <v>3</v>
      </c>
      <c r="B928" s="6" t="s">
        <v>38</v>
      </c>
      <c r="C928" s="1" t="s">
        <v>38</v>
      </c>
      <c r="D928" s="3" t="s">
        <v>301</v>
      </c>
      <c r="E928" s="3" t="s">
        <v>719</v>
      </c>
      <c r="F928" s="3">
        <v>2003</v>
      </c>
      <c r="G928" s="3" t="s">
        <v>303</v>
      </c>
      <c r="H928" s="3" t="s">
        <v>304</v>
      </c>
      <c r="I928" s="3" t="s">
        <v>305</v>
      </c>
      <c r="J928" s="3" t="s">
        <v>306</v>
      </c>
      <c r="K928" s="3" t="s">
        <v>307</v>
      </c>
      <c r="L928" s="3" t="s">
        <v>46</v>
      </c>
      <c r="M928" s="1" t="s">
        <v>12</v>
      </c>
      <c r="N928" s="1" t="s">
        <v>76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77</v>
      </c>
      <c r="T928" s="1" t="s">
        <v>308</v>
      </c>
      <c r="U928" s="1" t="s">
        <v>309</v>
      </c>
      <c r="V928" s="3" t="s">
        <v>310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238</v>
      </c>
      <c r="AE928" s="6" t="s">
        <v>312</v>
      </c>
      <c r="AF928" s="6" t="s">
        <v>49</v>
      </c>
      <c r="AG928" s="6" t="s">
        <v>49</v>
      </c>
      <c r="AH928" s="1" t="s">
        <v>152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 t="s">
        <v>49</v>
      </c>
      <c r="AS928" s="6">
        <v>-2E-3</v>
      </c>
      <c r="AT928" s="6" t="s">
        <v>49</v>
      </c>
      <c r="AU928" s="6" t="s">
        <v>49</v>
      </c>
      <c r="AV928" s="6" t="s">
        <v>49</v>
      </c>
      <c r="AW928" s="30" t="s">
        <v>49</v>
      </c>
    </row>
    <row r="929" spans="1:49" ht="14.4" customHeight="1">
      <c r="A929" s="6">
        <v>3</v>
      </c>
      <c r="B929" s="6" t="s">
        <v>38</v>
      </c>
      <c r="C929" s="1" t="s">
        <v>38</v>
      </c>
      <c r="D929" s="3" t="s">
        <v>301</v>
      </c>
      <c r="E929" s="3" t="s">
        <v>719</v>
      </c>
      <c r="F929" s="3">
        <v>2003</v>
      </c>
      <c r="G929" s="3" t="s">
        <v>303</v>
      </c>
      <c r="H929" s="3" t="s">
        <v>304</v>
      </c>
      <c r="I929" s="3" t="s">
        <v>305</v>
      </c>
      <c r="J929" s="3" t="s">
        <v>306</v>
      </c>
      <c r="K929" s="3" t="s">
        <v>307</v>
      </c>
      <c r="L929" s="3" t="s">
        <v>46</v>
      </c>
      <c r="M929" s="1" t="s">
        <v>12</v>
      </c>
      <c r="N929" s="1" t="s">
        <v>76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77</v>
      </c>
      <c r="T929" s="1" t="s">
        <v>308</v>
      </c>
      <c r="U929" s="1" t="s">
        <v>309</v>
      </c>
      <c r="V929" s="3" t="s">
        <v>310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6" t="s">
        <v>85</v>
      </c>
      <c r="AE929" s="6" t="s">
        <v>312</v>
      </c>
      <c r="AF929" s="6" t="s">
        <v>49</v>
      </c>
      <c r="AG929" s="6" t="s">
        <v>49</v>
      </c>
      <c r="AH929" s="1" t="s">
        <v>152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 t="s">
        <v>49</v>
      </c>
      <c r="AS929" s="6">
        <v>1.2E-2</v>
      </c>
      <c r="AT929" s="6" t="s">
        <v>49</v>
      </c>
      <c r="AU929" s="6" t="s">
        <v>49</v>
      </c>
      <c r="AV929" s="6" t="s">
        <v>49</v>
      </c>
      <c r="AW929" s="30" t="s">
        <v>49</v>
      </c>
    </row>
    <row r="930" spans="1:49">
      <c r="A930" s="6" t="s">
        <v>330</v>
      </c>
      <c r="B930" s="6" t="s">
        <v>38</v>
      </c>
      <c r="C930" s="6" t="s">
        <v>38</v>
      </c>
      <c r="D930" s="6" t="s">
        <v>331</v>
      </c>
      <c r="E930" s="6" t="s">
        <v>40</v>
      </c>
      <c r="F930" s="6">
        <v>1988</v>
      </c>
      <c r="G930" s="6" t="s">
        <v>332</v>
      </c>
      <c r="H930" s="6" t="s">
        <v>333</v>
      </c>
      <c r="I930" s="6" t="s">
        <v>334</v>
      </c>
      <c r="J930" s="3" t="s">
        <v>335</v>
      </c>
      <c r="K930" s="6" t="s">
        <v>114</v>
      </c>
      <c r="L930" s="6" t="s">
        <v>336</v>
      </c>
      <c r="M930" s="6" t="s">
        <v>115</v>
      </c>
      <c r="N930" s="6" t="s">
        <v>116</v>
      </c>
      <c r="O930" s="6" t="s">
        <v>49</v>
      </c>
      <c r="P930" s="6" t="s">
        <v>49</v>
      </c>
      <c r="Q930" s="6" t="s">
        <v>49</v>
      </c>
      <c r="R930" s="6">
        <v>0</v>
      </c>
      <c r="S930" s="6" t="s">
        <v>337</v>
      </c>
      <c r="T930" s="6" t="s">
        <v>337</v>
      </c>
      <c r="U930" s="6" t="s">
        <v>251</v>
      </c>
      <c r="V930" s="6" t="s">
        <v>338</v>
      </c>
      <c r="W930" s="6" t="s">
        <v>49</v>
      </c>
      <c r="X930" s="6" t="s">
        <v>49</v>
      </c>
      <c r="Y930" s="6" t="s">
        <v>48</v>
      </c>
      <c r="Z930" s="6" t="s">
        <v>49</v>
      </c>
      <c r="AA930" s="6" t="s">
        <v>127</v>
      </c>
      <c r="AB930" s="6" t="s">
        <v>241</v>
      </c>
      <c r="AC930" s="6" t="s">
        <v>342</v>
      </c>
      <c r="AD930" s="6" t="s">
        <v>339</v>
      </c>
      <c r="AE930" s="6" t="s">
        <v>339</v>
      </c>
      <c r="AF930" s="6" t="s">
        <v>60</v>
      </c>
      <c r="AG930" s="6" t="s">
        <v>53</v>
      </c>
      <c r="AH930" s="6" t="s">
        <v>340</v>
      </c>
      <c r="AI930" s="6" t="s">
        <v>55</v>
      </c>
      <c r="AJ930" s="6">
        <v>24</v>
      </c>
      <c r="AK930" s="6">
        <f>24*12</f>
        <v>288</v>
      </c>
      <c r="AL930" s="6">
        <v>0.03</v>
      </c>
      <c r="AM930" s="6">
        <v>105</v>
      </c>
      <c r="AN930" s="6">
        <v>1690</v>
      </c>
      <c r="AO930" s="6" t="s">
        <v>49</v>
      </c>
      <c r="AP930" s="6">
        <v>0</v>
      </c>
      <c r="AQ930" s="6" t="s">
        <v>49</v>
      </c>
      <c r="AR930" s="6" t="s">
        <v>49</v>
      </c>
      <c r="AS930" s="6">
        <v>50.7</v>
      </c>
      <c r="AT930" s="6">
        <f>AS930/(AM930^2)*100</f>
        <v>0.45986394557823129</v>
      </c>
      <c r="AU930" s="6">
        <v>0</v>
      </c>
      <c r="AV930" s="4">
        <f t="shared" ref="AV930:AV936" si="65">AT930*(1-AL930)/AL930</f>
        <v>14.868934240362812</v>
      </c>
      <c r="AW930" s="30" t="s">
        <v>49</v>
      </c>
    </row>
    <row r="931" spans="1:49">
      <c r="A931" s="6" t="s">
        <v>330</v>
      </c>
      <c r="B931" s="6" t="s">
        <v>38</v>
      </c>
      <c r="C931" s="6" t="s">
        <v>38</v>
      </c>
      <c r="D931" s="6" t="s">
        <v>331</v>
      </c>
      <c r="E931" s="6" t="s">
        <v>40</v>
      </c>
      <c r="F931" s="6">
        <v>1988</v>
      </c>
      <c r="G931" s="6" t="s">
        <v>332</v>
      </c>
      <c r="H931" s="6" t="s">
        <v>333</v>
      </c>
      <c r="I931" s="6" t="s">
        <v>334</v>
      </c>
      <c r="J931" s="3" t="s">
        <v>335</v>
      </c>
      <c r="K931" s="6" t="s">
        <v>114</v>
      </c>
      <c r="L931" s="6" t="s">
        <v>336</v>
      </c>
      <c r="M931" s="6" t="s">
        <v>115</v>
      </c>
      <c r="N931" s="6" t="s">
        <v>116</v>
      </c>
      <c r="O931" s="6" t="s">
        <v>49</v>
      </c>
      <c r="P931" s="6" t="s">
        <v>49</v>
      </c>
      <c r="Q931" s="6" t="s">
        <v>49</v>
      </c>
      <c r="R931" s="6">
        <v>0</v>
      </c>
      <c r="S931" s="6" t="s">
        <v>337</v>
      </c>
      <c r="T931" s="6" t="s">
        <v>337</v>
      </c>
      <c r="U931" s="6" t="s">
        <v>251</v>
      </c>
      <c r="V931" s="6" t="s">
        <v>338</v>
      </c>
      <c r="W931" s="6" t="s">
        <v>49</v>
      </c>
      <c r="X931" s="6" t="s">
        <v>49</v>
      </c>
      <c r="Y931" s="6" t="s">
        <v>48</v>
      </c>
      <c r="Z931" s="6" t="s">
        <v>49</v>
      </c>
      <c r="AA931" s="6" t="s">
        <v>127</v>
      </c>
      <c r="AB931" s="6" t="s">
        <v>241</v>
      </c>
      <c r="AC931" s="6" t="s">
        <v>342</v>
      </c>
      <c r="AD931" s="6" t="s">
        <v>341</v>
      </c>
      <c r="AE931" s="6" t="s">
        <v>341</v>
      </c>
      <c r="AF931" s="6" t="s">
        <v>60</v>
      </c>
      <c r="AG931" s="6" t="s">
        <v>173</v>
      </c>
      <c r="AH931" s="6" t="s">
        <v>340</v>
      </c>
      <c r="AI931" s="6" t="s">
        <v>55</v>
      </c>
      <c r="AJ931" s="6">
        <v>24</v>
      </c>
      <c r="AK931" s="6">
        <f>24*12</f>
        <v>288</v>
      </c>
      <c r="AL931" s="6">
        <v>0.01</v>
      </c>
      <c r="AM931" s="17">
        <v>7.06</v>
      </c>
      <c r="AN931" s="6">
        <v>5.5</v>
      </c>
      <c r="AO931" s="6" t="s">
        <v>49</v>
      </c>
      <c r="AP931" s="6">
        <v>0</v>
      </c>
      <c r="AQ931" s="6" t="s">
        <v>49</v>
      </c>
      <c r="AR931" s="6" t="s">
        <v>49</v>
      </c>
      <c r="AS931" s="6">
        <v>4.5999999999999999E-2</v>
      </c>
      <c r="AT931" s="6">
        <f t="shared" ref="AT931:AT936" si="66">AS931/(AM931^2)*100</f>
        <v>9.2288678987874073E-2</v>
      </c>
      <c r="AU931" s="6">
        <v>0</v>
      </c>
      <c r="AV931" s="4">
        <f t="shared" si="65"/>
        <v>9.1365792197995326</v>
      </c>
      <c r="AW931" s="30" t="s">
        <v>49</v>
      </c>
    </row>
    <row r="932" spans="1:49">
      <c r="A932" s="6" t="s">
        <v>330</v>
      </c>
      <c r="B932" s="6" t="s">
        <v>38</v>
      </c>
      <c r="C932" s="6" t="s">
        <v>38</v>
      </c>
      <c r="D932" s="6" t="s">
        <v>331</v>
      </c>
      <c r="E932" s="6" t="s">
        <v>40</v>
      </c>
      <c r="F932" s="6">
        <v>1988</v>
      </c>
      <c r="G932" s="6" t="s">
        <v>332</v>
      </c>
      <c r="H932" s="6" t="s">
        <v>333</v>
      </c>
      <c r="I932" s="6" t="s">
        <v>334</v>
      </c>
      <c r="J932" s="3" t="s">
        <v>335</v>
      </c>
      <c r="K932" s="6" t="s">
        <v>114</v>
      </c>
      <c r="L932" s="6" t="s">
        <v>336</v>
      </c>
      <c r="M932" s="6" t="s">
        <v>115</v>
      </c>
      <c r="N932" s="6" t="s">
        <v>116</v>
      </c>
      <c r="O932" s="6" t="s">
        <v>49</v>
      </c>
      <c r="P932" s="6" t="s">
        <v>49</v>
      </c>
      <c r="Q932" s="6" t="s">
        <v>49</v>
      </c>
      <c r="R932" s="6">
        <v>0</v>
      </c>
      <c r="S932" s="6" t="s">
        <v>337</v>
      </c>
      <c r="T932" s="6" t="s">
        <v>337</v>
      </c>
      <c r="U932" s="6" t="s">
        <v>251</v>
      </c>
      <c r="V932" s="6" t="s">
        <v>338</v>
      </c>
      <c r="W932" s="6" t="s">
        <v>49</v>
      </c>
      <c r="X932" s="6" t="s">
        <v>49</v>
      </c>
      <c r="Y932" s="6" t="s">
        <v>48</v>
      </c>
      <c r="Z932" s="6" t="s">
        <v>49</v>
      </c>
      <c r="AA932" s="6" t="s">
        <v>127</v>
      </c>
      <c r="AB932" s="6" t="s">
        <v>241</v>
      </c>
      <c r="AC932" s="6" t="s">
        <v>344</v>
      </c>
      <c r="AD932" s="6" t="s">
        <v>343</v>
      </c>
      <c r="AE932" s="6" t="s">
        <v>343</v>
      </c>
      <c r="AF932" s="6" t="s">
        <v>60</v>
      </c>
      <c r="AG932" s="6" t="s">
        <v>53</v>
      </c>
      <c r="AH932" s="6" t="s">
        <v>340</v>
      </c>
      <c r="AI932" s="6" t="s">
        <v>55</v>
      </c>
      <c r="AJ932" s="6">
        <v>24</v>
      </c>
      <c r="AK932" s="6">
        <f t="shared" ref="AK932:AK936" si="67">24*12</f>
        <v>288</v>
      </c>
      <c r="AL932" s="6">
        <v>-0.1</v>
      </c>
      <c r="AM932" s="17">
        <v>24.6</v>
      </c>
      <c r="AN932" s="6">
        <v>406</v>
      </c>
      <c r="AO932" s="6" t="s">
        <v>49</v>
      </c>
      <c r="AP932" s="6">
        <v>0</v>
      </c>
      <c r="AQ932" s="6" t="s">
        <v>49</v>
      </c>
      <c r="AR932" s="6" t="s">
        <v>49</v>
      </c>
      <c r="AS932" s="6">
        <v>-40.6</v>
      </c>
      <c r="AT932" s="6">
        <f t="shared" si="66"/>
        <v>-6.7089695287196776</v>
      </c>
      <c r="AU932" s="6">
        <v>0</v>
      </c>
      <c r="AV932" s="4">
        <f t="shared" si="65"/>
        <v>73.798664815916453</v>
      </c>
      <c r="AW932" s="30" t="s">
        <v>49</v>
      </c>
    </row>
    <row r="933" spans="1:49">
      <c r="A933" s="6" t="s">
        <v>330</v>
      </c>
      <c r="B933" s="6" t="s">
        <v>38</v>
      </c>
      <c r="C933" s="6" t="s">
        <v>38</v>
      </c>
      <c r="D933" s="6" t="s">
        <v>331</v>
      </c>
      <c r="E933" s="6" t="s">
        <v>40</v>
      </c>
      <c r="F933" s="6">
        <v>1988</v>
      </c>
      <c r="G933" s="6" t="s">
        <v>332</v>
      </c>
      <c r="H933" s="6" t="s">
        <v>333</v>
      </c>
      <c r="I933" s="6" t="s">
        <v>334</v>
      </c>
      <c r="J933" s="3" t="s">
        <v>335</v>
      </c>
      <c r="K933" s="6" t="s">
        <v>114</v>
      </c>
      <c r="L933" s="6" t="s">
        <v>336</v>
      </c>
      <c r="M933" s="6" t="s">
        <v>115</v>
      </c>
      <c r="N933" s="6" t="s">
        <v>116</v>
      </c>
      <c r="O933" s="6" t="s">
        <v>49</v>
      </c>
      <c r="P933" s="6" t="s">
        <v>49</v>
      </c>
      <c r="Q933" s="6" t="s">
        <v>49</v>
      </c>
      <c r="R933" s="6">
        <v>0</v>
      </c>
      <c r="S933" s="6" t="s">
        <v>337</v>
      </c>
      <c r="T933" s="6" t="s">
        <v>337</v>
      </c>
      <c r="U933" s="6" t="s">
        <v>251</v>
      </c>
      <c r="V933" s="6" t="s">
        <v>338</v>
      </c>
      <c r="W933" s="6" t="s">
        <v>49</v>
      </c>
      <c r="X933" s="6" t="s">
        <v>49</v>
      </c>
      <c r="Y933" s="6" t="s">
        <v>48</v>
      </c>
      <c r="Z933" s="6" t="s">
        <v>49</v>
      </c>
      <c r="AA933" s="6" t="s">
        <v>127</v>
      </c>
      <c r="AB933" s="6" t="s">
        <v>241</v>
      </c>
      <c r="AC933" s="6" t="s">
        <v>344</v>
      </c>
      <c r="AD933" s="6" t="s">
        <v>345</v>
      </c>
      <c r="AE933" s="6" t="s">
        <v>345</v>
      </c>
      <c r="AF933" s="6" t="s">
        <v>60</v>
      </c>
      <c r="AG933" s="6" t="s">
        <v>173</v>
      </c>
      <c r="AH933" s="6" t="s">
        <v>340</v>
      </c>
      <c r="AI933" s="6" t="s">
        <v>55</v>
      </c>
      <c r="AJ933" s="6">
        <v>24</v>
      </c>
      <c r="AK933" s="6">
        <f t="shared" si="67"/>
        <v>288</v>
      </c>
      <c r="AL933" s="6">
        <v>-0.22</v>
      </c>
      <c r="AM933" s="17">
        <v>0.57999999999999996</v>
      </c>
      <c r="AN933" s="6">
        <v>1.49</v>
      </c>
      <c r="AO933" s="6" t="s">
        <v>49</v>
      </c>
      <c r="AP933" s="6">
        <v>0</v>
      </c>
      <c r="AQ933" s="6" t="s">
        <v>49</v>
      </c>
      <c r="AR933" s="6" t="s">
        <v>49</v>
      </c>
      <c r="AS933" s="6">
        <v>-0.32800000000000001</v>
      </c>
      <c r="AT933" s="6">
        <f t="shared" si="66"/>
        <v>-97.502972651605248</v>
      </c>
      <c r="AU933" s="6">
        <v>0</v>
      </c>
      <c r="AV933" s="4">
        <f t="shared" si="65"/>
        <v>540.69830288617447</v>
      </c>
      <c r="AW933" s="30" t="s">
        <v>49</v>
      </c>
    </row>
    <row r="934" spans="1:49">
      <c r="A934" s="6" t="s">
        <v>330</v>
      </c>
      <c r="B934" s="6" t="s">
        <v>38</v>
      </c>
      <c r="C934" s="6" t="s">
        <v>38</v>
      </c>
      <c r="D934" s="6" t="s">
        <v>331</v>
      </c>
      <c r="E934" s="6" t="s">
        <v>40</v>
      </c>
      <c r="F934" s="6">
        <v>1988</v>
      </c>
      <c r="G934" s="6" t="s">
        <v>332</v>
      </c>
      <c r="H934" s="6" t="s">
        <v>333</v>
      </c>
      <c r="I934" s="6" t="s">
        <v>334</v>
      </c>
      <c r="J934" s="3" t="s">
        <v>335</v>
      </c>
      <c r="K934" s="6" t="s">
        <v>114</v>
      </c>
      <c r="L934" s="6" t="s">
        <v>336</v>
      </c>
      <c r="M934" s="6" t="s">
        <v>115</v>
      </c>
      <c r="N934" s="6" t="s">
        <v>116</v>
      </c>
      <c r="O934" s="6" t="s">
        <v>49</v>
      </c>
      <c r="P934" s="6" t="s">
        <v>49</v>
      </c>
      <c r="Q934" s="6" t="s">
        <v>49</v>
      </c>
      <c r="R934" s="6">
        <v>0</v>
      </c>
      <c r="S934" s="6" t="s">
        <v>337</v>
      </c>
      <c r="T934" s="6" t="s">
        <v>337</v>
      </c>
      <c r="U934" s="6" t="s">
        <v>251</v>
      </c>
      <c r="V934" s="6" t="s">
        <v>338</v>
      </c>
      <c r="W934" s="6" t="s">
        <v>49</v>
      </c>
      <c r="X934" s="6" t="s">
        <v>49</v>
      </c>
      <c r="Y934" s="6" t="s">
        <v>48</v>
      </c>
      <c r="Z934" s="6" t="s">
        <v>49</v>
      </c>
      <c r="AA934" s="6" t="s">
        <v>127</v>
      </c>
      <c r="AB934" s="6" t="s">
        <v>239</v>
      </c>
      <c r="AC934" s="6" t="s">
        <v>346</v>
      </c>
      <c r="AD934" s="6" t="s">
        <v>346</v>
      </c>
      <c r="AE934" s="6" t="s">
        <v>346</v>
      </c>
      <c r="AF934" s="6" t="s">
        <v>60</v>
      </c>
      <c r="AG934" s="6" t="s">
        <v>61</v>
      </c>
      <c r="AH934" s="6" t="s">
        <v>340</v>
      </c>
      <c r="AI934" s="6" t="s">
        <v>55</v>
      </c>
      <c r="AJ934" s="6">
        <v>24</v>
      </c>
      <c r="AK934" s="6">
        <f t="shared" si="67"/>
        <v>288</v>
      </c>
      <c r="AL934" s="6">
        <v>0.1</v>
      </c>
      <c r="AM934" s="17">
        <v>7.8</v>
      </c>
      <c r="AN934" s="6">
        <v>1.04</v>
      </c>
      <c r="AO934" s="6" t="s">
        <v>49</v>
      </c>
      <c r="AP934" s="6">
        <v>0</v>
      </c>
      <c r="AQ934" s="6" t="s">
        <v>49</v>
      </c>
      <c r="AR934" s="6" t="s">
        <v>49</v>
      </c>
      <c r="AS934" s="6">
        <v>0.104</v>
      </c>
      <c r="AT934" s="6">
        <f t="shared" si="66"/>
        <v>0.17094017094017094</v>
      </c>
      <c r="AU934" s="6">
        <v>0</v>
      </c>
      <c r="AV934" s="4">
        <f t="shared" si="65"/>
        <v>1.5384615384615385</v>
      </c>
      <c r="AW934" s="30" t="s">
        <v>49</v>
      </c>
    </row>
    <row r="935" spans="1:49">
      <c r="A935" s="6" t="s">
        <v>330</v>
      </c>
      <c r="B935" s="6" t="s">
        <v>38</v>
      </c>
      <c r="C935" s="6" t="s">
        <v>38</v>
      </c>
      <c r="D935" s="6" t="s">
        <v>331</v>
      </c>
      <c r="E935" s="6" t="s">
        <v>40</v>
      </c>
      <c r="F935" s="6">
        <v>1988</v>
      </c>
      <c r="G935" s="6" t="s">
        <v>332</v>
      </c>
      <c r="H935" s="6" t="s">
        <v>333</v>
      </c>
      <c r="I935" s="6" t="s">
        <v>334</v>
      </c>
      <c r="J935" s="3" t="s">
        <v>335</v>
      </c>
      <c r="K935" s="6" t="s">
        <v>114</v>
      </c>
      <c r="L935" s="6" t="s">
        <v>336</v>
      </c>
      <c r="M935" s="6" t="s">
        <v>115</v>
      </c>
      <c r="N935" s="6" t="s">
        <v>116</v>
      </c>
      <c r="O935" s="6" t="s">
        <v>49</v>
      </c>
      <c r="P935" s="6" t="s">
        <v>49</v>
      </c>
      <c r="Q935" s="6" t="s">
        <v>49</v>
      </c>
      <c r="R935" s="6">
        <v>0</v>
      </c>
      <c r="S935" s="6" t="s">
        <v>337</v>
      </c>
      <c r="T935" s="6" t="s">
        <v>337</v>
      </c>
      <c r="U935" s="6" t="s">
        <v>251</v>
      </c>
      <c r="V935" s="6" t="s">
        <v>338</v>
      </c>
      <c r="W935" s="6" t="s">
        <v>49</v>
      </c>
      <c r="X935" s="6" t="s">
        <v>49</v>
      </c>
      <c r="Y935" s="6" t="s">
        <v>48</v>
      </c>
      <c r="Z935" s="6" t="s">
        <v>49</v>
      </c>
      <c r="AA935" s="1" t="s">
        <v>94</v>
      </c>
      <c r="AB935" s="1" t="s">
        <v>349</v>
      </c>
      <c r="AC935" s="1" t="s">
        <v>349</v>
      </c>
      <c r="AD935" s="6" t="s">
        <v>347</v>
      </c>
      <c r="AE935" s="6" t="s">
        <v>347</v>
      </c>
      <c r="AF935" s="6" t="s">
        <v>60</v>
      </c>
      <c r="AG935" s="6" t="s">
        <v>53</v>
      </c>
      <c r="AH935" s="6" t="s">
        <v>340</v>
      </c>
      <c r="AI935" s="6" t="s">
        <v>55</v>
      </c>
      <c r="AJ935" s="6">
        <v>24</v>
      </c>
      <c r="AK935" s="6">
        <f t="shared" si="67"/>
        <v>288</v>
      </c>
      <c r="AL935" s="6">
        <v>0.23</v>
      </c>
      <c r="AM935" s="17">
        <v>33.200000000000003</v>
      </c>
      <c r="AN935" s="6">
        <v>6.87</v>
      </c>
      <c r="AO935" s="6" t="s">
        <v>49</v>
      </c>
      <c r="AP935" s="6">
        <v>0</v>
      </c>
      <c r="AQ935" s="6" t="s">
        <v>49</v>
      </c>
      <c r="AR935" s="6" t="s">
        <v>49</v>
      </c>
      <c r="AS935" s="6">
        <v>1.58</v>
      </c>
      <c r="AT935" s="6">
        <f t="shared" si="66"/>
        <v>0.14334446218609373</v>
      </c>
      <c r="AU935" s="6">
        <v>0</v>
      </c>
      <c r="AV935" s="4">
        <f t="shared" si="65"/>
        <v>0.47989232992735725</v>
      </c>
      <c r="AW935" s="30" t="s">
        <v>49</v>
      </c>
    </row>
    <row r="936" spans="1:49">
      <c r="A936" s="6" t="s">
        <v>330</v>
      </c>
      <c r="B936" s="6" t="s">
        <v>38</v>
      </c>
      <c r="C936" s="6" t="s">
        <v>38</v>
      </c>
      <c r="D936" s="6" t="s">
        <v>331</v>
      </c>
      <c r="E936" s="6" t="s">
        <v>40</v>
      </c>
      <c r="F936" s="6">
        <v>1988</v>
      </c>
      <c r="G936" s="6" t="s">
        <v>332</v>
      </c>
      <c r="H936" s="6" t="s">
        <v>333</v>
      </c>
      <c r="I936" s="6" t="s">
        <v>334</v>
      </c>
      <c r="J936" s="3" t="s">
        <v>335</v>
      </c>
      <c r="K936" s="6" t="s">
        <v>114</v>
      </c>
      <c r="L936" s="6" t="s">
        <v>336</v>
      </c>
      <c r="M936" s="6" t="s">
        <v>115</v>
      </c>
      <c r="N936" s="6" t="s">
        <v>116</v>
      </c>
      <c r="O936" s="6" t="s">
        <v>49</v>
      </c>
      <c r="P936" s="6" t="s">
        <v>49</v>
      </c>
      <c r="Q936" s="6" t="s">
        <v>49</v>
      </c>
      <c r="R936" s="6">
        <v>0</v>
      </c>
      <c r="S936" s="6" t="s">
        <v>337</v>
      </c>
      <c r="T936" s="6" t="s">
        <v>337</v>
      </c>
      <c r="U936" s="6" t="s">
        <v>251</v>
      </c>
      <c r="V936" s="6" t="s">
        <v>338</v>
      </c>
      <c r="W936" s="6" t="s">
        <v>49</v>
      </c>
      <c r="X936" s="6" t="s">
        <v>49</v>
      </c>
      <c r="Y936" s="6" t="s">
        <v>48</v>
      </c>
      <c r="Z936" s="6" t="s">
        <v>49</v>
      </c>
      <c r="AA936" s="6" t="s">
        <v>50</v>
      </c>
      <c r="AB936" s="6" t="s">
        <v>51</v>
      </c>
      <c r="AC936" s="6" t="s">
        <v>350</v>
      </c>
      <c r="AD936" s="6" t="s">
        <v>348</v>
      </c>
      <c r="AE936" s="6" t="s">
        <v>348</v>
      </c>
      <c r="AF936" s="6" t="s">
        <v>60</v>
      </c>
      <c r="AG936" s="6" t="s">
        <v>53</v>
      </c>
      <c r="AH936" s="6" t="s">
        <v>340</v>
      </c>
      <c r="AI936" s="6" t="s">
        <v>55</v>
      </c>
      <c r="AJ936" s="6">
        <v>24</v>
      </c>
      <c r="AK936" s="6">
        <f t="shared" si="67"/>
        <v>288</v>
      </c>
      <c r="AL936" s="6">
        <v>0.14000000000000001</v>
      </c>
      <c r="AM936" s="6">
        <v>50.1</v>
      </c>
      <c r="AN936" s="6">
        <v>1879</v>
      </c>
      <c r="AO936" s="6" t="s">
        <v>49</v>
      </c>
      <c r="AP936" s="6">
        <v>0</v>
      </c>
      <c r="AQ936" s="6" t="s">
        <v>49</v>
      </c>
      <c r="AR936" s="6" t="s">
        <v>49</v>
      </c>
      <c r="AS936" s="6">
        <v>263</v>
      </c>
      <c r="AT936" s="6">
        <f t="shared" si="66"/>
        <v>10.478045904199584</v>
      </c>
      <c r="AU936" s="6">
        <v>0</v>
      </c>
      <c r="AV936" s="4">
        <f t="shared" si="65"/>
        <v>64.365139125797441</v>
      </c>
      <c r="AW936" s="30" t="s">
        <v>49</v>
      </c>
    </row>
    <row r="937" spans="1:49">
      <c r="A937" s="6" t="s">
        <v>330</v>
      </c>
      <c r="B937" s="6" t="s">
        <v>38</v>
      </c>
      <c r="C937" s="6" t="s">
        <v>38</v>
      </c>
      <c r="D937" s="6" t="s">
        <v>331</v>
      </c>
      <c r="E937" s="6" t="s">
        <v>40</v>
      </c>
      <c r="F937" s="6">
        <v>1988</v>
      </c>
      <c r="G937" s="6" t="s">
        <v>332</v>
      </c>
      <c r="H937" s="6" t="s">
        <v>333</v>
      </c>
      <c r="I937" s="6" t="s">
        <v>334</v>
      </c>
      <c r="J937" s="3" t="s">
        <v>335</v>
      </c>
      <c r="K937" s="6" t="s">
        <v>114</v>
      </c>
      <c r="L937" s="6" t="s">
        <v>336</v>
      </c>
      <c r="M937" s="6" t="s">
        <v>115</v>
      </c>
      <c r="N937" s="6" t="s">
        <v>116</v>
      </c>
      <c r="O937" s="6" t="s">
        <v>49</v>
      </c>
      <c r="P937" s="6" t="s">
        <v>49</v>
      </c>
      <c r="Q937" s="6" t="s">
        <v>49</v>
      </c>
      <c r="R937" s="6">
        <v>0</v>
      </c>
      <c r="S937" s="6" t="s">
        <v>337</v>
      </c>
      <c r="T937" s="6" t="s">
        <v>337</v>
      </c>
      <c r="U937" s="6" t="s">
        <v>251</v>
      </c>
      <c r="V937" s="6" t="s">
        <v>338</v>
      </c>
      <c r="W937" s="6" t="s">
        <v>49</v>
      </c>
      <c r="X937" s="6" t="s">
        <v>49</v>
      </c>
      <c r="Y937" s="6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339</v>
      </c>
      <c r="AE937" s="6" t="s">
        <v>341</v>
      </c>
      <c r="AF937" s="6" t="s">
        <v>49</v>
      </c>
      <c r="AG937" s="6" t="s">
        <v>49</v>
      </c>
      <c r="AH937" s="6" t="s">
        <v>340</v>
      </c>
      <c r="AI937" s="6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 t="s">
        <v>49</v>
      </c>
      <c r="AS937" s="6">
        <v>52.1</v>
      </c>
      <c r="AT937" s="6" t="s">
        <v>49</v>
      </c>
      <c r="AU937" s="6" t="s">
        <v>49</v>
      </c>
      <c r="AV937" s="6" t="s">
        <v>49</v>
      </c>
      <c r="AW937" s="30" t="s">
        <v>49</v>
      </c>
    </row>
    <row r="938" spans="1:49">
      <c r="A938" s="6" t="s">
        <v>330</v>
      </c>
      <c r="B938" s="6" t="s">
        <v>38</v>
      </c>
      <c r="C938" s="6" t="s">
        <v>38</v>
      </c>
      <c r="D938" s="6" t="s">
        <v>331</v>
      </c>
      <c r="E938" s="6" t="s">
        <v>40</v>
      </c>
      <c r="F938" s="6">
        <v>1988</v>
      </c>
      <c r="G938" s="6" t="s">
        <v>332</v>
      </c>
      <c r="H938" s="6" t="s">
        <v>333</v>
      </c>
      <c r="I938" s="6" t="s">
        <v>334</v>
      </c>
      <c r="J938" s="3" t="s">
        <v>335</v>
      </c>
      <c r="K938" s="6" t="s">
        <v>114</v>
      </c>
      <c r="L938" s="6" t="s">
        <v>336</v>
      </c>
      <c r="M938" s="6" t="s">
        <v>115</v>
      </c>
      <c r="N938" s="6" t="s">
        <v>116</v>
      </c>
      <c r="O938" s="6" t="s">
        <v>49</v>
      </c>
      <c r="P938" s="6" t="s">
        <v>49</v>
      </c>
      <c r="Q938" s="6" t="s">
        <v>49</v>
      </c>
      <c r="R938" s="6">
        <v>0</v>
      </c>
      <c r="S938" s="6" t="s">
        <v>337</v>
      </c>
      <c r="T938" s="6" t="s">
        <v>337</v>
      </c>
      <c r="U938" s="6" t="s">
        <v>251</v>
      </c>
      <c r="V938" s="6" t="s">
        <v>338</v>
      </c>
      <c r="W938" s="6" t="s">
        <v>49</v>
      </c>
      <c r="X938" s="6" t="s">
        <v>49</v>
      </c>
      <c r="Y938" s="6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339</v>
      </c>
      <c r="AE938" s="6" t="s">
        <v>346</v>
      </c>
      <c r="AF938" s="6" t="s">
        <v>49</v>
      </c>
      <c r="AG938" s="6" t="s">
        <v>49</v>
      </c>
      <c r="AH938" s="6" t="s">
        <v>340</v>
      </c>
      <c r="AI938" s="6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 t="s">
        <v>49</v>
      </c>
      <c r="AS938" s="6">
        <v>-16.7</v>
      </c>
      <c r="AT938" s="6" t="s">
        <v>49</v>
      </c>
      <c r="AU938" s="6" t="s">
        <v>49</v>
      </c>
      <c r="AV938" s="6" t="s">
        <v>49</v>
      </c>
      <c r="AW938" s="30" t="s">
        <v>49</v>
      </c>
    </row>
    <row r="939" spans="1:49">
      <c r="A939" s="6" t="s">
        <v>330</v>
      </c>
      <c r="B939" s="6" t="s">
        <v>38</v>
      </c>
      <c r="C939" s="6" t="s">
        <v>38</v>
      </c>
      <c r="D939" s="6" t="s">
        <v>331</v>
      </c>
      <c r="E939" s="6" t="s">
        <v>40</v>
      </c>
      <c r="F939" s="6">
        <v>1988</v>
      </c>
      <c r="G939" s="6" t="s">
        <v>332</v>
      </c>
      <c r="H939" s="6" t="s">
        <v>333</v>
      </c>
      <c r="I939" s="6" t="s">
        <v>334</v>
      </c>
      <c r="J939" s="3" t="s">
        <v>335</v>
      </c>
      <c r="K939" s="6" t="s">
        <v>114</v>
      </c>
      <c r="L939" s="6" t="s">
        <v>336</v>
      </c>
      <c r="M939" s="6" t="s">
        <v>115</v>
      </c>
      <c r="N939" s="6" t="s">
        <v>116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337</v>
      </c>
      <c r="T939" s="6" t="s">
        <v>337</v>
      </c>
      <c r="U939" s="6" t="s">
        <v>251</v>
      </c>
      <c r="V939" s="6" t="s">
        <v>338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49</v>
      </c>
      <c r="AB939" s="6" t="s">
        <v>49</v>
      </c>
      <c r="AC939" s="6" t="s">
        <v>49</v>
      </c>
      <c r="AD939" s="6" t="s">
        <v>339</v>
      </c>
      <c r="AE939" s="6" t="s">
        <v>347</v>
      </c>
      <c r="AF939" s="6" t="s">
        <v>49</v>
      </c>
      <c r="AG939" s="6" t="s">
        <v>49</v>
      </c>
      <c r="AH939" s="6" t="s">
        <v>340</v>
      </c>
      <c r="AI939" s="6" t="s">
        <v>55</v>
      </c>
      <c r="AJ939" s="6" t="s">
        <v>49</v>
      </c>
      <c r="AK939" s="6" t="s">
        <v>49</v>
      </c>
      <c r="AL939" s="6" t="s">
        <v>49</v>
      </c>
      <c r="AM939" s="6" t="s">
        <v>49</v>
      </c>
      <c r="AN939" s="6" t="s">
        <v>49</v>
      </c>
      <c r="AO939" s="6" t="s">
        <v>49</v>
      </c>
      <c r="AP939" s="6">
        <v>0</v>
      </c>
      <c r="AQ939" s="6" t="s">
        <v>49</v>
      </c>
      <c r="AR939" s="6" t="s">
        <v>49</v>
      </c>
      <c r="AS939" s="6">
        <v>-14.9</v>
      </c>
      <c r="AT939" s="6" t="s">
        <v>49</v>
      </c>
      <c r="AU939" s="6" t="s">
        <v>49</v>
      </c>
      <c r="AV939" s="6" t="s">
        <v>49</v>
      </c>
      <c r="AW939" s="30" t="s">
        <v>49</v>
      </c>
    </row>
    <row r="940" spans="1:49">
      <c r="A940" s="6" t="s">
        <v>330</v>
      </c>
      <c r="B940" s="6" t="s">
        <v>38</v>
      </c>
      <c r="C940" s="6" t="s">
        <v>38</v>
      </c>
      <c r="D940" s="6" t="s">
        <v>331</v>
      </c>
      <c r="E940" s="6" t="s">
        <v>40</v>
      </c>
      <c r="F940" s="6">
        <v>1988</v>
      </c>
      <c r="G940" s="6" t="s">
        <v>332</v>
      </c>
      <c r="H940" s="6" t="s">
        <v>333</v>
      </c>
      <c r="I940" s="6" t="s">
        <v>334</v>
      </c>
      <c r="J940" s="3" t="s">
        <v>335</v>
      </c>
      <c r="K940" s="6" t="s">
        <v>114</v>
      </c>
      <c r="L940" s="6" t="s">
        <v>336</v>
      </c>
      <c r="M940" s="6" t="s">
        <v>115</v>
      </c>
      <c r="N940" s="6" t="s">
        <v>116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337</v>
      </c>
      <c r="T940" s="6" t="s">
        <v>337</v>
      </c>
      <c r="U940" s="6" t="s">
        <v>251</v>
      </c>
      <c r="V940" s="6" t="s">
        <v>338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49</v>
      </c>
      <c r="AB940" s="6" t="s">
        <v>49</v>
      </c>
      <c r="AC940" s="6" t="s">
        <v>49</v>
      </c>
      <c r="AD940" s="6" t="s">
        <v>339</v>
      </c>
      <c r="AE940" s="6" t="s">
        <v>348</v>
      </c>
      <c r="AF940" s="6" t="s">
        <v>49</v>
      </c>
      <c r="AG940" s="6" t="s">
        <v>49</v>
      </c>
      <c r="AH940" s="6" t="s">
        <v>340</v>
      </c>
      <c r="AI940" s="6" t="s">
        <v>55</v>
      </c>
      <c r="AJ940" s="6" t="s">
        <v>49</v>
      </c>
      <c r="AK940" s="6" t="s">
        <v>49</v>
      </c>
      <c r="AL940" s="6" t="s">
        <v>49</v>
      </c>
      <c r="AM940" s="6" t="s">
        <v>49</v>
      </c>
      <c r="AN940" s="6" t="s">
        <v>49</v>
      </c>
      <c r="AO940" s="6" t="s">
        <v>49</v>
      </c>
      <c r="AP940" s="6">
        <v>0</v>
      </c>
      <c r="AQ940" s="6" t="s">
        <v>49</v>
      </c>
      <c r="AR940" s="6" t="s">
        <v>49</v>
      </c>
      <c r="AS940" s="6">
        <v>-22.4</v>
      </c>
      <c r="AT940" s="6" t="s">
        <v>49</v>
      </c>
      <c r="AU940" s="6" t="s">
        <v>49</v>
      </c>
      <c r="AV940" s="6" t="s">
        <v>49</v>
      </c>
      <c r="AW940" s="30" t="s">
        <v>49</v>
      </c>
    </row>
    <row r="941" spans="1:49">
      <c r="A941" s="6" t="s">
        <v>330</v>
      </c>
      <c r="B941" s="6" t="s">
        <v>38</v>
      </c>
      <c r="C941" s="6" t="s">
        <v>38</v>
      </c>
      <c r="D941" s="6" t="s">
        <v>331</v>
      </c>
      <c r="E941" s="6" t="s">
        <v>40</v>
      </c>
      <c r="F941" s="6">
        <v>1988</v>
      </c>
      <c r="G941" s="6" t="s">
        <v>332</v>
      </c>
      <c r="H941" s="6" t="s">
        <v>333</v>
      </c>
      <c r="I941" s="6" t="s">
        <v>334</v>
      </c>
      <c r="J941" s="3" t="s">
        <v>335</v>
      </c>
      <c r="K941" s="6" t="s">
        <v>114</v>
      </c>
      <c r="L941" s="6" t="s">
        <v>336</v>
      </c>
      <c r="M941" s="6" t="s">
        <v>115</v>
      </c>
      <c r="N941" s="6" t="s">
        <v>116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337</v>
      </c>
      <c r="T941" s="6" t="s">
        <v>337</v>
      </c>
      <c r="U941" s="6" t="s">
        <v>251</v>
      </c>
      <c r="V941" s="6" t="s">
        <v>338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49</v>
      </c>
      <c r="AB941" s="6" t="s">
        <v>49</v>
      </c>
      <c r="AC941" s="6" t="s">
        <v>49</v>
      </c>
      <c r="AD941" s="6" t="s">
        <v>341</v>
      </c>
      <c r="AE941" s="6" t="s">
        <v>343</v>
      </c>
      <c r="AF941" s="6" t="s">
        <v>49</v>
      </c>
      <c r="AG941" s="6" t="s">
        <v>49</v>
      </c>
      <c r="AH941" s="6" t="s">
        <v>340</v>
      </c>
      <c r="AI941" s="6" t="s">
        <v>55</v>
      </c>
      <c r="AJ941" s="6" t="s">
        <v>49</v>
      </c>
      <c r="AK941" s="6" t="s">
        <v>49</v>
      </c>
      <c r="AL941" s="6" t="s">
        <v>49</v>
      </c>
      <c r="AM941" s="6" t="s">
        <v>49</v>
      </c>
      <c r="AN941" s="6" t="s">
        <v>49</v>
      </c>
      <c r="AO941" s="6" t="s">
        <v>49</v>
      </c>
      <c r="AP941" s="6">
        <v>0</v>
      </c>
      <c r="AQ941" s="6" t="s">
        <v>49</v>
      </c>
      <c r="AR941" s="6" t="s">
        <v>49</v>
      </c>
      <c r="AS941" s="6">
        <v>9.34</v>
      </c>
      <c r="AT941" s="6" t="s">
        <v>49</v>
      </c>
      <c r="AU941" s="6" t="s">
        <v>49</v>
      </c>
      <c r="AV941" s="6" t="s">
        <v>49</v>
      </c>
      <c r="AW941" s="30" t="s">
        <v>49</v>
      </c>
    </row>
    <row r="942" spans="1:49">
      <c r="A942" s="6" t="s">
        <v>330</v>
      </c>
      <c r="B942" s="6" t="s">
        <v>38</v>
      </c>
      <c r="C942" s="6" t="s">
        <v>38</v>
      </c>
      <c r="D942" s="6" t="s">
        <v>331</v>
      </c>
      <c r="E942" s="6" t="s">
        <v>40</v>
      </c>
      <c r="F942" s="6">
        <v>1988</v>
      </c>
      <c r="G942" s="6" t="s">
        <v>332</v>
      </c>
      <c r="H942" s="6" t="s">
        <v>333</v>
      </c>
      <c r="I942" s="6" t="s">
        <v>334</v>
      </c>
      <c r="J942" s="3" t="s">
        <v>335</v>
      </c>
      <c r="K942" s="6" t="s">
        <v>114</v>
      </c>
      <c r="L942" s="6" t="s">
        <v>336</v>
      </c>
      <c r="M942" s="6" t="s">
        <v>115</v>
      </c>
      <c r="N942" s="6" t="s">
        <v>116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337</v>
      </c>
      <c r="T942" s="6" t="s">
        <v>337</v>
      </c>
      <c r="U942" s="6" t="s">
        <v>251</v>
      </c>
      <c r="V942" s="6" t="s">
        <v>338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49</v>
      </c>
      <c r="AB942" s="6" t="s">
        <v>49</v>
      </c>
      <c r="AC942" s="6" t="s">
        <v>49</v>
      </c>
      <c r="AD942" s="6" t="s">
        <v>341</v>
      </c>
      <c r="AE942" s="6" t="s">
        <v>346</v>
      </c>
      <c r="AF942" s="6" t="s">
        <v>49</v>
      </c>
      <c r="AG942" s="6" t="s">
        <v>49</v>
      </c>
      <c r="AH942" s="6" t="s">
        <v>340</v>
      </c>
      <c r="AI942" s="6" t="s">
        <v>55</v>
      </c>
      <c r="AJ942" s="6" t="s">
        <v>49</v>
      </c>
      <c r="AK942" s="6" t="s">
        <v>49</v>
      </c>
      <c r="AL942" s="6" t="s">
        <v>49</v>
      </c>
      <c r="AM942" s="6" t="s">
        <v>49</v>
      </c>
      <c r="AN942" s="6" t="s">
        <v>49</v>
      </c>
      <c r="AO942" s="6" t="s">
        <v>49</v>
      </c>
      <c r="AP942" s="6">
        <v>0</v>
      </c>
      <c r="AQ942" s="6" t="s">
        <v>49</v>
      </c>
      <c r="AR942" s="6" t="s">
        <v>49</v>
      </c>
      <c r="AS942" s="6">
        <v>-1.3</v>
      </c>
      <c r="AT942" s="6" t="s">
        <v>49</v>
      </c>
      <c r="AU942" s="6" t="s">
        <v>49</v>
      </c>
      <c r="AV942" s="6" t="s">
        <v>49</v>
      </c>
      <c r="AW942" s="30" t="s">
        <v>49</v>
      </c>
    </row>
    <row r="943" spans="1:49">
      <c r="A943" s="6" t="s">
        <v>330</v>
      </c>
      <c r="B943" s="6" t="s">
        <v>38</v>
      </c>
      <c r="C943" s="6" t="s">
        <v>38</v>
      </c>
      <c r="D943" s="6" t="s">
        <v>331</v>
      </c>
      <c r="E943" s="6" t="s">
        <v>40</v>
      </c>
      <c r="F943" s="6">
        <v>1988</v>
      </c>
      <c r="G943" s="6" t="s">
        <v>332</v>
      </c>
      <c r="H943" s="6" t="s">
        <v>333</v>
      </c>
      <c r="I943" s="6" t="s">
        <v>334</v>
      </c>
      <c r="J943" s="3" t="s">
        <v>335</v>
      </c>
      <c r="K943" s="6" t="s">
        <v>114</v>
      </c>
      <c r="L943" s="6" t="s">
        <v>336</v>
      </c>
      <c r="M943" s="6" t="s">
        <v>115</v>
      </c>
      <c r="N943" s="6" t="s">
        <v>116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337</v>
      </c>
      <c r="T943" s="6" t="s">
        <v>337</v>
      </c>
      <c r="U943" s="6" t="s">
        <v>251</v>
      </c>
      <c r="V943" s="6" t="s">
        <v>338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49</v>
      </c>
      <c r="AB943" s="6" t="s">
        <v>49</v>
      </c>
      <c r="AC943" s="6" t="s">
        <v>49</v>
      </c>
      <c r="AD943" s="6" t="s">
        <v>341</v>
      </c>
      <c r="AE943" s="6" t="s">
        <v>347</v>
      </c>
      <c r="AF943" s="6" t="s">
        <v>49</v>
      </c>
      <c r="AG943" s="6" t="s">
        <v>49</v>
      </c>
      <c r="AH943" s="6" t="s">
        <v>340</v>
      </c>
      <c r="AI943" s="6" t="s">
        <v>55</v>
      </c>
      <c r="AJ943" s="6" t="s">
        <v>49</v>
      </c>
      <c r="AK943" s="6" t="s">
        <v>49</v>
      </c>
      <c r="AL943" s="6" t="s">
        <v>49</v>
      </c>
      <c r="AM943" s="6" t="s">
        <v>49</v>
      </c>
      <c r="AN943" s="6" t="s">
        <v>49</v>
      </c>
      <c r="AO943" s="6" t="s">
        <v>49</v>
      </c>
      <c r="AP943" s="6">
        <v>0</v>
      </c>
      <c r="AQ943" s="6" t="s">
        <v>49</v>
      </c>
      <c r="AR943" s="6" t="s">
        <v>49</v>
      </c>
      <c r="AS943" s="6">
        <v>-5.69</v>
      </c>
      <c r="AT943" s="6" t="s">
        <v>49</v>
      </c>
      <c r="AU943" s="6" t="s">
        <v>49</v>
      </c>
      <c r="AV943" s="6" t="s">
        <v>49</v>
      </c>
      <c r="AW943" s="30" t="s">
        <v>49</v>
      </c>
    </row>
    <row r="944" spans="1:49">
      <c r="A944" s="6" t="s">
        <v>330</v>
      </c>
      <c r="B944" s="6" t="s">
        <v>38</v>
      </c>
      <c r="C944" s="6" t="s">
        <v>38</v>
      </c>
      <c r="D944" s="6" t="s">
        <v>331</v>
      </c>
      <c r="E944" s="6" t="s">
        <v>40</v>
      </c>
      <c r="F944" s="6">
        <v>1988</v>
      </c>
      <c r="G944" s="6" t="s">
        <v>332</v>
      </c>
      <c r="H944" s="6" t="s">
        <v>333</v>
      </c>
      <c r="I944" s="6" t="s">
        <v>334</v>
      </c>
      <c r="J944" s="3" t="s">
        <v>335</v>
      </c>
      <c r="K944" s="6" t="s">
        <v>114</v>
      </c>
      <c r="L944" s="6" t="s">
        <v>336</v>
      </c>
      <c r="M944" s="6" t="s">
        <v>115</v>
      </c>
      <c r="N944" s="6" t="s">
        <v>116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337</v>
      </c>
      <c r="T944" s="6" t="s">
        <v>337</v>
      </c>
      <c r="U944" s="6" t="s">
        <v>251</v>
      </c>
      <c r="V944" s="6" t="s">
        <v>338</v>
      </c>
      <c r="W944" s="6" t="s">
        <v>49</v>
      </c>
      <c r="X944" s="6" t="s">
        <v>49</v>
      </c>
      <c r="Y944" s="6" t="s">
        <v>48</v>
      </c>
      <c r="Z944" s="6" t="s">
        <v>49</v>
      </c>
      <c r="AA944" s="6" t="s">
        <v>49</v>
      </c>
      <c r="AB944" s="6" t="s">
        <v>49</v>
      </c>
      <c r="AC944" s="6" t="s">
        <v>49</v>
      </c>
      <c r="AD944" s="6" t="s">
        <v>341</v>
      </c>
      <c r="AE944" s="6" t="s">
        <v>348</v>
      </c>
      <c r="AF944" s="6" t="s">
        <v>49</v>
      </c>
      <c r="AG944" s="6" t="s">
        <v>49</v>
      </c>
      <c r="AH944" s="6" t="s">
        <v>340</v>
      </c>
      <c r="AI944" s="6" t="s">
        <v>55</v>
      </c>
      <c r="AJ944" s="6" t="s">
        <v>49</v>
      </c>
      <c r="AK944" s="6" t="s">
        <v>49</v>
      </c>
      <c r="AL944" s="6" t="s">
        <v>49</v>
      </c>
      <c r="AM944" s="6" t="s">
        <v>49</v>
      </c>
      <c r="AN944" s="6" t="s">
        <v>49</v>
      </c>
      <c r="AO944" s="6" t="s">
        <v>49</v>
      </c>
      <c r="AP944" s="6">
        <v>0</v>
      </c>
      <c r="AQ944" s="6" t="s">
        <v>49</v>
      </c>
      <c r="AR944" s="6" t="s">
        <v>49</v>
      </c>
      <c r="AS944" s="6">
        <v>-38.299999999999997</v>
      </c>
      <c r="AT944" s="6" t="s">
        <v>49</v>
      </c>
      <c r="AU944" s="6" t="s">
        <v>49</v>
      </c>
      <c r="AV944" s="6" t="s">
        <v>49</v>
      </c>
      <c r="AW944" s="30" t="s">
        <v>49</v>
      </c>
    </row>
    <row r="945" spans="1:49">
      <c r="A945" s="6" t="s">
        <v>330</v>
      </c>
      <c r="B945" s="6" t="s">
        <v>38</v>
      </c>
      <c r="C945" s="6" t="s">
        <v>38</v>
      </c>
      <c r="D945" s="6" t="s">
        <v>331</v>
      </c>
      <c r="E945" s="6" t="s">
        <v>40</v>
      </c>
      <c r="F945" s="6">
        <v>1988</v>
      </c>
      <c r="G945" s="6" t="s">
        <v>332</v>
      </c>
      <c r="H945" s="6" t="s">
        <v>333</v>
      </c>
      <c r="I945" s="6" t="s">
        <v>334</v>
      </c>
      <c r="J945" s="3" t="s">
        <v>335</v>
      </c>
      <c r="K945" s="6" t="s">
        <v>114</v>
      </c>
      <c r="L945" s="6" t="s">
        <v>336</v>
      </c>
      <c r="M945" s="6" t="s">
        <v>115</v>
      </c>
      <c r="N945" s="6" t="s">
        <v>116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337</v>
      </c>
      <c r="T945" s="6" t="s">
        <v>337</v>
      </c>
      <c r="U945" s="6" t="s">
        <v>251</v>
      </c>
      <c r="V945" s="6" t="s">
        <v>338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49</v>
      </c>
      <c r="AB945" s="6" t="s">
        <v>49</v>
      </c>
      <c r="AC945" s="6" t="s">
        <v>49</v>
      </c>
      <c r="AD945" s="6" t="s">
        <v>343</v>
      </c>
      <c r="AE945" s="6" t="s">
        <v>346</v>
      </c>
      <c r="AF945" s="6" t="s">
        <v>49</v>
      </c>
      <c r="AG945" s="6" t="s">
        <v>49</v>
      </c>
      <c r="AH945" s="6" t="s">
        <v>340</v>
      </c>
      <c r="AI945" s="6" t="s">
        <v>55</v>
      </c>
      <c r="AJ945" s="6" t="s">
        <v>49</v>
      </c>
      <c r="AK945" s="6" t="s">
        <v>49</v>
      </c>
      <c r="AL945" s="6" t="s">
        <v>49</v>
      </c>
      <c r="AM945" s="6" t="s">
        <v>49</v>
      </c>
      <c r="AN945" s="6" t="s">
        <v>49</v>
      </c>
      <c r="AO945" s="6" t="s">
        <v>49</v>
      </c>
      <c r="AP945" s="6">
        <v>0</v>
      </c>
      <c r="AQ945" s="6" t="s">
        <v>49</v>
      </c>
      <c r="AR945" s="6" t="s">
        <v>49</v>
      </c>
      <c r="AS945" s="6">
        <v>-9.73</v>
      </c>
      <c r="AT945" s="6" t="s">
        <v>49</v>
      </c>
      <c r="AU945" s="6" t="s">
        <v>49</v>
      </c>
      <c r="AV945" s="6" t="s">
        <v>49</v>
      </c>
      <c r="AW945" s="30" t="s">
        <v>49</v>
      </c>
    </row>
    <row r="946" spans="1:49">
      <c r="A946" s="6" t="s">
        <v>330</v>
      </c>
      <c r="B946" s="6" t="s">
        <v>38</v>
      </c>
      <c r="C946" s="6" t="s">
        <v>38</v>
      </c>
      <c r="D946" s="6" t="s">
        <v>331</v>
      </c>
      <c r="E946" s="6" t="s">
        <v>40</v>
      </c>
      <c r="F946" s="6">
        <v>1988</v>
      </c>
      <c r="G946" s="6" t="s">
        <v>332</v>
      </c>
      <c r="H946" s="6" t="s">
        <v>333</v>
      </c>
      <c r="I946" s="6" t="s">
        <v>334</v>
      </c>
      <c r="J946" s="3" t="s">
        <v>335</v>
      </c>
      <c r="K946" s="6" t="s">
        <v>114</v>
      </c>
      <c r="L946" s="6" t="s">
        <v>336</v>
      </c>
      <c r="M946" s="6" t="s">
        <v>115</v>
      </c>
      <c r="N946" s="6" t="s">
        <v>116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337</v>
      </c>
      <c r="T946" s="6" t="s">
        <v>337</v>
      </c>
      <c r="U946" s="6" t="s">
        <v>251</v>
      </c>
      <c r="V946" s="6" t="s">
        <v>338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343</v>
      </c>
      <c r="AE946" s="6" t="s">
        <v>347</v>
      </c>
      <c r="AF946" s="6" t="s">
        <v>49</v>
      </c>
      <c r="AG946" s="6" t="s">
        <v>49</v>
      </c>
      <c r="AH946" s="6" t="s">
        <v>340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 t="s">
        <v>49</v>
      </c>
      <c r="AS946" s="6">
        <v>-2.4</v>
      </c>
      <c r="AT946" s="6" t="s">
        <v>49</v>
      </c>
      <c r="AU946" s="6" t="s">
        <v>49</v>
      </c>
      <c r="AV946" s="6" t="s">
        <v>49</v>
      </c>
      <c r="AW946" s="30" t="s">
        <v>49</v>
      </c>
    </row>
    <row r="947" spans="1:49">
      <c r="A947" s="6" t="s">
        <v>330</v>
      </c>
      <c r="B947" s="6" t="s">
        <v>38</v>
      </c>
      <c r="C947" s="6" t="s">
        <v>38</v>
      </c>
      <c r="D947" s="6" t="s">
        <v>331</v>
      </c>
      <c r="E947" s="6" t="s">
        <v>40</v>
      </c>
      <c r="F947" s="6">
        <v>1988</v>
      </c>
      <c r="G947" s="6" t="s">
        <v>332</v>
      </c>
      <c r="H947" s="6" t="s">
        <v>333</v>
      </c>
      <c r="I947" s="6" t="s">
        <v>334</v>
      </c>
      <c r="J947" s="3" t="s">
        <v>335</v>
      </c>
      <c r="K947" s="6" t="s">
        <v>114</v>
      </c>
      <c r="L947" s="6" t="s">
        <v>336</v>
      </c>
      <c r="M947" s="6" t="s">
        <v>115</v>
      </c>
      <c r="N947" s="6" t="s">
        <v>116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337</v>
      </c>
      <c r="T947" s="6" t="s">
        <v>337</v>
      </c>
      <c r="U947" s="6" t="s">
        <v>251</v>
      </c>
      <c r="V947" s="6" t="s">
        <v>338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343</v>
      </c>
      <c r="AE947" s="6" t="s">
        <v>348</v>
      </c>
      <c r="AF947" s="6" t="s">
        <v>49</v>
      </c>
      <c r="AG947" s="6" t="s">
        <v>49</v>
      </c>
      <c r="AH947" s="6" t="s">
        <v>340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 t="s">
        <v>49</v>
      </c>
      <c r="AS947" s="6">
        <v>-21.4</v>
      </c>
      <c r="AT947" s="6" t="s">
        <v>49</v>
      </c>
      <c r="AU947" s="6" t="s">
        <v>49</v>
      </c>
      <c r="AV947" s="6" t="s">
        <v>49</v>
      </c>
      <c r="AW947" s="30" t="s">
        <v>49</v>
      </c>
    </row>
    <row r="948" spans="1:49">
      <c r="A948" s="6" t="s">
        <v>330</v>
      </c>
      <c r="B948" s="6" t="s">
        <v>38</v>
      </c>
      <c r="C948" s="6" t="s">
        <v>38</v>
      </c>
      <c r="D948" s="6" t="s">
        <v>331</v>
      </c>
      <c r="E948" s="6" t="s">
        <v>40</v>
      </c>
      <c r="F948" s="6">
        <v>1988</v>
      </c>
      <c r="G948" s="6" t="s">
        <v>332</v>
      </c>
      <c r="H948" s="6" t="s">
        <v>333</v>
      </c>
      <c r="I948" s="6" t="s">
        <v>334</v>
      </c>
      <c r="J948" s="3" t="s">
        <v>335</v>
      </c>
      <c r="K948" s="6" t="s">
        <v>114</v>
      </c>
      <c r="L948" s="6" t="s">
        <v>336</v>
      </c>
      <c r="M948" s="6" t="s">
        <v>115</v>
      </c>
      <c r="N948" s="6" t="s">
        <v>116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337</v>
      </c>
      <c r="T948" s="6" t="s">
        <v>337</v>
      </c>
      <c r="U948" s="6" t="s">
        <v>251</v>
      </c>
      <c r="V948" s="6" t="s">
        <v>338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346</v>
      </c>
      <c r="AE948" s="6" t="s">
        <v>347</v>
      </c>
      <c r="AF948" s="6" t="s">
        <v>49</v>
      </c>
      <c r="AG948" s="6" t="s">
        <v>49</v>
      </c>
      <c r="AH948" s="6" t="s">
        <v>340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 t="s">
        <v>49</v>
      </c>
      <c r="AS948" s="6">
        <v>1.27</v>
      </c>
      <c r="AT948" s="6" t="s">
        <v>49</v>
      </c>
      <c r="AU948" s="6" t="s">
        <v>49</v>
      </c>
      <c r="AV948" s="6" t="s">
        <v>49</v>
      </c>
      <c r="AW948" s="30" t="s">
        <v>49</v>
      </c>
    </row>
    <row r="949" spans="1:49">
      <c r="A949" s="6" t="s">
        <v>330</v>
      </c>
      <c r="B949" s="6" t="s">
        <v>38</v>
      </c>
      <c r="C949" s="6" t="s">
        <v>38</v>
      </c>
      <c r="D949" s="6" t="s">
        <v>331</v>
      </c>
      <c r="E949" s="6" t="s">
        <v>40</v>
      </c>
      <c r="F949" s="6">
        <v>1988</v>
      </c>
      <c r="G949" s="6" t="s">
        <v>332</v>
      </c>
      <c r="H949" s="6" t="s">
        <v>333</v>
      </c>
      <c r="I949" s="6" t="s">
        <v>334</v>
      </c>
      <c r="J949" s="3" t="s">
        <v>335</v>
      </c>
      <c r="K949" s="6" t="s">
        <v>114</v>
      </c>
      <c r="L949" s="6" t="s">
        <v>336</v>
      </c>
      <c r="M949" s="6" t="s">
        <v>115</v>
      </c>
      <c r="N949" s="6" t="s">
        <v>116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337</v>
      </c>
      <c r="T949" s="6" t="s">
        <v>337</v>
      </c>
      <c r="U949" s="6" t="s">
        <v>251</v>
      </c>
      <c r="V949" s="6" t="s">
        <v>338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346</v>
      </c>
      <c r="AE949" s="6" t="s">
        <v>348</v>
      </c>
      <c r="AF949" s="6" t="s">
        <v>49</v>
      </c>
      <c r="AG949" s="6" t="s">
        <v>49</v>
      </c>
      <c r="AH949" s="6" t="s">
        <v>340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 t="s">
        <v>49</v>
      </c>
      <c r="AS949" s="6">
        <v>10.3</v>
      </c>
      <c r="AT949" s="6" t="s">
        <v>49</v>
      </c>
      <c r="AU949" s="6" t="s">
        <v>49</v>
      </c>
      <c r="AV949" s="6" t="s">
        <v>49</v>
      </c>
      <c r="AW949" s="30" t="s">
        <v>49</v>
      </c>
    </row>
    <row r="950" spans="1:49">
      <c r="A950" s="6" t="s">
        <v>330</v>
      </c>
      <c r="B950" s="6" t="s">
        <v>38</v>
      </c>
      <c r="C950" s="6" t="s">
        <v>38</v>
      </c>
      <c r="D950" s="6" t="s">
        <v>331</v>
      </c>
      <c r="E950" s="6" t="s">
        <v>40</v>
      </c>
      <c r="F950" s="6">
        <v>1988</v>
      </c>
      <c r="G950" s="6" t="s">
        <v>332</v>
      </c>
      <c r="H950" s="6" t="s">
        <v>333</v>
      </c>
      <c r="I950" s="6" t="s">
        <v>334</v>
      </c>
      <c r="J950" s="3" t="s">
        <v>335</v>
      </c>
      <c r="K950" s="6" t="s">
        <v>114</v>
      </c>
      <c r="L950" s="6" t="s">
        <v>336</v>
      </c>
      <c r="M950" s="6" t="s">
        <v>115</v>
      </c>
      <c r="N950" s="6" t="s">
        <v>116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337</v>
      </c>
      <c r="T950" s="6" t="s">
        <v>337</v>
      </c>
      <c r="U950" s="6" t="s">
        <v>251</v>
      </c>
      <c r="V950" s="6" t="s">
        <v>338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347</v>
      </c>
      <c r="AE950" s="6" t="s">
        <v>348</v>
      </c>
      <c r="AF950" s="6" t="s">
        <v>49</v>
      </c>
      <c r="AG950" s="6" t="s">
        <v>49</v>
      </c>
      <c r="AH950" s="6" t="s">
        <v>340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 t="s">
        <v>49</v>
      </c>
      <c r="AS950" s="6">
        <v>-3.56</v>
      </c>
      <c r="AT950" s="6" t="s">
        <v>49</v>
      </c>
      <c r="AU950" s="6" t="s">
        <v>49</v>
      </c>
      <c r="AV950" s="6" t="s">
        <v>49</v>
      </c>
      <c r="AW950" s="30" t="s">
        <v>49</v>
      </c>
    </row>
    <row r="951" spans="1:49">
      <c r="A951" s="6" t="s">
        <v>330</v>
      </c>
      <c r="B951" s="6" t="s">
        <v>38</v>
      </c>
      <c r="C951" s="6" t="s">
        <v>38</v>
      </c>
      <c r="D951" s="6" t="s">
        <v>331</v>
      </c>
      <c r="E951" s="6" t="s">
        <v>40</v>
      </c>
      <c r="F951" s="6">
        <v>1988</v>
      </c>
      <c r="G951" s="6" t="s">
        <v>332</v>
      </c>
      <c r="H951" s="6" t="s">
        <v>333</v>
      </c>
      <c r="I951" s="6" t="s">
        <v>334</v>
      </c>
      <c r="J951" s="3" t="s">
        <v>335</v>
      </c>
      <c r="K951" s="6" t="s">
        <v>114</v>
      </c>
      <c r="L951" s="6" t="s">
        <v>336</v>
      </c>
      <c r="M951" s="6" t="s">
        <v>115</v>
      </c>
      <c r="N951" s="6" t="s">
        <v>116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337</v>
      </c>
      <c r="T951" s="6" t="s">
        <v>337</v>
      </c>
      <c r="U951" s="6" t="s">
        <v>251</v>
      </c>
      <c r="V951" s="6" t="s">
        <v>351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127</v>
      </c>
      <c r="AB951" s="6" t="s">
        <v>241</v>
      </c>
      <c r="AC951" s="6" t="s">
        <v>342</v>
      </c>
      <c r="AD951" s="6" t="s">
        <v>341</v>
      </c>
      <c r="AE951" s="6" t="s">
        <v>341</v>
      </c>
      <c r="AF951" s="6" t="s">
        <v>60</v>
      </c>
      <c r="AG951" s="6" t="s">
        <v>173</v>
      </c>
      <c r="AH951" s="6" t="s">
        <v>340</v>
      </c>
      <c r="AI951" s="6" t="s">
        <v>55</v>
      </c>
      <c r="AJ951" s="6">
        <v>24</v>
      </c>
      <c r="AK951" s="6">
        <f>24*12</f>
        <v>288</v>
      </c>
      <c r="AL951" s="6">
        <v>0.24</v>
      </c>
      <c r="AM951" s="6">
        <v>8</v>
      </c>
      <c r="AN951" s="6">
        <v>38</v>
      </c>
      <c r="AO951" s="6" t="s">
        <v>49</v>
      </c>
      <c r="AP951" s="6">
        <v>0</v>
      </c>
      <c r="AQ951" s="6" t="s">
        <v>49</v>
      </c>
      <c r="AR951" s="6" t="s">
        <v>49</v>
      </c>
      <c r="AS951" s="6">
        <v>9.1199999999999992</v>
      </c>
      <c r="AT951" s="6">
        <f t="shared" ref="AT951" si="68">AS951/(AM951^2)*100</f>
        <v>14.249999999999998</v>
      </c>
      <c r="AU951" s="6">
        <v>0</v>
      </c>
      <c r="AV951" s="4">
        <f t="shared" ref="AV951" si="69">AT951*(1-AL951)/AL951</f>
        <v>45.124999999999993</v>
      </c>
      <c r="AW951" s="30" t="s">
        <v>49</v>
      </c>
    </row>
    <row r="952" spans="1:49">
      <c r="A952" s="6" t="s">
        <v>330</v>
      </c>
      <c r="B952" s="6" t="s">
        <v>38</v>
      </c>
      <c r="C952" s="6" t="s">
        <v>38</v>
      </c>
      <c r="D952" s="6" t="s">
        <v>331</v>
      </c>
      <c r="E952" s="6" t="s">
        <v>40</v>
      </c>
      <c r="F952" s="6">
        <v>1988</v>
      </c>
      <c r="G952" s="6" t="s">
        <v>332</v>
      </c>
      <c r="H952" s="6" t="s">
        <v>333</v>
      </c>
      <c r="I952" s="6" t="s">
        <v>334</v>
      </c>
      <c r="J952" s="3" t="s">
        <v>335</v>
      </c>
      <c r="K952" s="6" t="s">
        <v>114</v>
      </c>
      <c r="L952" s="6" t="s">
        <v>336</v>
      </c>
      <c r="M952" s="6" t="s">
        <v>115</v>
      </c>
      <c r="N952" s="6" t="s">
        <v>116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337</v>
      </c>
      <c r="T952" s="6" t="s">
        <v>337</v>
      </c>
      <c r="U952" s="6" t="s">
        <v>251</v>
      </c>
      <c r="V952" s="6" t="s">
        <v>351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127</v>
      </c>
      <c r="AB952" s="6" t="s">
        <v>241</v>
      </c>
      <c r="AC952" s="6" t="s">
        <v>344</v>
      </c>
      <c r="AD952" s="6" t="s">
        <v>343</v>
      </c>
      <c r="AE952" s="6" t="s">
        <v>343</v>
      </c>
      <c r="AF952" s="6" t="s">
        <v>60</v>
      </c>
      <c r="AG952" s="6" t="s">
        <v>53</v>
      </c>
      <c r="AH952" s="6" t="s">
        <v>340</v>
      </c>
      <c r="AI952" s="6" t="s">
        <v>55</v>
      </c>
      <c r="AJ952" s="6">
        <v>24</v>
      </c>
      <c r="AK952" s="6">
        <f t="shared" ref="AK952:AK956" si="70">24*12</f>
        <v>288</v>
      </c>
      <c r="AL952" s="6">
        <v>0.17</v>
      </c>
      <c r="AM952" s="6">
        <v>27</v>
      </c>
      <c r="AN952" s="6">
        <v>753</v>
      </c>
      <c r="AO952" s="6" t="s">
        <v>49</v>
      </c>
      <c r="AP952" s="6">
        <v>0</v>
      </c>
      <c r="AQ952" s="6" t="s">
        <v>49</v>
      </c>
      <c r="AR952" s="6" t="s">
        <v>49</v>
      </c>
      <c r="AS952" s="6">
        <v>128</v>
      </c>
      <c r="AT952" s="6">
        <f t="shared" ref="AT952:AT956" si="71">AS952/(AM952^2)*100</f>
        <v>17.558299039780518</v>
      </c>
      <c r="AU952" s="6">
        <v>0</v>
      </c>
      <c r="AV952" s="4">
        <f t="shared" ref="AV952:AV956" si="72">AT952*(1-AL952)/AL952</f>
        <v>85.725812958928401</v>
      </c>
      <c r="AW952" s="30" t="s">
        <v>49</v>
      </c>
    </row>
    <row r="953" spans="1:49">
      <c r="A953" s="6" t="s">
        <v>330</v>
      </c>
      <c r="B953" s="6" t="s">
        <v>38</v>
      </c>
      <c r="C953" s="6" t="s">
        <v>38</v>
      </c>
      <c r="D953" s="6" t="s">
        <v>331</v>
      </c>
      <c r="E953" s="6" t="s">
        <v>40</v>
      </c>
      <c r="F953" s="6">
        <v>1988</v>
      </c>
      <c r="G953" s="6" t="s">
        <v>332</v>
      </c>
      <c r="H953" s="6" t="s">
        <v>333</v>
      </c>
      <c r="I953" s="6" t="s">
        <v>334</v>
      </c>
      <c r="J953" s="3" t="s">
        <v>335</v>
      </c>
      <c r="K953" s="6" t="s">
        <v>114</v>
      </c>
      <c r="L953" s="6" t="s">
        <v>336</v>
      </c>
      <c r="M953" s="6" t="s">
        <v>115</v>
      </c>
      <c r="N953" s="6" t="s">
        <v>116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337</v>
      </c>
      <c r="T953" s="6" t="s">
        <v>337</v>
      </c>
      <c r="U953" s="6" t="s">
        <v>251</v>
      </c>
      <c r="V953" s="6" t="s">
        <v>351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127</v>
      </c>
      <c r="AB953" s="6" t="s">
        <v>241</v>
      </c>
      <c r="AC953" s="6" t="s">
        <v>344</v>
      </c>
      <c r="AD953" s="6" t="s">
        <v>345</v>
      </c>
      <c r="AE953" s="6" t="s">
        <v>345</v>
      </c>
      <c r="AF953" s="6" t="s">
        <v>60</v>
      </c>
      <c r="AG953" s="6" t="s">
        <v>173</v>
      </c>
      <c r="AH953" s="6" t="s">
        <v>340</v>
      </c>
      <c r="AI953" s="6" t="s">
        <v>55</v>
      </c>
      <c r="AJ953" s="6">
        <v>24</v>
      </c>
      <c r="AK953" s="6">
        <f t="shared" si="70"/>
        <v>288</v>
      </c>
      <c r="AL953" s="6">
        <v>0.15</v>
      </c>
      <c r="AM953" s="6">
        <v>0.75</v>
      </c>
      <c r="AN953" s="6">
        <v>1.37</v>
      </c>
      <c r="AO953" s="6" t="s">
        <v>49</v>
      </c>
      <c r="AP953" s="6">
        <v>0</v>
      </c>
      <c r="AQ953" s="6" t="s">
        <v>49</v>
      </c>
      <c r="AR953" s="6" t="s">
        <v>49</v>
      </c>
      <c r="AS953" s="6">
        <v>0.20599999999999999</v>
      </c>
      <c r="AT953" s="6">
        <f t="shared" si="71"/>
        <v>36.62222222222222</v>
      </c>
      <c r="AU953" s="6">
        <v>0</v>
      </c>
      <c r="AV953" s="4">
        <f t="shared" si="72"/>
        <v>207.52592592592592</v>
      </c>
      <c r="AW953" s="30" t="s">
        <v>49</v>
      </c>
    </row>
    <row r="954" spans="1:49">
      <c r="A954" s="6" t="s">
        <v>330</v>
      </c>
      <c r="B954" s="6" t="s">
        <v>38</v>
      </c>
      <c r="C954" s="6" t="s">
        <v>38</v>
      </c>
      <c r="D954" s="6" t="s">
        <v>331</v>
      </c>
      <c r="E954" s="6" t="s">
        <v>40</v>
      </c>
      <c r="F954" s="6">
        <v>1988</v>
      </c>
      <c r="G954" s="6" t="s">
        <v>332</v>
      </c>
      <c r="H954" s="6" t="s">
        <v>333</v>
      </c>
      <c r="I954" s="6" t="s">
        <v>334</v>
      </c>
      <c r="J954" s="3" t="s">
        <v>335</v>
      </c>
      <c r="K954" s="6" t="s">
        <v>114</v>
      </c>
      <c r="L954" s="6" t="s">
        <v>336</v>
      </c>
      <c r="M954" s="6" t="s">
        <v>115</v>
      </c>
      <c r="N954" s="6" t="s">
        <v>116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337</v>
      </c>
      <c r="T954" s="6" t="s">
        <v>337</v>
      </c>
      <c r="U954" s="6" t="s">
        <v>251</v>
      </c>
      <c r="V954" s="6" t="s">
        <v>351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127</v>
      </c>
      <c r="AB954" s="6" t="s">
        <v>239</v>
      </c>
      <c r="AC954" s="6" t="s">
        <v>346</v>
      </c>
      <c r="AD954" s="6" t="s">
        <v>346</v>
      </c>
      <c r="AE954" s="6" t="s">
        <v>346</v>
      </c>
      <c r="AF954" s="6" t="s">
        <v>60</v>
      </c>
      <c r="AG954" s="6" t="s">
        <v>61</v>
      </c>
      <c r="AH954" s="6" t="s">
        <v>340</v>
      </c>
      <c r="AI954" s="20" t="s">
        <v>55</v>
      </c>
      <c r="AJ954" s="20">
        <v>24</v>
      </c>
      <c r="AK954" s="20">
        <f t="shared" si="70"/>
        <v>288</v>
      </c>
      <c r="AL954" s="20">
        <v>0.17</v>
      </c>
      <c r="AM954" s="20">
        <v>8.3000000000000007</v>
      </c>
      <c r="AN954" s="20">
        <v>7.82</v>
      </c>
      <c r="AO954" s="20" t="s">
        <v>49</v>
      </c>
      <c r="AP954" s="20">
        <v>0</v>
      </c>
      <c r="AQ954" s="20" t="s">
        <v>49</v>
      </c>
      <c r="AR954" s="6" t="s">
        <v>49</v>
      </c>
      <c r="AS954" s="20">
        <v>1.33</v>
      </c>
      <c r="AT954" s="20">
        <f t="shared" si="71"/>
        <v>1.9306140223544779</v>
      </c>
      <c r="AU954" s="20">
        <v>0</v>
      </c>
      <c r="AV954" s="4">
        <f t="shared" si="72"/>
        <v>9.4259390503189202</v>
      </c>
      <c r="AW954" s="31" t="s">
        <v>49</v>
      </c>
    </row>
    <row r="955" spans="1:49">
      <c r="A955" s="6" t="s">
        <v>330</v>
      </c>
      <c r="B955" s="6" t="s">
        <v>38</v>
      </c>
      <c r="C955" s="6" t="s">
        <v>38</v>
      </c>
      <c r="D955" s="6" t="s">
        <v>331</v>
      </c>
      <c r="E955" s="6" t="s">
        <v>40</v>
      </c>
      <c r="F955" s="6">
        <v>1988</v>
      </c>
      <c r="G955" s="6" t="s">
        <v>332</v>
      </c>
      <c r="H955" s="6" t="s">
        <v>333</v>
      </c>
      <c r="I955" s="6" t="s">
        <v>334</v>
      </c>
      <c r="J955" s="3" t="s">
        <v>335</v>
      </c>
      <c r="K955" s="6" t="s">
        <v>114</v>
      </c>
      <c r="L955" s="6" t="s">
        <v>336</v>
      </c>
      <c r="M955" s="6" t="s">
        <v>115</v>
      </c>
      <c r="N955" s="6" t="s">
        <v>116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337</v>
      </c>
      <c r="T955" s="6" t="s">
        <v>337</v>
      </c>
      <c r="U955" s="6" t="s">
        <v>251</v>
      </c>
      <c r="V955" s="6" t="s">
        <v>351</v>
      </c>
      <c r="W955" s="6" t="s">
        <v>49</v>
      </c>
      <c r="X955" s="6" t="s">
        <v>49</v>
      </c>
      <c r="Y955" s="6" t="s">
        <v>48</v>
      </c>
      <c r="Z955" s="6" t="s">
        <v>49</v>
      </c>
      <c r="AA955" s="1" t="s">
        <v>94</v>
      </c>
      <c r="AB955" s="1" t="s">
        <v>349</v>
      </c>
      <c r="AC955" s="1" t="s">
        <v>349</v>
      </c>
      <c r="AD955" s="6" t="s">
        <v>347</v>
      </c>
      <c r="AE955" s="6" t="s">
        <v>347</v>
      </c>
      <c r="AF955" s="6" t="s">
        <v>60</v>
      </c>
      <c r="AG955" s="6" t="s">
        <v>53</v>
      </c>
      <c r="AH955" s="6" t="s">
        <v>340</v>
      </c>
      <c r="AI955" s="20" t="s">
        <v>55</v>
      </c>
      <c r="AJ955" s="20">
        <v>24</v>
      </c>
      <c r="AK955" s="20">
        <f t="shared" si="70"/>
        <v>288</v>
      </c>
      <c r="AL955" s="20">
        <v>0.1</v>
      </c>
      <c r="AM955" s="20">
        <v>26.2</v>
      </c>
      <c r="AN955" s="20">
        <v>3.85</v>
      </c>
      <c r="AO955" s="20" t="s">
        <v>49</v>
      </c>
      <c r="AP955" s="20">
        <v>0</v>
      </c>
      <c r="AQ955" s="20" t="s">
        <v>49</v>
      </c>
      <c r="AR955" s="6" t="s">
        <v>49</v>
      </c>
      <c r="AS955" s="20">
        <v>0.38500000000000001</v>
      </c>
      <c r="AT955" s="20">
        <f t="shared" si="71"/>
        <v>5.6086475147135953E-2</v>
      </c>
      <c r="AU955" s="20">
        <v>0</v>
      </c>
      <c r="AV955" s="4">
        <f t="shared" si="72"/>
        <v>0.50477827632422356</v>
      </c>
      <c r="AW955" s="31" t="s">
        <v>49</v>
      </c>
    </row>
    <row r="956" spans="1:49">
      <c r="A956" s="6" t="s">
        <v>330</v>
      </c>
      <c r="B956" s="6" t="s">
        <v>38</v>
      </c>
      <c r="C956" s="6" t="s">
        <v>38</v>
      </c>
      <c r="D956" s="6" t="s">
        <v>331</v>
      </c>
      <c r="E956" s="6" t="s">
        <v>40</v>
      </c>
      <c r="F956" s="6">
        <v>1988</v>
      </c>
      <c r="G956" s="6" t="s">
        <v>332</v>
      </c>
      <c r="H956" s="6" t="s">
        <v>333</v>
      </c>
      <c r="I956" s="6" t="s">
        <v>334</v>
      </c>
      <c r="J956" s="3" t="s">
        <v>335</v>
      </c>
      <c r="K956" s="6" t="s">
        <v>114</v>
      </c>
      <c r="L956" s="6" t="s">
        <v>336</v>
      </c>
      <c r="M956" s="6" t="s">
        <v>115</v>
      </c>
      <c r="N956" s="6" t="s">
        <v>116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337</v>
      </c>
      <c r="T956" s="6" t="s">
        <v>337</v>
      </c>
      <c r="U956" s="6" t="s">
        <v>251</v>
      </c>
      <c r="V956" s="6" t="s">
        <v>351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50</v>
      </c>
      <c r="AB956" s="6" t="s">
        <v>51</v>
      </c>
      <c r="AC956" s="6" t="s">
        <v>350</v>
      </c>
      <c r="AD956" s="6" t="s">
        <v>348</v>
      </c>
      <c r="AE956" s="6" t="s">
        <v>348</v>
      </c>
      <c r="AF956" s="6" t="s">
        <v>60</v>
      </c>
      <c r="AG956" s="6" t="s">
        <v>53</v>
      </c>
      <c r="AH956" s="6" t="s">
        <v>340</v>
      </c>
      <c r="AI956" s="20" t="s">
        <v>55</v>
      </c>
      <c r="AJ956" s="20">
        <v>24</v>
      </c>
      <c r="AK956" s="20">
        <f t="shared" si="70"/>
        <v>288</v>
      </c>
      <c r="AL956" s="20">
        <v>0.18</v>
      </c>
      <c r="AM956" s="20">
        <v>45.6</v>
      </c>
      <c r="AN956" s="20">
        <v>135</v>
      </c>
      <c r="AO956" s="20" t="s">
        <v>49</v>
      </c>
      <c r="AP956" s="20">
        <v>0</v>
      </c>
      <c r="AQ956" s="20" t="s">
        <v>49</v>
      </c>
      <c r="AR956" s="6" t="s">
        <v>49</v>
      </c>
      <c r="AS956" s="20">
        <v>24.3</v>
      </c>
      <c r="AT956" s="20">
        <f t="shared" si="71"/>
        <v>1.1686288088642658</v>
      </c>
      <c r="AU956" s="20">
        <v>0</v>
      </c>
      <c r="AV956" s="4">
        <f t="shared" si="72"/>
        <v>5.3237534626038778</v>
      </c>
      <c r="AW956" s="31" t="s">
        <v>49</v>
      </c>
    </row>
    <row r="957" spans="1:49">
      <c r="A957" s="6" t="s">
        <v>330</v>
      </c>
      <c r="B957" s="6" t="s">
        <v>38</v>
      </c>
      <c r="C957" s="6" t="s">
        <v>38</v>
      </c>
      <c r="D957" s="6" t="s">
        <v>331</v>
      </c>
      <c r="E957" s="6" t="s">
        <v>40</v>
      </c>
      <c r="F957" s="6">
        <v>1988</v>
      </c>
      <c r="G957" s="6" t="s">
        <v>332</v>
      </c>
      <c r="H957" s="6" t="s">
        <v>333</v>
      </c>
      <c r="I957" s="6" t="s">
        <v>334</v>
      </c>
      <c r="J957" s="3" t="s">
        <v>335</v>
      </c>
      <c r="K957" s="6" t="s">
        <v>114</v>
      </c>
      <c r="L957" s="6" t="s">
        <v>336</v>
      </c>
      <c r="M957" s="6" t="s">
        <v>115</v>
      </c>
      <c r="N957" s="6" t="s">
        <v>116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337</v>
      </c>
      <c r="T957" s="6" t="s">
        <v>337</v>
      </c>
      <c r="U957" s="6" t="s">
        <v>251</v>
      </c>
      <c r="V957" s="6" t="s">
        <v>351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346</v>
      </c>
      <c r="AE957" s="6" t="s">
        <v>343</v>
      </c>
      <c r="AF957" s="6" t="s">
        <v>49</v>
      </c>
      <c r="AG957" s="6" t="s">
        <v>49</v>
      </c>
      <c r="AH957" s="6" t="s">
        <v>340</v>
      </c>
      <c r="AI957" s="20" t="s">
        <v>55</v>
      </c>
      <c r="AJ957" s="20" t="s">
        <v>49</v>
      </c>
      <c r="AK957" s="20" t="s">
        <v>49</v>
      </c>
      <c r="AL957" s="20" t="s">
        <v>49</v>
      </c>
      <c r="AM957" s="20" t="s">
        <v>49</v>
      </c>
      <c r="AN957" s="20" t="s">
        <v>49</v>
      </c>
      <c r="AO957" s="20" t="s">
        <v>49</v>
      </c>
      <c r="AP957" s="20">
        <v>0</v>
      </c>
      <c r="AQ957" s="20" t="s">
        <v>49</v>
      </c>
      <c r="AR957" s="6" t="s">
        <v>49</v>
      </c>
      <c r="AS957" s="20">
        <v>-10.8</v>
      </c>
      <c r="AT957" s="20" t="s">
        <v>49</v>
      </c>
      <c r="AU957" s="20" t="s">
        <v>49</v>
      </c>
      <c r="AV957" s="20" t="s">
        <v>49</v>
      </c>
      <c r="AW957" s="31" t="s">
        <v>49</v>
      </c>
    </row>
    <row r="958" spans="1:49">
      <c r="A958" s="6" t="s">
        <v>330</v>
      </c>
      <c r="B958" s="6" t="s">
        <v>38</v>
      </c>
      <c r="C958" s="6" t="s">
        <v>38</v>
      </c>
      <c r="D958" s="6" t="s">
        <v>331</v>
      </c>
      <c r="E958" s="6" t="s">
        <v>40</v>
      </c>
      <c r="F958" s="6">
        <v>1988</v>
      </c>
      <c r="G958" s="6" t="s">
        <v>332</v>
      </c>
      <c r="H958" s="6" t="s">
        <v>333</v>
      </c>
      <c r="I958" s="6" t="s">
        <v>334</v>
      </c>
      <c r="J958" s="3" t="s">
        <v>335</v>
      </c>
      <c r="K958" s="6" t="s">
        <v>114</v>
      </c>
      <c r="L958" s="6" t="s">
        <v>336</v>
      </c>
      <c r="M958" s="6" t="s">
        <v>115</v>
      </c>
      <c r="N958" s="6" t="s">
        <v>116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337</v>
      </c>
      <c r="T958" s="6" t="s">
        <v>337</v>
      </c>
      <c r="U958" s="6" t="s">
        <v>251</v>
      </c>
      <c r="V958" s="6" t="s">
        <v>351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347</v>
      </c>
      <c r="AE958" s="6" t="s">
        <v>343</v>
      </c>
      <c r="AF958" s="6" t="s">
        <v>49</v>
      </c>
      <c r="AG958" s="6" t="s">
        <v>49</v>
      </c>
      <c r="AH958" s="6" t="s">
        <v>340</v>
      </c>
      <c r="AI958" s="20" t="s">
        <v>55</v>
      </c>
      <c r="AJ958" s="20" t="s">
        <v>49</v>
      </c>
      <c r="AK958" s="20" t="s">
        <v>49</v>
      </c>
      <c r="AL958" s="20" t="s">
        <v>49</v>
      </c>
      <c r="AM958" s="20" t="s">
        <v>49</v>
      </c>
      <c r="AN958" s="20" t="s">
        <v>49</v>
      </c>
      <c r="AO958" s="20" t="s">
        <v>49</v>
      </c>
      <c r="AP958" s="20">
        <v>0</v>
      </c>
      <c r="AQ958" s="20" t="s">
        <v>49</v>
      </c>
      <c r="AR958" s="6" t="s">
        <v>49</v>
      </c>
      <c r="AS958" s="20">
        <v>3.44</v>
      </c>
      <c r="AT958" s="20" t="s">
        <v>49</v>
      </c>
      <c r="AU958" s="20" t="s">
        <v>49</v>
      </c>
      <c r="AV958" s="20" t="s">
        <v>49</v>
      </c>
      <c r="AW958" s="31" t="s">
        <v>49</v>
      </c>
    </row>
    <row r="959" spans="1:49">
      <c r="A959" s="6" t="s">
        <v>330</v>
      </c>
      <c r="B959" s="6" t="s">
        <v>38</v>
      </c>
      <c r="C959" s="6" t="s">
        <v>38</v>
      </c>
      <c r="D959" s="6" t="s">
        <v>331</v>
      </c>
      <c r="E959" s="6" t="s">
        <v>40</v>
      </c>
      <c r="F959" s="6">
        <v>1988</v>
      </c>
      <c r="G959" s="6" t="s">
        <v>332</v>
      </c>
      <c r="H959" s="6" t="s">
        <v>333</v>
      </c>
      <c r="I959" s="6" t="s">
        <v>334</v>
      </c>
      <c r="J959" s="3" t="s">
        <v>335</v>
      </c>
      <c r="K959" s="6" t="s">
        <v>114</v>
      </c>
      <c r="L959" s="6" t="s">
        <v>336</v>
      </c>
      <c r="M959" s="6" t="s">
        <v>115</v>
      </c>
      <c r="N959" s="6" t="s">
        <v>116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337</v>
      </c>
      <c r="T959" s="6" t="s">
        <v>337</v>
      </c>
      <c r="U959" s="6" t="s">
        <v>251</v>
      </c>
      <c r="V959" s="6" t="s">
        <v>351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347</v>
      </c>
      <c r="AE959" s="6" t="s">
        <v>346</v>
      </c>
      <c r="AF959" s="6" t="s">
        <v>49</v>
      </c>
      <c r="AG959" s="6" t="s">
        <v>49</v>
      </c>
      <c r="AH959" s="6" t="s">
        <v>340</v>
      </c>
      <c r="AI959" s="20" t="s">
        <v>55</v>
      </c>
      <c r="AJ959" s="20" t="s">
        <v>49</v>
      </c>
      <c r="AK959" s="20" t="s">
        <v>49</v>
      </c>
      <c r="AL959" s="20" t="s">
        <v>49</v>
      </c>
      <c r="AM959" s="20" t="s">
        <v>49</v>
      </c>
      <c r="AN959" s="20" t="s">
        <v>49</v>
      </c>
      <c r="AO959" s="20" t="s">
        <v>49</v>
      </c>
      <c r="AP959" s="20">
        <v>0</v>
      </c>
      <c r="AQ959" s="20" t="s">
        <v>49</v>
      </c>
      <c r="AR959" s="6" t="s">
        <v>49</v>
      </c>
      <c r="AS959" s="20">
        <v>2.8000000000000001E-2</v>
      </c>
      <c r="AT959" s="20" t="s">
        <v>49</v>
      </c>
      <c r="AU959" s="20" t="s">
        <v>49</v>
      </c>
      <c r="AV959" s="20" t="s">
        <v>49</v>
      </c>
      <c r="AW959" s="31" t="s">
        <v>49</v>
      </c>
    </row>
    <row r="960" spans="1:49">
      <c r="A960" s="6" t="s">
        <v>330</v>
      </c>
      <c r="B960" s="6" t="s">
        <v>38</v>
      </c>
      <c r="C960" s="6" t="s">
        <v>38</v>
      </c>
      <c r="D960" s="6" t="s">
        <v>331</v>
      </c>
      <c r="E960" s="6" t="s">
        <v>40</v>
      </c>
      <c r="F960" s="6">
        <v>1988</v>
      </c>
      <c r="G960" s="6" t="s">
        <v>332</v>
      </c>
      <c r="H960" s="6" t="s">
        <v>333</v>
      </c>
      <c r="I960" s="6" t="s">
        <v>334</v>
      </c>
      <c r="J960" s="3" t="s">
        <v>335</v>
      </c>
      <c r="K960" s="6" t="s">
        <v>114</v>
      </c>
      <c r="L960" s="6" t="s">
        <v>336</v>
      </c>
      <c r="M960" s="6" t="s">
        <v>115</v>
      </c>
      <c r="N960" s="6" t="s">
        <v>116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337</v>
      </c>
      <c r="T960" s="6" t="s">
        <v>337</v>
      </c>
      <c r="U960" s="6" t="s">
        <v>251</v>
      </c>
      <c r="V960" s="6" t="s">
        <v>351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49</v>
      </c>
      <c r="AB960" s="6" t="s">
        <v>49</v>
      </c>
      <c r="AC960" s="6" t="s">
        <v>49</v>
      </c>
      <c r="AD960" s="6" t="s">
        <v>348</v>
      </c>
      <c r="AE960" s="6" t="s">
        <v>343</v>
      </c>
      <c r="AF960" s="6" t="s">
        <v>49</v>
      </c>
      <c r="AG960" s="6" t="s">
        <v>49</v>
      </c>
      <c r="AH960" s="6" t="s">
        <v>340</v>
      </c>
      <c r="AI960" s="20" t="s">
        <v>55</v>
      </c>
      <c r="AJ960" s="20" t="s">
        <v>49</v>
      </c>
      <c r="AK960" s="20" t="s">
        <v>49</v>
      </c>
      <c r="AL960" s="20" t="s">
        <v>49</v>
      </c>
      <c r="AM960" s="20" t="s">
        <v>49</v>
      </c>
      <c r="AN960" s="20" t="s">
        <v>49</v>
      </c>
      <c r="AO960" s="20" t="s">
        <v>49</v>
      </c>
      <c r="AP960" s="20">
        <v>0</v>
      </c>
      <c r="AQ960" s="20" t="s">
        <v>49</v>
      </c>
      <c r="AR960" s="6" t="s">
        <v>49</v>
      </c>
      <c r="AS960" s="20">
        <v>20.5</v>
      </c>
      <c r="AT960" s="20" t="s">
        <v>49</v>
      </c>
      <c r="AU960" s="20" t="s">
        <v>49</v>
      </c>
      <c r="AV960" s="20" t="s">
        <v>49</v>
      </c>
      <c r="AW960" s="31" t="s">
        <v>49</v>
      </c>
    </row>
    <row r="961" spans="1:49">
      <c r="A961" s="6" t="s">
        <v>330</v>
      </c>
      <c r="B961" s="6" t="s">
        <v>38</v>
      </c>
      <c r="C961" s="6" t="s">
        <v>38</v>
      </c>
      <c r="D961" s="6" t="s">
        <v>331</v>
      </c>
      <c r="E961" s="6" t="s">
        <v>40</v>
      </c>
      <c r="F961" s="6">
        <v>1988</v>
      </c>
      <c r="G961" s="6" t="s">
        <v>332</v>
      </c>
      <c r="H961" s="6" t="s">
        <v>333</v>
      </c>
      <c r="I961" s="6" t="s">
        <v>334</v>
      </c>
      <c r="J961" s="3" t="s">
        <v>335</v>
      </c>
      <c r="K961" s="6" t="s">
        <v>114</v>
      </c>
      <c r="L961" s="6" t="s">
        <v>336</v>
      </c>
      <c r="M961" s="6" t="s">
        <v>115</v>
      </c>
      <c r="N961" s="6" t="s">
        <v>116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337</v>
      </c>
      <c r="T961" s="6" t="s">
        <v>337</v>
      </c>
      <c r="U961" s="6" t="s">
        <v>251</v>
      </c>
      <c r="V961" s="6" t="s">
        <v>351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49</v>
      </c>
      <c r="AB961" s="6" t="s">
        <v>49</v>
      </c>
      <c r="AC961" s="6" t="s">
        <v>49</v>
      </c>
      <c r="AD961" s="6" t="s">
        <v>348</v>
      </c>
      <c r="AE961" s="6" t="s">
        <v>346</v>
      </c>
      <c r="AF961" s="6" t="s">
        <v>49</v>
      </c>
      <c r="AG961" s="6" t="s">
        <v>49</v>
      </c>
      <c r="AH961" s="6" t="s">
        <v>340</v>
      </c>
      <c r="AI961" s="20" t="s">
        <v>55</v>
      </c>
      <c r="AJ961" s="20" t="s">
        <v>49</v>
      </c>
      <c r="AK961" s="20" t="s">
        <v>49</v>
      </c>
      <c r="AL961" s="20" t="s">
        <v>49</v>
      </c>
      <c r="AM961" s="20" t="s">
        <v>49</v>
      </c>
      <c r="AN961" s="20" t="s">
        <v>49</v>
      </c>
      <c r="AO961" s="20" t="s">
        <v>49</v>
      </c>
      <c r="AP961" s="20">
        <v>0</v>
      </c>
      <c r="AQ961" s="20" t="s">
        <v>49</v>
      </c>
      <c r="AR961" s="6" t="s">
        <v>49</v>
      </c>
      <c r="AS961" s="20">
        <v>-4.0999999999999996</v>
      </c>
      <c r="AT961" s="20" t="s">
        <v>49</v>
      </c>
      <c r="AU961" s="20" t="s">
        <v>49</v>
      </c>
      <c r="AV961" s="20" t="s">
        <v>49</v>
      </c>
      <c r="AW961" s="31" t="s">
        <v>49</v>
      </c>
    </row>
    <row r="962" spans="1:49">
      <c r="A962" s="6" t="s">
        <v>330</v>
      </c>
      <c r="B962" s="6" t="s">
        <v>38</v>
      </c>
      <c r="C962" s="6" t="s">
        <v>38</v>
      </c>
      <c r="D962" s="6" t="s">
        <v>331</v>
      </c>
      <c r="E962" s="6" t="s">
        <v>40</v>
      </c>
      <c r="F962" s="6">
        <v>1988</v>
      </c>
      <c r="G962" s="6" t="s">
        <v>332</v>
      </c>
      <c r="H962" s="6" t="s">
        <v>333</v>
      </c>
      <c r="I962" s="6" t="s">
        <v>334</v>
      </c>
      <c r="J962" s="3" t="s">
        <v>335</v>
      </c>
      <c r="K962" s="6" t="s">
        <v>114</v>
      </c>
      <c r="L962" s="6" t="s">
        <v>336</v>
      </c>
      <c r="M962" s="6" t="s">
        <v>115</v>
      </c>
      <c r="N962" s="6" t="s">
        <v>116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337</v>
      </c>
      <c r="T962" s="6" t="s">
        <v>337</v>
      </c>
      <c r="U962" s="6" t="s">
        <v>251</v>
      </c>
      <c r="V962" s="6" t="s">
        <v>351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49</v>
      </c>
      <c r="AB962" s="6" t="s">
        <v>49</v>
      </c>
      <c r="AC962" s="6" t="s">
        <v>49</v>
      </c>
      <c r="AD962" s="6" t="s">
        <v>348</v>
      </c>
      <c r="AE962" s="6" t="s">
        <v>347</v>
      </c>
      <c r="AF962" s="6" t="s">
        <v>49</v>
      </c>
      <c r="AG962" s="6" t="s">
        <v>49</v>
      </c>
      <c r="AH962" s="6" t="s">
        <v>340</v>
      </c>
      <c r="AI962" s="20" t="s">
        <v>55</v>
      </c>
      <c r="AJ962" s="20" t="s">
        <v>49</v>
      </c>
      <c r="AK962" s="20" t="s">
        <v>49</v>
      </c>
      <c r="AL962" s="20" t="s">
        <v>49</v>
      </c>
      <c r="AM962" s="20" t="s">
        <v>49</v>
      </c>
      <c r="AN962" s="20" t="s">
        <v>49</v>
      </c>
      <c r="AO962" s="20" t="s">
        <v>49</v>
      </c>
      <c r="AP962" s="20">
        <v>0</v>
      </c>
      <c r="AQ962" s="20" t="s">
        <v>49</v>
      </c>
      <c r="AR962" s="6" t="s">
        <v>49</v>
      </c>
      <c r="AS962" s="20">
        <v>1.86</v>
      </c>
      <c r="AT962" s="20" t="s">
        <v>49</v>
      </c>
      <c r="AU962" s="20" t="s">
        <v>49</v>
      </c>
      <c r="AV962" s="20" t="s">
        <v>49</v>
      </c>
      <c r="AW962" s="31" t="s">
        <v>49</v>
      </c>
    </row>
    <row r="963" spans="1:49">
      <c r="A963" s="6">
        <v>80</v>
      </c>
      <c r="B963" s="6" t="s">
        <v>38</v>
      </c>
      <c r="C963" s="6" t="s">
        <v>49</v>
      </c>
      <c r="D963" s="6" t="s">
        <v>352</v>
      </c>
      <c r="E963" s="6" t="s">
        <v>302</v>
      </c>
      <c r="F963" s="6">
        <v>2002</v>
      </c>
      <c r="G963" s="6" t="s">
        <v>110</v>
      </c>
      <c r="H963" s="6" t="s">
        <v>353</v>
      </c>
      <c r="I963" s="6" t="s">
        <v>354</v>
      </c>
      <c r="J963" s="3" t="s">
        <v>355</v>
      </c>
      <c r="K963" s="6" t="s">
        <v>114</v>
      </c>
      <c r="L963" s="6" t="s">
        <v>46</v>
      </c>
      <c r="M963" s="6" t="s">
        <v>115</v>
      </c>
      <c r="N963" s="6" t="s">
        <v>116</v>
      </c>
      <c r="O963" s="6" t="s">
        <v>49</v>
      </c>
      <c r="P963" s="6" t="s">
        <v>49</v>
      </c>
      <c r="Q963" s="6" t="s">
        <v>49</v>
      </c>
      <c r="R963" s="6">
        <v>1</v>
      </c>
      <c r="S963" s="6" t="s">
        <v>49</v>
      </c>
      <c r="T963" s="6" t="s">
        <v>49</v>
      </c>
      <c r="U963" s="6" t="s">
        <v>251</v>
      </c>
      <c r="V963" s="6" t="s">
        <v>356</v>
      </c>
      <c r="W963" s="18">
        <v>35.416666999999997</v>
      </c>
      <c r="X963" s="18">
        <v>24.116667</v>
      </c>
      <c r="Y963" s="6" t="s">
        <v>48</v>
      </c>
      <c r="Z963" s="6" t="s">
        <v>49</v>
      </c>
      <c r="AA963" s="6" t="s">
        <v>127</v>
      </c>
      <c r="AB963" s="6" t="s">
        <v>239</v>
      </c>
      <c r="AC963" s="6" t="s">
        <v>240</v>
      </c>
      <c r="AD963" s="6" t="s">
        <v>240</v>
      </c>
      <c r="AE963" s="6" t="s">
        <v>240</v>
      </c>
      <c r="AF963" s="6" t="s">
        <v>60</v>
      </c>
      <c r="AG963" s="6" t="s">
        <v>61</v>
      </c>
      <c r="AH963" s="6" t="s">
        <v>183</v>
      </c>
      <c r="AI963" s="20" t="s">
        <v>55</v>
      </c>
      <c r="AJ963" s="20">
        <v>31</v>
      </c>
      <c r="AK963" s="20">
        <f>AJ963*2*4</f>
        <v>248</v>
      </c>
      <c r="AL963" s="20">
        <f>AS963/AN963</f>
        <v>0.28061007474023214</v>
      </c>
      <c r="AM963" s="22">
        <v>19.31983</v>
      </c>
      <c r="AN963" s="21">
        <v>8.2285000000000004</v>
      </c>
      <c r="AO963" s="20" t="s">
        <v>49</v>
      </c>
      <c r="AP963" s="20">
        <v>0</v>
      </c>
      <c r="AQ963" s="20" t="s">
        <v>49</v>
      </c>
      <c r="AR963" s="6" t="s">
        <v>49</v>
      </c>
      <c r="AS963" s="20">
        <v>2.3090000000000002</v>
      </c>
      <c r="AT963" s="20">
        <f>AS963/(AM963^2)*100</f>
        <v>0.61861056326913777</v>
      </c>
      <c r="AU963" s="20">
        <v>0</v>
      </c>
      <c r="AV963" s="4">
        <f>AT963*(1-AL963)/AL963</f>
        <v>1.5859095839201649</v>
      </c>
      <c r="AW963" s="31" t="s">
        <v>366</v>
      </c>
    </row>
    <row r="964" spans="1:49">
      <c r="A964" s="6">
        <v>80</v>
      </c>
      <c r="B964" s="6" t="s">
        <v>38</v>
      </c>
      <c r="C964" s="6" t="s">
        <v>49</v>
      </c>
      <c r="D964" s="6" t="s">
        <v>352</v>
      </c>
      <c r="E964" s="6" t="s">
        <v>302</v>
      </c>
      <c r="F964" s="6">
        <v>2002</v>
      </c>
      <c r="G964" s="6" t="s">
        <v>110</v>
      </c>
      <c r="H964" s="6" t="s">
        <v>353</v>
      </c>
      <c r="I964" s="6" t="s">
        <v>354</v>
      </c>
      <c r="J964" s="3" t="s">
        <v>355</v>
      </c>
      <c r="K964" s="6" t="s">
        <v>114</v>
      </c>
      <c r="L964" s="6" t="s">
        <v>46</v>
      </c>
      <c r="M964" s="6" t="s">
        <v>115</v>
      </c>
      <c r="N964" s="6" t="s">
        <v>116</v>
      </c>
      <c r="O964" s="6" t="s">
        <v>49</v>
      </c>
      <c r="P964" s="6" t="s">
        <v>49</v>
      </c>
      <c r="Q964" s="6" t="s">
        <v>49</v>
      </c>
      <c r="R964" s="6">
        <v>1</v>
      </c>
      <c r="S964" s="6" t="s">
        <v>49</v>
      </c>
      <c r="T964" s="6" t="s">
        <v>49</v>
      </c>
      <c r="U964" s="6" t="s">
        <v>251</v>
      </c>
      <c r="V964" s="6" t="s">
        <v>356</v>
      </c>
      <c r="W964" s="18">
        <v>35.416666999999997</v>
      </c>
      <c r="X964" s="18">
        <v>24.116667</v>
      </c>
      <c r="Y964" s="6" t="s">
        <v>48</v>
      </c>
      <c r="Z964" s="6" t="s">
        <v>49</v>
      </c>
      <c r="AA964" s="6" t="s">
        <v>127</v>
      </c>
      <c r="AB964" s="6" t="s">
        <v>292</v>
      </c>
      <c r="AC964" s="6" t="s">
        <v>360</v>
      </c>
      <c r="AD964" s="6" t="s">
        <v>357</v>
      </c>
      <c r="AE964" s="6" t="s">
        <v>357</v>
      </c>
      <c r="AF964" s="6" t="s">
        <v>60</v>
      </c>
      <c r="AG964" s="6" t="s">
        <v>60</v>
      </c>
      <c r="AH964" s="6" t="s">
        <v>183</v>
      </c>
      <c r="AI964" s="20" t="s">
        <v>55</v>
      </c>
      <c r="AJ964" s="20">
        <v>31</v>
      </c>
      <c r="AK964" s="20">
        <f>AJ964*2*4</f>
        <v>248</v>
      </c>
      <c r="AL964" s="20">
        <f t="shared" ref="AL964:AL969" si="73">AS964/AN964</f>
        <v>2.7297543221110103E-2</v>
      </c>
      <c r="AM964" s="22">
        <v>11.686400000000001</v>
      </c>
      <c r="AN964" s="21">
        <v>6.8137999999999996</v>
      </c>
      <c r="AO964" s="20" t="s">
        <v>49</v>
      </c>
      <c r="AP964" s="20">
        <v>0</v>
      </c>
      <c r="AQ964" s="20" t="s">
        <v>49</v>
      </c>
      <c r="AR964" s="6" t="s">
        <v>49</v>
      </c>
      <c r="AS964" s="20">
        <v>0.186</v>
      </c>
      <c r="AT964" s="20">
        <f t="shared" ref="AT964:AT969" si="74">AS964/(AM964^2)*100</f>
        <v>0.13619195366550335</v>
      </c>
      <c r="AU964" s="20">
        <v>0</v>
      </c>
      <c r="AV964" s="4">
        <f t="shared" ref="AV964:AV969" si="75">AT964*(1-AL964)/AL964</f>
        <v>4.852973282280769</v>
      </c>
      <c r="AW964" s="31" t="s">
        <v>366</v>
      </c>
    </row>
    <row r="965" spans="1:49">
      <c r="A965" s="6">
        <v>80</v>
      </c>
      <c r="B965" s="6" t="s">
        <v>38</v>
      </c>
      <c r="C965" s="6" t="s">
        <v>49</v>
      </c>
      <c r="D965" s="6" t="s">
        <v>352</v>
      </c>
      <c r="E965" s="6" t="s">
        <v>302</v>
      </c>
      <c r="F965" s="6">
        <v>2002</v>
      </c>
      <c r="G965" s="6" t="s">
        <v>110</v>
      </c>
      <c r="H965" s="6" t="s">
        <v>353</v>
      </c>
      <c r="I965" s="6" t="s">
        <v>354</v>
      </c>
      <c r="J965" s="3" t="s">
        <v>355</v>
      </c>
      <c r="K965" s="6" t="s">
        <v>114</v>
      </c>
      <c r="L965" s="6" t="s">
        <v>46</v>
      </c>
      <c r="M965" s="6" t="s">
        <v>115</v>
      </c>
      <c r="N965" s="6" t="s">
        <v>116</v>
      </c>
      <c r="O965" s="6" t="s">
        <v>49</v>
      </c>
      <c r="P965" s="6" t="s">
        <v>49</v>
      </c>
      <c r="Q965" s="6" t="s">
        <v>49</v>
      </c>
      <c r="R965" s="6">
        <v>1</v>
      </c>
      <c r="S965" s="6" t="s">
        <v>49</v>
      </c>
      <c r="T965" s="6" t="s">
        <v>49</v>
      </c>
      <c r="U965" s="6" t="s">
        <v>251</v>
      </c>
      <c r="V965" s="6" t="s">
        <v>356</v>
      </c>
      <c r="W965" s="18">
        <v>35.416666999999997</v>
      </c>
      <c r="X965" s="18">
        <v>24.116667</v>
      </c>
      <c r="Y965" s="6" t="s">
        <v>48</v>
      </c>
      <c r="Z965" s="6" t="s">
        <v>49</v>
      </c>
      <c r="AA965" s="6" t="s">
        <v>127</v>
      </c>
      <c r="AB965" s="6" t="s">
        <v>241</v>
      </c>
      <c r="AC965" s="6" t="s">
        <v>361</v>
      </c>
      <c r="AD965" s="6" t="s">
        <v>358</v>
      </c>
      <c r="AE965" s="6" t="s">
        <v>358</v>
      </c>
      <c r="AF965" s="6" t="s">
        <v>60</v>
      </c>
      <c r="AG965" s="6" t="s">
        <v>53</v>
      </c>
      <c r="AH965" s="6" t="s">
        <v>183</v>
      </c>
      <c r="AI965" s="20" t="s">
        <v>55</v>
      </c>
      <c r="AJ965" s="20">
        <v>31</v>
      </c>
      <c r="AK965" s="20">
        <f t="shared" ref="AK965:AK969" si="76">AJ965*2*4</f>
        <v>248</v>
      </c>
      <c r="AL965" s="20">
        <f t="shared" si="73"/>
        <v>0.53193094200469326</v>
      </c>
      <c r="AM965" s="22">
        <v>33.947600000000001</v>
      </c>
      <c r="AN965" s="21">
        <v>35.795999999999999</v>
      </c>
      <c r="AO965" s="20" t="s">
        <v>49</v>
      </c>
      <c r="AP965" s="20">
        <v>0</v>
      </c>
      <c r="AQ965" s="20" t="s">
        <v>49</v>
      </c>
      <c r="AR965" s="6" t="s">
        <v>49</v>
      </c>
      <c r="AS965" s="20">
        <v>19.041</v>
      </c>
      <c r="AT965" s="20">
        <f t="shared" si="74"/>
        <v>1.6522341731550889</v>
      </c>
      <c r="AU965" s="20">
        <v>0</v>
      </c>
      <c r="AV965" s="4">
        <f t="shared" si="75"/>
        <v>1.4538723581331607</v>
      </c>
      <c r="AW965" s="31" t="s">
        <v>366</v>
      </c>
    </row>
    <row r="966" spans="1:49">
      <c r="A966" s="6">
        <v>80</v>
      </c>
      <c r="B966" s="6" t="s">
        <v>38</v>
      </c>
      <c r="C966" s="6" t="s">
        <v>49</v>
      </c>
      <c r="D966" s="6" t="s">
        <v>352</v>
      </c>
      <c r="E966" s="6" t="s">
        <v>302</v>
      </c>
      <c r="F966" s="6">
        <v>2002</v>
      </c>
      <c r="G966" s="6" t="s">
        <v>110</v>
      </c>
      <c r="H966" s="6" t="s">
        <v>353</v>
      </c>
      <c r="I966" s="6" t="s">
        <v>354</v>
      </c>
      <c r="J966" s="3" t="s">
        <v>355</v>
      </c>
      <c r="K966" s="6" t="s">
        <v>114</v>
      </c>
      <c r="L966" s="6" t="s">
        <v>46</v>
      </c>
      <c r="M966" s="6" t="s">
        <v>115</v>
      </c>
      <c r="N966" s="6" t="s">
        <v>116</v>
      </c>
      <c r="O966" s="6" t="s">
        <v>49</v>
      </c>
      <c r="P966" s="6" t="s">
        <v>49</v>
      </c>
      <c r="Q966" s="6" t="s">
        <v>49</v>
      </c>
      <c r="R966" s="6">
        <v>1</v>
      </c>
      <c r="S966" s="6" t="s">
        <v>49</v>
      </c>
      <c r="T966" s="6" t="s">
        <v>49</v>
      </c>
      <c r="U966" s="6" t="s">
        <v>251</v>
      </c>
      <c r="V966" s="6" t="s">
        <v>356</v>
      </c>
      <c r="W966" s="18">
        <v>35.416666999999997</v>
      </c>
      <c r="X966" s="18">
        <v>24.116667</v>
      </c>
      <c r="Y966" s="6" t="s">
        <v>48</v>
      </c>
      <c r="Z966" s="6" t="s">
        <v>49</v>
      </c>
      <c r="AA966" s="6" t="s">
        <v>127</v>
      </c>
      <c r="AB966" s="6" t="s">
        <v>241</v>
      </c>
      <c r="AC966" s="6" t="s">
        <v>361</v>
      </c>
      <c r="AD966" s="6" t="s">
        <v>359</v>
      </c>
      <c r="AE966" s="6" t="s">
        <v>359</v>
      </c>
      <c r="AF966" s="6" t="s">
        <v>60</v>
      </c>
      <c r="AG966" s="6" t="s">
        <v>60</v>
      </c>
      <c r="AH966" s="6" t="s">
        <v>183</v>
      </c>
      <c r="AI966" s="20" t="s">
        <v>55</v>
      </c>
      <c r="AJ966" s="20">
        <v>31</v>
      </c>
      <c r="AK966" s="20">
        <f t="shared" si="76"/>
        <v>248</v>
      </c>
      <c r="AL966" s="20">
        <f t="shared" si="73"/>
        <v>0.30038033217500754</v>
      </c>
      <c r="AM966" s="22">
        <v>12.1037</v>
      </c>
      <c r="AN966" s="21">
        <v>36.546999999999997</v>
      </c>
      <c r="AO966" s="20" t="s">
        <v>49</v>
      </c>
      <c r="AP966" s="20">
        <v>0</v>
      </c>
      <c r="AQ966" s="20" t="s">
        <v>49</v>
      </c>
      <c r="AR966" s="6" t="s">
        <v>49</v>
      </c>
      <c r="AS966" s="20">
        <v>10.978</v>
      </c>
      <c r="AT966" s="20">
        <f t="shared" si="74"/>
        <v>7.4935381873107731</v>
      </c>
      <c r="AU966" s="20">
        <v>0</v>
      </c>
      <c r="AV966" s="4">
        <f t="shared" si="75"/>
        <v>17.453295492015769</v>
      </c>
      <c r="AW966" s="31" t="s">
        <v>366</v>
      </c>
    </row>
    <row r="967" spans="1:49">
      <c r="A967" s="6">
        <v>80</v>
      </c>
      <c r="B967" s="6" t="s">
        <v>38</v>
      </c>
      <c r="C967" s="6" t="s">
        <v>49</v>
      </c>
      <c r="D967" s="6" t="s">
        <v>352</v>
      </c>
      <c r="E967" s="6" t="s">
        <v>302</v>
      </c>
      <c r="F967" s="6">
        <v>2002</v>
      </c>
      <c r="G967" s="6" t="s">
        <v>110</v>
      </c>
      <c r="H967" s="6" t="s">
        <v>353</v>
      </c>
      <c r="I967" s="6" t="s">
        <v>354</v>
      </c>
      <c r="J967" s="3" t="s">
        <v>355</v>
      </c>
      <c r="K967" s="6" t="s">
        <v>114</v>
      </c>
      <c r="L967" s="6" t="s">
        <v>46</v>
      </c>
      <c r="M967" s="6" t="s">
        <v>115</v>
      </c>
      <c r="N967" s="6" t="s">
        <v>116</v>
      </c>
      <c r="O967" s="6" t="s">
        <v>49</v>
      </c>
      <c r="P967" s="6" t="s">
        <v>49</v>
      </c>
      <c r="Q967" s="6" t="s">
        <v>49</v>
      </c>
      <c r="R967" s="6">
        <v>1</v>
      </c>
      <c r="S967" s="6" t="s">
        <v>49</v>
      </c>
      <c r="T967" s="6" t="s">
        <v>49</v>
      </c>
      <c r="U967" s="6" t="s">
        <v>251</v>
      </c>
      <c r="V967" s="6" t="s">
        <v>356</v>
      </c>
      <c r="W967" s="18">
        <v>35.416666999999997</v>
      </c>
      <c r="X967" s="18">
        <v>24.116667</v>
      </c>
      <c r="Y967" s="6" t="s">
        <v>48</v>
      </c>
      <c r="Z967" s="6" t="s">
        <v>49</v>
      </c>
      <c r="AA967" s="6" t="s">
        <v>94</v>
      </c>
      <c r="AB967" s="6" t="s">
        <v>349</v>
      </c>
      <c r="AC967" s="6" t="s">
        <v>349</v>
      </c>
      <c r="AD967" s="6" t="s">
        <v>347</v>
      </c>
      <c r="AE967" s="6" t="s">
        <v>347</v>
      </c>
      <c r="AF967" s="6" t="s">
        <v>60</v>
      </c>
      <c r="AG967" s="6" t="s">
        <v>53</v>
      </c>
      <c r="AH967" s="6" t="s">
        <v>183</v>
      </c>
      <c r="AI967" s="20" t="s">
        <v>55</v>
      </c>
      <c r="AJ967" s="20">
        <v>31</v>
      </c>
      <c r="AK967" s="20">
        <f t="shared" si="76"/>
        <v>248</v>
      </c>
      <c r="AL967" s="20">
        <f t="shared" si="73"/>
        <v>0.50817967830521771</v>
      </c>
      <c r="AM967" s="22">
        <v>80.307100000000005</v>
      </c>
      <c r="AN967" s="21">
        <v>1019.6</v>
      </c>
      <c r="AO967" s="20" t="s">
        <v>49</v>
      </c>
      <c r="AP967" s="20">
        <v>0</v>
      </c>
      <c r="AQ967" s="20" t="s">
        <v>49</v>
      </c>
      <c r="AR967" s="6" t="s">
        <v>49</v>
      </c>
      <c r="AS967" s="20">
        <v>518.14</v>
      </c>
      <c r="AT967" s="20">
        <f t="shared" si="74"/>
        <v>8.0341370219582053</v>
      </c>
      <c r="AU967" s="20">
        <v>0</v>
      </c>
      <c r="AV967" s="4">
        <f t="shared" si="75"/>
        <v>7.7755015073747673</v>
      </c>
      <c r="AW967" s="31" t="s">
        <v>366</v>
      </c>
    </row>
    <row r="968" spans="1:49">
      <c r="A968" s="6">
        <v>80</v>
      </c>
      <c r="B968" s="6" t="s">
        <v>38</v>
      </c>
      <c r="C968" s="6" t="s">
        <v>49</v>
      </c>
      <c r="D968" s="6" t="s">
        <v>352</v>
      </c>
      <c r="E968" s="6" t="s">
        <v>302</v>
      </c>
      <c r="F968" s="6">
        <v>2002</v>
      </c>
      <c r="G968" s="6" t="s">
        <v>110</v>
      </c>
      <c r="H968" s="6" t="s">
        <v>353</v>
      </c>
      <c r="I968" s="6" t="s">
        <v>354</v>
      </c>
      <c r="J968" s="3" t="s">
        <v>355</v>
      </c>
      <c r="K968" s="6" t="s">
        <v>114</v>
      </c>
      <c r="L968" s="6" t="s">
        <v>46</v>
      </c>
      <c r="M968" s="6" t="s">
        <v>115</v>
      </c>
      <c r="N968" s="6" t="s">
        <v>116</v>
      </c>
      <c r="O968" s="6" t="s">
        <v>49</v>
      </c>
      <c r="P968" s="6" t="s">
        <v>49</v>
      </c>
      <c r="Q968" s="6" t="s">
        <v>49</v>
      </c>
      <c r="R968" s="6">
        <v>1</v>
      </c>
      <c r="S968" s="6" t="s">
        <v>49</v>
      </c>
      <c r="T968" s="6" t="s">
        <v>49</v>
      </c>
      <c r="U968" s="6" t="s">
        <v>251</v>
      </c>
      <c r="V968" s="6" t="s">
        <v>356</v>
      </c>
      <c r="W968" s="18">
        <v>35.416666999999997</v>
      </c>
      <c r="X968" s="18">
        <v>24.116667</v>
      </c>
      <c r="Y968" s="6" t="s">
        <v>48</v>
      </c>
      <c r="Z968" s="6" t="s">
        <v>49</v>
      </c>
      <c r="AA968" s="6" t="s">
        <v>50</v>
      </c>
      <c r="AB968" s="6" t="s">
        <v>51</v>
      </c>
      <c r="AC968" s="6" t="s">
        <v>350</v>
      </c>
      <c r="AD968" s="6" t="s">
        <v>367</v>
      </c>
      <c r="AE968" s="6" t="s">
        <v>367</v>
      </c>
      <c r="AF968" s="6" t="s">
        <v>60</v>
      </c>
      <c r="AG968" s="6" t="s">
        <v>53</v>
      </c>
      <c r="AH968" s="6" t="s">
        <v>183</v>
      </c>
      <c r="AI968" s="20" t="s">
        <v>55</v>
      </c>
      <c r="AJ968" s="20">
        <v>31</v>
      </c>
      <c r="AK968" s="20">
        <f t="shared" si="76"/>
        <v>248</v>
      </c>
      <c r="AL968" s="20">
        <f t="shared" si="73"/>
        <v>0.33354414072564587</v>
      </c>
      <c r="AM968" s="22">
        <v>3.0207000000000002</v>
      </c>
      <c r="AN968" s="21">
        <v>4.2693000000000003</v>
      </c>
      <c r="AO968" s="20" t="s">
        <v>49</v>
      </c>
      <c r="AP968" s="20">
        <v>0</v>
      </c>
      <c r="AQ968" s="20" t="s">
        <v>49</v>
      </c>
      <c r="AR968" s="6" t="s">
        <v>49</v>
      </c>
      <c r="AS968" s="20">
        <v>1.4239999999999999</v>
      </c>
      <c r="AT968" s="20">
        <f t="shared" si="74"/>
        <v>15.606114830435139</v>
      </c>
      <c r="AU968" s="20">
        <v>0</v>
      </c>
      <c r="AV968" s="4">
        <f t="shared" si="75"/>
        <v>31.182639415054144</v>
      </c>
      <c r="AW968" s="31" t="s">
        <v>366</v>
      </c>
    </row>
    <row r="969" spans="1:49">
      <c r="A969" s="6">
        <v>80</v>
      </c>
      <c r="B969" s="6" t="s">
        <v>38</v>
      </c>
      <c r="C969" s="6" t="s">
        <v>49</v>
      </c>
      <c r="D969" s="6" t="s">
        <v>352</v>
      </c>
      <c r="E969" s="6" t="s">
        <v>302</v>
      </c>
      <c r="F969" s="6">
        <v>2002</v>
      </c>
      <c r="G969" s="6" t="s">
        <v>110</v>
      </c>
      <c r="H969" s="6" t="s">
        <v>353</v>
      </c>
      <c r="I969" s="6" t="s">
        <v>354</v>
      </c>
      <c r="J969" s="3" t="s">
        <v>355</v>
      </c>
      <c r="K969" s="6" t="s">
        <v>114</v>
      </c>
      <c r="L969" s="6" t="s">
        <v>46</v>
      </c>
      <c r="M969" s="6" t="s">
        <v>115</v>
      </c>
      <c r="N969" s="6" t="s">
        <v>116</v>
      </c>
      <c r="O969" s="6" t="s">
        <v>49</v>
      </c>
      <c r="P969" s="6" t="s">
        <v>49</v>
      </c>
      <c r="Q969" s="6" t="s">
        <v>49</v>
      </c>
      <c r="R969" s="6">
        <v>1</v>
      </c>
      <c r="S969" s="6" t="s">
        <v>49</v>
      </c>
      <c r="T969" s="6" t="s">
        <v>49</v>
      </c>
      <c r="U969" s="6" t="s">
        <v>251</v>
      </c>
      <c r="V969" s="6" t="s">
        <v>356</v>
      </c>
      <c r="W969" s="18">
        <v>35.416666999999997</v>
      </c>
      <c r="X969" s="18">
        <v>24.116667</v>
      </c>
      <c r="Y969" s="6" t="s">
        <v>48</v>
      </c>
      <c r="Z969" s="6" t="s">
        <v>49</v>
      </c>
      <c r="AA969" s="6" t="s">
        <v>50</v>
      </c>
      <c r="AB969" s="6" t="s">
        <v>66</v>
      </c>
      <c r="AC969" s="6" t="s">
        <v>124</v>
      </c>
      <c r="AD969" s="6" t="s">
        <v>213</v>
      </c>
      <c r="AE969" s="6" t="s">
        <v>213</v>
      </c>
      <c r="AF969" s="6" t="s">
        <v>60</v>
      </c>
      <c r="AG969" s="6" t="s">
        <v>61</v>
      </c>
      <c r="AH969" s="6" t="s">
        <v>183</v>
      </c>
      <c r="AI969" s="20" t="s">
        <v>55</v>
      </c>
      <c r="AJ969" s="20">
        <v>31</v>
      </c>
      <c r="AK969" s="20">
        <f t="shared" si="76"/>
        <v>248</v>
      </c>
      <c r="AL969" s="20">
        <f t="shared" si="73"/>
        <v>0.5090316763140289</v>
      </c>
      <c r="AM969" s="22">
        <v>19.527000000000001</v>
      </c>
      <c r="AN969" s="21">
        <v>3.4379</v>
      </c>
      <c r="AO969" s="20" t="s">
        <v>49</v>
      </c>
      <c r="AP969" s="20">
        <v>0</v>
      </c>
      <c r="AQ969" s="20" t="s">
        <v>49</v>
      </c>
      <c r="AR969" s="6" t="s">
        <v>49</v>
      </c>
      <c r="AS969" s="20">
        <v>1.75</v>
      </c>
      <c r="AT969" s="20">
        <f t="shared" si="74"/>
        <v>0.45895171405470303</v>
      </c>
      <c r="AU969" s="20">
        <v>0</v>
      </c>
      <c r="AV969" s="4">
        <f t="shared" si="75"/>
        <v>0.442665484658819</v>
      </c>
      <c r="AW969" s="31" t="s">
        <v>366</v>
      </c>
    </row>
    <row r="970" spans="1:49">
      <c r="A970" s="6">
        <v>80</v>
      </c>
      <c r="B970" s="6" t="s">
        <v>38</v>
      </c>
      <c r="C970" s="6" t="s">
        <v>49</v>
      </c>
      <c r="D970" s="6" t="s">
        <v>352</v>
      </c>
      <c r="E970" s="6" t="s">
        <v>302</v>
      </c>
      <c r="F970" s="6">
        <v>2002</v>
      </c>
      <c r="G970" s="6" t="s">
        <v>110</v>
      </c>
      <c r="H970" s="6" t="s">
        <v>353</v>
      </c>
      <c r="I970" s="6" t="s">
        <v>354</v>
      </c>
      <c r="J970" s="3" t="s">
        <v>355</v>
      </c>
      <c r="K970" s="6" t="s">
        <v>114</v>
      </c>
      <c r="L970" s="6" t="s">
        <v>46</v>
      </c>
      <c r="M970" s="6" t="s">
        <v>115</v>
      </c>
      <c r="N970" s="6" t="s">
        <v>116</v>
      </c>
      <c r="O970" s="6" t="s">
        <v>49</v>
      </c>
      <c r="P970" s="6" t="s">
        <v>49</v>
      </c>
      <c r="Q970" s="6" t="s">
        <v>49</v>
      </c>
      <c r="R970" s="6">
        <v>1</v>
      </c>
      <c r="S970" s="6" t="s">
        <v>49</v>
      </c>
      <c r="T970" s="6" t="s">
        <v>49</v>
      </c>
      <c r="U970" s="6" t="s">
        <v>251</v>
      </c>
      <c r="V970" s="6" t="s">
        <v>356</v>
      </c>
      <c r="W970" s="18">
        <v>35.416666999999997</v>
      </c>
      <c r="X970" s="18">
        <v>24.116667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240</v>
      </c>
      <c r="AE970" s="6" t="s">
        <v>357</v>
      </c>
      <c r="AF970" s="6" t="s">
        <v>49</v>
      </c>
      <c r="AG970" s="6" t="s">
        <v>49</v>
      </c>
      <c r="AH970" s="6" t="s">
        <v>183</v>
      </c>
      <c r="AI970" s="20" t="s">
        <v>55</v>
      </c>
      <c r="AJ970" s="20" t="s">
        <v>49</v>
      </c>
      <c r="AK970" s="20" t="s">
        <v>49</v>
      </c>
      <c r="AL970" s="20" t="s">
        <v>49</v>
      </c>
      <c r="AM970" s="20" t="s">
        <v>49</v>
      </c>
      <c r="AN970" s="20" t="s">
        <v>49</v>
      </c>
      <c r="AO970" s="20" t="s">
        <v>49</v>
      </c>
      <c r="AP970" s="20">
        <v>0</v>
      </c>
      <c r="AQ970" s="20" t="s">
        <v>49</v>
      </c>
      <c r="AR970" s="6" t="s">
        <v>49</v>
      </c>
      <c r="AS970" s="20">
        <v>0.25700000000000001</v>
      </c>
      <c r="AT970" s="20" t="s">
        <v>49</v>
      </c>
      <c r="AU970" s="20" t="s">
        <v>49</v>
      </c>
      <c r="AV970" s="20" t="s">
        <v>49</v>
      </c>
      <c r="AW970" s="31" t="s">
        <v>49</v>
      </c>
    </row>
    <row r="971" spans="1:49">
      <c r="A971" s="6">
        <v>80</v>
      </c>
      <c r="B971" s="6" t="s">
        <v>38</v>
      </c>
      <c r="C971" s="6" t="s">
        <v>49</v>
      </c>
      <c r="D971" s="6" t="s">
        <v>352</v>
      </c>
      <c r="E971" s="6" t="s">
        <v>302</v>
      </c>
      <c r="F971" s="6">
        <v>2002</v>
      </c>
      <c r="G971" s="6" t="s">
        <v>110</v>
      </c>
      <c r="H971" s="6" t="s">
        <v>353</v>
      </c>
      <c r="I971" s="6" t="s">
        <v>354</v>
      </c>
      <c r="J971" s="3" t="s">
        <v>355</v>
      </c>
      <c r="K971" s="6" t="s">
        <v>114</v>
      </c>
      <c r="L971" s="6" t="s">
        <v>46</v>
      </c>
      <c r="M971" s="6" t="s">
        <v>115</v>
      </c>
      <c r="N971" s="6" t="s">
        <v>116</v>
      </c>
      <c r="O971" s="6" t="s">
        <v>49</v>
      </c>
      <c r="P971" s="6" t="s">
        <v>49</v>
      </c>
      <c r="Q971" s="6" t="s">
        <v>49</v>
      </c>
      <c r="R971" s="6">
        <v>1</v>
      </c>
      <c r="S971" s="6" t="s">
        <v>49</v>
      </c>
      <c r="T971" s="6" t="s">
        <v>49</v>
      </c>
      <c r="U971" s="6" t="s">
        <v>251</v>
      </c>
      <c r="V971" s="6" t="s">
        <v>356</v>
      </c>
      <c r="W971" s="18">
        <v>35.416666999999997</v>
      </c>
      <c r="X971" s="18">
        <v>24.116667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240</v>
      </c>
      <c r="AE971" s="6" t="s">
        <v>358</v>
      </c>
      <c r="AF971" s="6" t="s">
        <v>49</v>
      </c>
      <c r="AG971" s="6" t="s">
        <v>49</v>
      </c>
      <c r="AH971" s="6" t="s">
        <v>183</v>
      </c>
      <c r="AI971" s="20" t="s">
        <v>55</v>
      </c>
      <c r="AJ971" s="20" t="s">
        <v>49</v>
      </c>
      <c r="AK971" s="20" t="s">
        <v>49</v>
      </c>
      <c r="AL971" s="20" t="s">
        <v>49</v>
      </c>
      <c r="AM971" s="20" t="s">
        <v>49</v>
      </c>
      <c r="AN971" s="20" t="s">
        <v>49</v>
      </c>
      <c r="AO971" s="20" t="s">
        <v>49</v>
      </c>
      <c r="AP971" s="20">
        <v>0</v>
      </c>
      <c r="AQ971" s="20" t="s">
        <v>49</v>
      </c>
      <c r="AR971" s="6" t="s">
        <v>49</v>
      </c>
      <c r="AS971" s="20">
        <v>-1.744</v>
      </c>
      <c r="AT971" s="20" t="s">
        <v>49</v>
      </c>
      <c r="AU971" s="20" t="s">
        <v>49</v>
      </c>
      <c r="AV971" s="20" t="s">
        <v>49</v>
      </c>
      <c r="AW971" s="31" t="s">
        <v>49</v>
      </c>
    </row>
    <row r="972" spans="1:49">
      <c r="A972" s="6">
        <v>80</v>
      </c>
      <c r="B972" s="6" t="s">
        <v>38</v>
      </c>
      <c r="C972" s="6" t="s">
        <v>49</v>
      </c>
      <c r="D972" s="6" t="s">
        <v>352</v>
      </c>
      <c r="E972" s="6" t="s">
        <v>302</v>
      </c>
      <c r="F972" s="6">
        <v>2002</v>
      </c>
      <c r="G972" s="6" t="s">
        <v>110</v>
      </c>
      <c r="H972" s="6" t="s">
        <v>353</v>
      </c>
      <c r="I972" s="6" t="s">
        <v>354</v>
      </c>
      <c r="J972" s="3" t="s">
        <v>355</v>
      </c>
      <c r="K972" s="6" t="s">
        <v>114</v>
      </c>
      <c r="L972" s="6" t="s">
        <v>46</v>
      </c>
      <c r="M972" s="6" t="s">
        <v>115</v>
      </c>
      <c r="N972" s="6" t="s">
        <v>116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251</v>
      </c>
      <c r="V972" s="6" t="s">
        <v>356</v>
      </c>
      <c r="W972" s="18">
        <v>35.416666999999997</v>
      </c>
      <c r="X972" s="18">
        <v>24.116667</v>
      </c>
      <c r="Y972" s="6" t="s">
        <v>48</v>
      </c>
      <c r="Z972" s="6" t="s">
        <v>49</v>
      </c>
      <c r="AA972" s="6" t="s">
        <v>49</v>
      </c>
      <c r="AB972" s="6" t="s">
        <v>49</v>
      </c>
      <c r="AC972" s="6" t="s">
        <v>49</v>
      </c>
      <c r="AD972" s="6" t="s">
        <v>240</v>
      </c>
      <c r="AE972" s="6" t="s">
        <v>359</v>
      </c>
      <c r="AF972" s="6" t="s">
        <v>49</v>
      </c>
      <c r="AG972" s="6" t="s">
        <v>49</v>
      </c>
      <c r="AH972" s="6" t="s">
        <v>183</v>
      </c>
      <c r="AI972" s="20" t="s">
        <v>55</v>
      </c>
      <c r="AJ972" s="20" t="s">
        <v>49</v>
      </c>
      <c r="AK972" s="20" t="s">
        <v>49</v>
      </c>
      <c r="AL972" s="20" t="s">
        <v>49</v>
      </c>
      <c r="AM972" s="20" t="s">
        <v>49</v>
      </c>
      <c r="AN972" s="20" t="s">
        <v>49</v>
      </c>
      <c r="AO972" s="20" t="s">
        <v>49</v>
      </c>
      <c r="AP972" s="20">
        <v>0</v>
      </c>
      <c r="AQ972" s="20" t="s">
        <v>49</v>
      </c>
      <c r="AR972" s="6" t="s">
        <v>49</v>
      </c>
      <c r="AS972" s="20">
        <v>2.7040000000000002</v>
      </c>
      <c r="AT972" s="20" t="s">
        <v>49</v>
      </c>
      <c r="AU972" s="20" t="s">
        <v>49</v>
      </c>
      <c r="AV972" s="20" t="s">
        <v>49</v>
      </c>
      <c r="AW972" s="31" t="s">
        <v>49</v>
      </c>
    </row>
    <row r="973" spans="1:49">
      <c r="A973" s="6">
        <v>80</v>
      </c>
      <c r="B973" s="6" t="s">
        <v>38</v>
      </c>
      <c r="C973" s="6" t="s">
        <v>49</v>
      </c>
      <c r="D973" s="6" t="s">
        <v>352</v>
      </c>
      <c r="E973" s="6" t="s">
        <v>302</v>
      </c>
      <c r="F973" s="6">
        <v>2002</v>
      </c>
      <c r="G973" s="6" t="s">
        <v>110</v>
      </c>
      <c r="H973" s="6" t="s">
        <v>353</v>
      </c>
      <c r="I973" s="6" t="s">
        <v>354</v>
      </c>
      <c r="J973" s="3" t="s">
        <v>355</v>
      </c>
      <c r="K973" s="6" t="s">
        <v>114</v>
      </c>
      <c r="L973" s="6" t="s">
        <v>46</v>
      </c>
      <c r="M973" s="6" t="s">
        <v>115</v>
      </c>
      <c r="N973" s="6" t="s">
        <v>116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251</v>
      </c>
      <c r="V973" s="6" t="s">
        <v>356</v>
      </c>
      <c r="W973" s="18">
        <v>35.416666999999997</v>
      </c>
      <c r="X973" s="18">
        <v>24.116667</v>
      </c>
      <c r="Y973" s="6" t="s">
        <v>48</v>
      </c>
      <c r="Z973" s="6" t="s">
        <v>49</v>
      </c>
      <c r="AA973" s="6" t="s">
        <v>49</v>
      </c>
      <c r="AB973" s="6" t="s">
        <v>49</v>
      </c>
      <c r="AC973" s="6" t="s">
        <v>49</v>
      </c>
      <c r="AD973" s="6" t="s">
        <v>240</v>
      </c>
      <c r="AE973" s="6" t="s">
        <v>347</v>
      </c>
      <c r="AF973" s="6" t="s">
        <v>49</v>
      </c>
      <c r="AG973" s="6" t="s">
        <v>49</v>
      </c>
      <c r="AH973" s="6" t="s">
        <v>183</v>
      </c>
      <c r="AI973" s="20" t="s">
        <v>55</v>
      </c>
      <c r="AJ973" s="20" t="s">
        <v>49</v>
      </c>
      <c r="AK973" s="20" t="s">
        <v>49</v>
      </c>
      <c r="AL973" s="20" t="s">
        <v>49</v>
      </c>
      <c r="AM973" s="20" t="s">
        <v>49</v>
      </c>
      <c r="AN973" s="20" t="s">
        <v>49</v>
      </c>
      <c r="AO973" s="20" t="s">
        <v>49</v>
      </c>
      <c r="AP973" s="20">
        <v>0</v>
      </c>
      <c r="AQ973" s="20" t="s">
        <v>49</v>
      </c>
      <c r="AR973" s="6" t="s">
        <v>49</v>
      </c>
      <c r="AS973" s="20">
        <v>-22.135000000000002</v>
      </c>
      <c r="AT973" s="20" t="s">
        <v>49</v>
      </c>
      <c r="AU973" s="20" t="s">
        <v>49</v>
      </c>
      <c r="AV973" s="20" t="s">
        <v>49</v>
      </c>
      <c r="AW973" s="31" t="s">
        <v>49</v>
      </c>
    </row>
    <row r="974" spans="1:49">
      <c r="A974" s="6">
        <v>80</v>
      </c>
      <c r="B974" s="6" t="s">
        <v>38</v>
      </c>
      <c r="C974" s="6" t="s">
        <v>49</v>
      </c>
      <c r="D974" s="6" t="s">
        <v>352</v>
      </c>
      <c r="E974" s="6" t="s">
        <v>302</v>
      </c>
      <c r="F974" s="6">
        <v>2002</v>
      </c>
      <c r="G974" s="6" t="s">
        <v>110</v>
      </c>
      <c r="H974" s="6" t="s">
        <v>353</v>
      </c>
      <c r="I974" s="6" t="s">
        <v>354</v>
      </c>
      <c r="J974" s="3" t="s">
        <v>355</v>
      </c>
      <c r="K974" s="6" t="s">
        <v>114</v>
      </c>
      <c r="L974" s="6" t="s">
        <v>46</v>
      </c>
      <c r="M974" s="6" t="s">
        <v>115</v>
      </c>
      <c r="N974" s="6" t="s">
        <v>116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251</v>
      </c>
      <c r="V974" s="6" t="s">
        <v>356</v>
      </c>
      <c r="W974" s="18">
        <v>35.416666999999997</v>
      </c>
      <c r="X974" s="18">
        <v>24.116667</v>
      </c>
      <c r="Y974" s="6" t="s">
        <v>48</v>
      </c>
      <c r="Z974" s="6" t="s">
        <v>49</v>
      </c>
      <c r="AA974" s="6" t="s">
        <v>49</v>
      </c>
      <c r="AB974" s="6" t="s">
        <v>49</v>
      </c>
      <c r="AC974" s="6" t="s">
        <v>49</v>
      </c>
      <c r="AD974" s="6" t="s">
        <v>240</v>
      </c>
      <c r="AE974" s="6" t="s">
        <v>367</v>
      </c>
      <c r="AF974" s="6" t="s">
        <v>49</v>
      </c>
      <c r="AG974" s="6" t="s">
        <v>49</v>
      </c>
      <c r="AH974" s="6" t="s">
        <v>183</v>
      </c>
      <c r="AI974" s="20" t="s">
        <v>55</v>
      </c>
      <c r="AJ974" s="20" t="s">
        <v>49</v>
      </c>
      <c r="AK974" s="20" t="s">
        <v>49</v>
      </c>
      <c r="AL974" s="20" t="s">
        <v>49</v>
      </c>
      <c r="AM974" s="20" t="s">
        <v>49</v>
      </c>
      <c r="AN974" s="20" t="s">
        <v>49</v>
      </c>
      <c r="AO974" s="20" t="s">
        <v>49</v>
      </c>
      <c r="AP974" s="20">
        <v>0</v>
      </c>
      <c r="AQ974" s="20" t="s">
        <v>49</v>
      </c>
      <c r="AR974" s="6" t="s">
        <v>49</v>
      </c>
      <c r="AS974" s="20">
        <v>0.41399999999999998</v>
      </c>
      <c r="AT974" s="20" t="s">
        <v>49</v>
      </c>
      <c r="AU974" s="20" t="s">
        <v>49</v>
      </c>
      <c r="AV974" s="20" t="s">
        <v>49</v>
      </c>
      <c r="AW974" s="31" t="s">
        <v>49</v>
      </c>
    </row>
    <row r="975" spans="1:49">
      <c r="A975" s="6">
        <v>80</v>
      </c>
      <c r="B975" s="6" t="s">
        <v>38</v>
      </c>
      <c r="C975" s="6" t="s">
        <v>49</v>
      </c>
      <c r="D975" s="6" t="s">
        <v>352</v>
      </c>
      <c r="E975" s="6" t="s">
        <v>302</v>
      </c>
      <c r="F975" s="6">
        <v>2002</v>
      </c>
      <c r="G975" s="6" t="s">
        <v>110</v>
      </c>
      <c r="H975" s="6" t="s">
        <v>353</v>
      </c>
      <c r="I975" s="6" t="s">
        <v>354</v>
      </c>
      <c r="J975" s="3" t="s">
        <v>355</v>
      </c>
      <c r="K975" s="6" t="s">
        <v>114</v>
      </c>
      <c r="L975" s="6" t="s">
        <v>46</v>
      </c>
      <c r="M975" s="6" t="s">
        <v>115</v>
      </c>
      <c r="N975" s="6" t="s">
        <v>116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251</v>
      </c>
      <c r="V975" s="6" t="s">
        <v>356</v>
      </c>
      <c r="W975" s="18">
        <v>35.416666999999997</v>
      </c>
      <c r="X975" s="18">
        <v>24.116667</v>
      </c>
      <c r="Y975" s="6" t="s">
        <v>48</v>
      </c>
      <c r="Z975" s="6" t="s">
        <v>49</v>
      </c>
      <c r="AA975" s="6" t="s">
        <v>49</v>
      </c>
      <c r="AB975" s="6" t="s">
        <v>49</v>
      </c>
      <c r="AC975" s="6" t="s">
        <v>49</v>
      </c>
      <c r="AD975" s="6" t="s">
        <v>240</v>
      </c>
      <c r="AE975" s="6" t="s">
        <v>213</v>
      </c>
      <c r="AF975" s="6" t="s">
        <v>49</v>
      </c>
      <c r="AG975" s="6" t="s">
        <v>49</v>
      </c>
      <c r="AH975" s="6" t="s">
        <v>183</v>
      </c>
      <c r="AI975" s="20" t="s">
        <v>55</v>
      </c>
      <c r="AJ975" s="20" t="s">
        <v>49</v>
      </c>
      <c r="AK975" s="20" t="s">
        <v>49</v>
      </c>
      <c r="AL975" s="20" t="s">
        <v>49</v>
      </c>
      <c r="AM975" s="20" t="s">
        <v>49</v>
      </c>
      <c r="AN975" s="20" t="s">
        <v>49</v>
      </c>
      <c r="AO975" s="20" t="s">
        <v>49</v>
      </c>
      <c r="AP975" s="20">
        <v>0</v>
      </c>
      <c r="AQ975" s="20" t="s">
        <v>49</v>
      </c>
      <c r="AR975" s="6" t="s">
        <v>49</v>
      </c>
      <c r="AS975" s="20">
        <v>-0.84099999999999997</v>
      </c>
      <c r="AT975" s="20" t="s">
        <v>49</v>
      </c>
      <c r="AU975" s="20" t="s">
        <v>49</v>
      </c>
      <c r="AV975" s="20" t="s">
        <v>49</v>
      </c>
      <c r="AW975" s="31" t="s">
        <v>49</v>
      </c>
    </row>
    <row r="976" spans="1:49">
      <c r="A976" s="6">
        <v>80</v>
      </c>
      <c r="B976" s="6" t="s">
        <v>38</v>
      </c>
      <c r="C976" s="6" t="s">
        <v>49</v>
      </c>
      <c r="D976" s="6" t="s">
        <v>352</v>
      </c>
      <c r="E976" s="6" t="s">
        <v>302</v>
      </c>
      <c r="F976" s="6">
        <v>2002</v>
      </c>
      <c r="G976" s="6" t="s">
        <v>110</v>
      </c>
      <c r="H976" s="6" t="s">
        <v>353</v>
      </c>
      <c r="I976" s="6" t="s">
        <v>354</v>
      </c>
      <c r="J976" s="3" t="s">
        <v>355</v>
      </c>
      <c r="K976" s="6" t="s">
        <v>114</v>
      </c>
      <c r="L976" s="6" t="s">
        <v>46</v>
      </c>
      <c r="M976" s="6" t="s">
        <v>115</v>
      </c>
      <c r="N976" s="6" t="s">
        <v>116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251</v>
      </c>
      <c r="V976" s="6" t="s">
        <v>356</v>
      </c>
      <c r="W976" s="18">
        <v>35.416666999999997</v>
      </c>
      <c r="X976" s="18">
        <v>24.116667</v>
      </c>
      <c r="Y976" s="6" t="s">
        <v>48</v>
      </c>
      <c r="Z976" s="6" t="s">
        <v>49</v>
      </c>
      <c r="AA976" s="6" t="s">
        <v>49</v>
      </c>
      <c r="AB976" s="6" t="s">
        <v>49</v>
      </c>
      <c r="AC976" s="6" t="s">
        <v>49</v>
      </c>
      <c r="AD976" s="6" t="s">
        <v>357</v>
      </c>
      <c r="AE976" s="6" t="s">
        <v>358</v>
      </c>
      <c r="AF976" s="6" t="s">
        <v>49</v>
      </c>
      <c r="AG976" s="6" t="s">
        <v>49</v>
      </c>
      <c r="AH976" s="6" t="s">
        <v>183</v>
      </c>
      <c r="AI976" s="20" t="s">
        <v>55</v>
      </c>
      <c r="AJ976" s="20" t="s">
        <v>49</v>
      </c>
      <c r="AK976" s="20" t="s">
        <v>49</v>
      </c>
      <c r="AL976" s="20" t="s">
        <v>49</v>
      </c>
      <c r="AM976" s="20" t="s">
        <v>49</v>
      </c>
      <c r="AN976" s="20" t="s">
        <v>49</v>
      </c>
      <c r="AO976" s="20" t="s">
        <v>49</v>
      </c>
      <c r="AP976" s="20">
        <v>0</v>
      </c>
      <c r="AQ976" s="20" t="s">
        <v>49</v>
      </c>
      <c r="AR976" s="6" t="s">
        <v>49</v>
      </c>
      <c r="AS976" s="6">
        <v>0.68799999999999994</v>
      </c>
      <c r="AT976" s="20" t="s">
        <v>49</v>
      </c>
      <c r="AU976" s="20" t="s">
        <v>49</v>
      </c>
      <c r="AV976" s="20" t="s">
        <v>49</v>
      </c>
      <c r="AW976" s="31" t="s">
        <v>49</v>
      </c>
    </row>
    <row r="977" spans="1:49">
      <c r="A977" s="6">
        <v>80</v>
      </c>
      <c r="B977" s="6" t="s">
        <v>38</v>
      </c>
      <c r="C977" s="6" t="s">
        <v>49</v>
      </c>
      <c r="D977" s="6" t="s">
        <v>352</v>
      </c>
      <c r="E977" s="6" t="s">
        <v>302</v>
      </c>
      <c r="F977" s="6">
        <v>2002</v>
      </c>
      <c r="G977" s="6" t="s">
        <v>110</v>
      </c>
      <c r="H977" s="6" t="s">
        <v>353</v>
      </c>
      <c r="I977" s="6" t="s">
        <v>354</v>
      </c>
      <c r="J977" s="3" t="s">
        <v>355</v>
      </c>
      <c r="K977" s="6" t="s">
        <v>114</v>
      </c>
      <c r="L977" s="6" t="s">
        <v>46</v>
      </c>
      <c r="M977" s="6" t="s">
        <v>115</v>
      </c>
      <c r="N977" s="6" t="s">
        <v>116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251</v>
      </c>
      <c r="V977" s="6" t="s">
        <v>356</v>
      </c>
      <c r="W977" s="18">
        <v>35.416666999999997</v>
      </c>
      <c r="X977" s="18">
        <v>24.116667</v>
      </c>
      <c r="Y977" s="6" t="s">
        <v>48</v>
      </c>
      <c r="Z977" s="6" t="s">
        <v>49</v>
      </c>
      <c r="AA977" s="6" t="s">
        <v>49</v>
      </c>
      <c r="AB977" s="6" t="s">
        <v>49</v>
      </c>
      <c r="AC977" s="6" t="s">
        <v>49</v>
      </c>
      <c r="AD977" s="6" t="s">
        <v>357</v>
      </c>
      <c r="AE977" s="6" t="s">
        <v>359</v>
      </c>
      <c r="AF977" s="6" t="s">
        <v>49</v>
      </c>
      <c r="AG977" s="6" t="s">
        <v>49</v>
      </c>
      <c r="AH977" s="6" t="s">
        <v>183</v>
      </c>
      <c r="AI977" s="20" t="s">
        <v>55</v>
      </c>
      <c r="AJ977" s="20" t="s">
        <v>49</v>
      </c>
      <c r="AK977" s="20" t="s">
        <v>49</v>
      </c>
      <c r="AL977" s="20" t="s">
        <v>49</v>
      </c>
      <c r="AM977" s="20" t="s">
        <v>49</v>
      </c>
      <c r="AN977" s="20" t="s">
        <v>49</v>
      </c>
      <c r="AO977" s="20" t="s">
        <v>49</v>
      </c>
      <c r="AP977" s="20">
        <v>0</v>
      </c>
      <c r="AQ977" s="20" t="s">
        <v>49</v>
      </c>
      <c r="AR977" s="6" t="s">
        <v>49</v>
      </c>
      <c r="AS977" s="6">
        <v>-0.625</v>
      </c>
      <c r="AT977" s="20" t="s">
        <v>49</v>
      </c>
      <c r="AU977" s="20" t="s">
        <v>49</v>
      </c>
      <c r="AV977" s="20" t="s">
        <v>49</v>
      </c>
      <c r="AW977" s="31" t="s">
        <v>49</v>
      </c>
    </row>
    <row r="978" spans="1:49">
      <c r="A978" s="6">
        <v>80</v>
      </c>
      <c r="B978" s="6" t="s">
        <v>38</v>
      </c>
      <c r="C978" s="6" t="s">
        <v>49</v>
      </c>
      <c r="D978" s="6" t="s">
        <v>352</v>
      </c>
      <c r="E978" s="6" t="s">
        <v>302</v>
      </c>
      <c r="F978" s="6">
        <v>2002</v>
      </c>
      <c r="G978" s="6" t="s">
        <v>110</v>
      </c>
      <c r="H978" s="6" t="s">
        <v>353</v>
      </c>
      <c r="I978" s="6" t="s">
        <v>354</v>
      </c>
      <c r="J978" s="3" t="s">
        <v>355</v>
      </c>
      <c r="K978" s="6" t="s">
        <v>114</v>
      </c>
      <c r="L978" s="6" t="s">
        <v>46</v>
      </c>
      <c r="M978" s="6" t="s">
        <v>115</v>
      </c>
      <c r="N978" s="6" t="s">
        <v>116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251</v>
      </c>
      <c r="V978" s="6" t="s">
        <v>356</v>
      </c>
      <c r="W978" s="18">
        <v>35.416666999999997</v>
      </c>
      <c r="X978" s="18">
        <v>24.116667</v>
      </c>
      <c r="Y978" s="6" t="s">
        <v>48</v>
      </c>
      <c r="Z978" s="6" t="s">
        <v>49</v>
      </c>
      <c r="AA978" s="6" t="s">
        <v>49</v>
      </c>
      <c r="AB978" s="6" t="s">
        <v>49</v>
      </c>
      <c r="AC978" s="6" t="s">
        <v>49</v>
      </c>
      <c r="AD978" s="6" t="s">
        <v>357</v>
      </c>
      <c r="AE978" s="6" t="s">
        <v>347</v>
      </c>
      <c r="AF978" s="6" t="s">
        <v>49</v>
      </c>
      <c r="AG978" s="6" t="s">
        <v>49</v>
      </c>
      <c r="AH978" s="6" t="s">
        <v>183</v>
      </c>
      <c r="AI978" s="20" t="s">
        <v>55</v>
      </c>
      <c r="AJ978" s="20" t="s">
        <v>49</v>
      </c>
      <c r="AK978" s="20" t="s">
        <v>49</v>
      </c>
      <c r="AL978" s="20" t="s">
        <v>49</v>
      </c>
      <c r="AM978" s="20" t="s">
        <v>49</v>
      </c>
      <c r="AN978" s="20" t="s">
        <v>49</v>
      </c>
      <c r="AO978" s="20" t="s">
        <v>49</v>
      </c>
      <c r="AP978" s="20">
        <v>0</v>
      </c>
      <c r="AQ978" s="20" t="s">
        <v>49</v>
      </c>
      <c r="AR978" s="6" t="s">
        <v>49</v>
      </c>
      <c r="AS978" s="6">
        <v>-12.728</v>
      </c>
      <c r="AT978" s="20" t="s">
        <v>49</v>
      </c>
      <c r="AU978" s="20" t="s">
        <v>49</v>
      </c>
      <c r="AV978" s="20" t="s">
        <v>49</v>
      </c>
      <c r="AW978" s="31" t="s">
        <v>49</v>
      </c>
    </row>
    <row r="979" spans="1:49">
      <c r="A979" s="6">
        <v>80</v>
      </c>
      <c r="B979" s="6" t="s">
        <v>38</v>
      </c>
      <c r="C979" s="6" t="s">
        <v>49</v>
      </c>
      <c r="D979" s="6" t="s">
        <v>352</v>
      </c>
      <c r="E979" s="6" t="s">
        <v>302</v>
      </c>
      <c r="F979" s="6">
        <v>2002</v>
      </c>
      <c r="G979" s="6" t="s">
        <v>110</v>
      </c>
      <c r="H979" s="6" t="s">
        <v>353</v>
      </c>
      <c r="I979" s="6" t="s">
        <v>354</v>
      </c>
      <c r="J979" s="3" t="s">
        <v>355</v>
      </c>
      <c r="K979" s="6" t="s">
        <v>114</v>
      </c>
      <c r="L979" s="6" t="s">
        <v>46</v>
      </c>
      <c r="M979" s="6" t="s">
        <v>115</v>
      </c>
      <c r="N979" s="6" t="s">
        <v>116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251</v>
      </c>
      <c r="V979" s="6" t="s">
        <v>356</v>
      </c>
      <c r="W979" s="18">
        <v>35.416666999999997</v>
      </c>
      <c r="X979" s="18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357</v>
      </c>
      <c r="AE979" s="6" t="s">
        <v>367</v>
      </c>
      <c r="AF979" s="6" t="s">
        <v>49</v>
      </c>
      <c r="AG979" s="6" t="s">
        <v>49</v>
      </c>
      <c r="AH979" s="6" t="s">
        <v>183</v>
      </c>
      <c r="AI979" s="20" t="s">
        <v>55</v>
      </c>
      <c r="AJ979" s="20" t="s">
        <v>49</v>
      </c>
      <c r="AK979" s="20" t="s">
        <v>49</v>
      </c>
      <c r="AL979" s="20" t="s">
        <v>49</v>
      </c>
      <c r="AM979" s="20" t="s">
        <v>49</v>
      </c>
      <c r="AN979" s="20" t="s">
        <v>49</v>
      </c>
      <c r="AO979" s="20" t="s">
        <v>49</v>
      </c>
      <c r="AP979" s="20">
        <v>0</v>
      </c>
      <c r="AQ979" s="20" t="s">
        <v>49</v>
      </c>
      <c r="AR979" s="6" t="s">
        <v>49</v>
      </c>
      <c r="AS979" s="6">
        <v>0.21099999999999999</v>
      </c>
      <c r="AT979" s="20" t="s">
        <v>49</v>
      </c>
      <c r="AU979" s="20" t="s">
        <v>49</v>
      </c>
      <c r="AV979" s="20" t="s">
        <v>49</v>
      </c>
      <c r="AW979" s="31" t="s">
        <v>49</v>
      </c>
    </row>
    <row r="980" spans="1:49">
      <c r="A980" s="6">
        <v>80</v>
      </c>
      <c r="B980" s="6" t="s">
        <v>38</v>
      </c>
      <c r="C980" s="6" t="s">
        <v>49</v>
      </c>
      <c r="D980" s="6" t="s">
        <v>352</v>
      </c>
      <c r="E980" s="6" t="s">
        <v>302</v>
      </c>
      <c r="F980" s="6">
        <v>2002</v>
      </c>
      <c r="G980" s="6" t="s">
        <v>110</v>
      </c>
      <c r="H980" s="6" t="s">
        <v>353</v>
      </c>
      <c r="I980" s="6" t="s">
        <v>354</v>
      </c>
      <c r="J980" s="3" t="s">
        <v>355</v>
      </c>
      <c r="K980" s="6" t="s">
        <v>114</v>
      </c>
      <c r="L980" s="6" t="s">
        <v>46</v>
      </c>
      <c r="M980" s="6" t="s">
        <v>115</v>
      </c>
      <c r="N980" s="6" t="s">
        <v>116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251</v>
      </c>
      <c r="V980" s="6" t="s">
        <v>356</v>
      </c>
      <c r="W980" s="18">
        <v>35.416666999999997</v>
      </c>
      <c r="X980" s="18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357</v>
      </c>
      <c r="AE980" s="6" t="s">
        <v>213</v>
      </c>
      <c r="AF980" s="6" t="s">
        <v>49</v>
      </c>
      <c r="AG980" s="6" t="s">
        <v>49</v>
      </c>
      <c r="AH980" s="6" t="s">
        <v>183</v>
      </c>
      <c r="AI980" s="20" t="s">
        <v>55</v>
      </c>
      <c r="AJ980" s="20" t="s">
        <v>49</v>
      </c>
      <c r="AK980" s="20" t="s">
        <v>49</v>
      </c>
      <c r="AL980" s="20" t="s">
        <v>49</v>
      </c>
      <c r="AM980" s="20" t="s">
        <v>49</v>
      </c>
      <c r="AN980" s="20" t="s">
        <v>49</v>
      </c>
      <c r="AO980" s="20" t="s">
        <v>49</v>
      </c>
      <c r="AP980" s="20">
        <v>0</v>
      </c>
      <c r="AQ980" s="20" t="s">
        <v>49</v>
      </c>
      <c r="AR980" s="6" t="s">
        <v>49</v>
      </c>
      <c r="AS980" s="6">
        <v>0.109</v>
      </c>
      <c r="AT980" s="20" t="s">
        <v>49</v>
      </c>
      <c r="AU980" s="20" t="s">
        <v>49</v>
      </c>
      <c r="AV980" s="20" t="s">
        <v>49</v>
      </c>
      <c r="AW980" s="31" t="s">
        <v>49</v>
      </c>
    </row>
    <row r="981" spans="1:49">
      <c r="A981" s="6">
        <v>80</v>
      </c>
      <c r="B981" s="6" t="s">
        <v>38</v>
      </c>
      <c r="C981" s="6" t="s">
        <v>49</v>
      </c>
      <c r="D981" s="6" t="s">
        <v>352</v>
      </c>
      <c r="E981" s="6" t="s">
        <v>302</v>
      </c>
      <c r="F981" s="6">
        <v>2002</v>
      </c>
      <c r="G981" s="6" t="s">
        <v>110</v>
      </c>
      <c r="H981" s="6" t="s">
        <v>353</v>
      </c>
      <c r="I981" s="6" t="s">
        <v>354</v>
      </c>
      <c r="J981" s="3" t="s">
        <v>355</v>
      </c>
      <c r="K981" s="6" t="s">
        <v>114</v>
      </c>
      <c r="L981" s="6" t="s">
        <v>46</v>
      </c>
      <c r="M981" s="6" t="s">
        <v>115</v>
      </c>
      <c r="N981" s="6" t="s">
        <v>116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251</v>
      </c>
      <c r="V981" s="6" t="s">
        <v>356</v>
      </c>
      <c r="W981" s="18">
        <v>35.416666999999997</v>
      </c>
      <c r="X981" s="18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358</v>
      </c>
      <c r="AE981" s="6" t="s">
        <v>359</v>
      </c>
      <c r="AF981" s="6" t="s">
        <v>49</v>
      </c>
      <c r="AG981" s="6" t="s">
        <v>49</v>
      </c>
      <c r="AH981" s="6" t="s">
        <v>183</v>
      </c>
      <c r="AI981" s="20" t="s">
        <v>55</v>
      </c>
      <c r="AJ981" s="20" t="s">
        <v>49</v>
      </c>
      <c r="AK981" s="20" t="s">
        <v>49</v>
      </c>
      <c r="AL981" s="20" t="s">
        <v>49</v>
      </c>
      <c r="AM981" s="20" t="s">
        <v>49</v>
      </c>
      <c r="AN981" s="20" t="s">
        <v>49</v>
      </c>
      <c r="AO981" s="20" t="s">
        <v>49</v>
      </c>
      <c r="AP981" s="20">
        <v>0</v>
      </c>
      <c r="AQ981" s="20" t="s">
        <v>49</v>
      </c>
      <c r="AR981" s="6" t="s">
        <v>49</v>
      </c>
      <c r="AS981" s="6">
        <v>-3.677</v>
      </c>
      <c r="AT981" s="20" t="s">
        <v>49</v>
      </c>
      <c r="AU981" s="20" t="s">
        <v>49</v>
      </c>
      <c r="AV981" s="20" t="s">
        <v>49</v>
      </c>
      <c r="AW981" s="31" t="s">
        <v>49</v>
      </c>
    </row>
    <row r="982" spans="1:49">
      <c r="A982" s="6">
        <v>80</v>
      </c>
      <c r="B982" s="6" t="s">
        <v>38</v>
      </c>
      <c r="C982" s="6" t="s">
        <v>49</v>
      </c>
      <c r="D982" s="6" t="s">
        <v>352</v>
      </c>
      <c r="E982" s="6" t="s">
        <v>302</v>
      </c>
      <c r="F982" s="6">
        <v>2002</v>
      </c>
      <c r="G982" s="6" t="s">
        <v>110</v>
      </c>
      <c r="H982" s="6" t="s">
        <v>353</v>
      </c>
      <c r="I982" s="6" t="s">
        <v>354</v>
      </c>
      <c r="J982" s="3" t="s">
        <v>355</v>
      </c>
      <c r="K982" s="6" t="s">
        <v>114</v>
      </c>
      <c r="L982" s="6" t="s">
        <v>46</v>
      </c>
      <c r="M982" s="6" t="s">
        <v>115</v>
      </c>
      <c r="N982" s="6" t="s">
        <v>116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251</v>
      </c>
      <c r="V982" s="6" t="s">
        <v>356</v>
      </c>
      <c r="W982" s="18">
        <v>35.416666999999997</v>
      </c>
      <c r="X982" s="18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358</v>
      </c>
      <c r="AE982" s="6" t="s">
        <v>347</v>
      </c>
      <c r="AF982" s="6" t="s">
        <v>49</v>
      </c>
      <c r="AG982" s="6" t="s">
        <v>49</v>
      </c>
      <c r="AH982" s="6" t="s">
        <v>183</v>
      </c>
      <c r="AI982" s="20" t="s">
        <v>55</v>
      </c>
      <c r="AJ982" s="20" t="s">
        <v>49</v>
      </c>
      <c r="AK982" s="20" t="s">
        <v>49</v>
      </c>
      <c r="AL982" s="20" t="s">
        <v>49</v>
      </c>
      <c r="AM982" s="20" t="s">
        <v>49</v>
      </c>
      <c r="AN982" s="20" t="s">
        <v>49</v>
      </c>
      <c r="AO982" s="20" t="s">
        <v>49</v>
      </c>
      <c r="AP982" s="20">
        <v>0</v>
      </c>
      <c r="AQ982" s="20" t="s">
        <v>49</v>
      </c>
      <c r="AR982" s="6" t="s">
        <v>49</v>
      </c>
      <c r="AS982" s="6">
        <v>42.831000000000003</v>
      </c>
      <c r="AT982" s="20" t="s">
        <v>49</v>
      </c>
      <c r="AU982" s="20" t="s">
        <v>49</v>
      </c>
      <c r="AV982" s="20" t="s">
        <v>49</v>
      </c>
      <c r="AW982" s="31" t="s">
        <v>49</v>
      </c>
    </row>
    <row r="983" spans="1:49">
      <c r="A983" s="6">
        <v>80</v>
      </c>
      <c r="B983" s="6" t="s">
        <v>38</v>
      </c>
      <c r="C983" s="6" t="s">
        <v>49</v>
      </c>
      <c r="D983" s="6" t="s">
        <v>352</v>
      </c>
      <c r="E983" s="6" t="s">
        <v>302</v>
      </c>
      <c r="F983" s="6">
        <v>2002</v>
      </c>
      <c r="G983" s="6" t="s">
        <v>110</v>
      </c>
      <c r="H983" s="6" t="s">
        <v>353</v>
      </c>
      <c r="I983" s="6" t="s">
        <v>354</v>
      </c>
      <c r="J983" s="3" t="s">
        <v>355</v>
      </c>
      <c r="K983" s="6" t="s">
        <v>114</v>
      </c>
      <c r="L983" s="6" t="s">
        <v>46</v>
      </c>
      <c r="M983" s="6" t="s">
        <v>115</v>
      </c>
      <c r="N983" s="6" t="s">
        <v>116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251</v>
      </c>
      <c r="V983" s="6" t="s">
        <v>356</v>
      </c>
      <c r="W983" s="18">
        <v>35.416666999999997</v>
      </c>
      <c r="X983" s="18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358</v>
      </c>
      <c r="AE983" s="6" t="s">
        <v>367</v>
      </c>
      <c r="AF983" s="6" t="s">
        <v>49</v>
      </c>
      <c r="AG983" s="6" t="s">
        <v>49</v>
      </c>
      <c r="AH983" s="6" t="s">
        <v>183</v>
      </c>
      <c r="AI983" s="20" t="s">
        <v>55</v>
      </c>
      <c r="AJ983" s="20" t="s">
        <v>49</v>
      </c>
      <c r="AK983" s="20" t="s">
        <v>49</v>
      </c>
      <c r="AL983" s="20" t="s">
        <v>49</v>
      </c>
      <c r="AM983" s="20" t="s">
        <v>49</v>
      </c>
      <c r="AN983" s="20" t="s">
        <v>49</v>
      </c>
      <c r="AO983" s="20" t="s">
        <v>49</v>
      </c>
      <c r="AP983" s="20">
        <v>0</v>
      </c>
      <c r="AQ983" s="20" t="s">
        <v>49</v>
      </c>
      <c r="AR983" s="6" t="s">
        <v>49</v>
      </c>
      <c r="AS983" s="6">
        <v>1.141</v>
      </c>
      <c r="AT983" s="20" t="s">
        <v>49</v>
      </c>
      <c r="AU983" s="20" t="s">
        <v>49</v>
      </c>
      <c r="AV983" s="20" t="s">
        <v>49</v>
      </c>
      <c r="AW983" s="31" t="s">
        <v>49</v>
      </c>
    </row>
    <row r="984" spans="1:49">
      <c r="A984" s="6">
        <v>80</v>
      </c>
      <c r="B984" s="6" t="s">
        <v>38</v>
      </c>
      <c r="C984" s="6" t="s">
        <v>49</v>
      </c>
      <c r="D984" s="6" t="s">
        <v>352</v>
      </c>
      <c r="E984" s="6" t="s">
        <v>302</v>
      </c>
      <c r="F984" s="6">
        <v>2002</v>
      </c>
      <c r="G984" s="6" t="s">
        <v>110</v>
      </c>
      <c r="H984" s="6" t="s">
        <v>353</v>
      </c>
      <c r="I984" s="6" t="s">
        <v>354</v>
      </c>
      <c r="J984" s="3" t="s">
        <v>355</v>
      </c>
      <c r="K984" s="6" t="s">
        <v>114</v>
      </c>
      <c r="L984" s="6" t="s">
        <v>46</v>
      </c>
      <c r="M984" s="6" t="s">
        <v>115</v>
      </c>
      <c r="N984" s="6" t="s">
        <v>116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251</v>
      </c>
      <c r="V984" s="6" t="s">
        <v>356</v>
      </c>
      <c r="W984" s="18">
        <v>35.416666999999997</v>
      </c>
      <c r="X984" s="18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358</v>
      </c>
      <c r="AE984" s="6" t="s">
        <v>213</v>
      </c>
      <c r="AF984" s="6" t="s">
        <v>49</v>
      </c>
      <c r="AG984" s="6" t="s">
        <v>49</v>
      </c>
      <c r="AH984" s="6" t="s">
        <v>183</v>
      </c>
      <c r="AI984" s="20" t="s">
        <v>55</v>
      </c>
      <c r="AJ984" s="20" t="s">
        <v>49</v>
      </c>
      <c r="AK984" s="20" t="s">
        <v>49</v>
      </c>
      <c r="AL984" s="20" t="s">
        <v>49</v>
      </c>
      <c r="AM984" s="20" t="s">
        <v>49</v>
      </c>
      <c r="AN984" s="20" t="s">
        <v>49</v>
      </c>
      <c r="AO984" s="20" t="s">
        <v>49</v>
      </c>
      <c r="AP984" s="20">
        <v>0</v>
      </c>
      <c r="AQ984" s="20" t="s">
        <v>49</v>
      </c>
      <c r="AR984" s="6" t="s">
        <v>49</v>
      </c>
      <c r="AS984" s="6">
        <v>-1.155</v>
      </c>
      <c r="AT984" s="20" t="s">
        <v>49</v>
      </c>
      <c r="AU984" s="20" t="s">
        <v>49</v>
      </c>
      <c r="AV984" s="20" t="s">
        <v>49</v>
      </c>
      <c r="AW984" s="31" t="s">
        <v>49</v>
      </c>
    </row>
    <row r="985" spans="1:49">
      <c r="A985" s="6">
        <v>80</v>
      </c>
      <c r="B985" s="6" t="s">
        <v>38</v>
      </c>
      <c r="C985" s="6" t="s">
        <v>49</v>
      </c>
      <c r="D985" s="6" t="s">
        <v>352</v>
      </c>
      <c r="E985" s="6" t="s">
        <v>302</v>
      </c>
      <c r="F985" s="6">
        <v>2002</v>
      </c>
      <c r="G985" s="6" t="s">
        <v>110</v>
      </c>
      <c r="H985" s="6" t="s">
        <v>353</v>
      </c>
      <c r="I985" s="6" t="s">
        <v>354</v>
      </c>
      <c r="J985" s="3" t="s">
        <v>355</v>
      </c>
      <c r="K985" s="6" t="s">
        <v>114</v>
      </c>
      <c r="L985" s="6" t="s">
        <v>46</v>
      </c>
      <c r="M985" s="6" t="s">
        <v>115</v>
      </c>
      <c r="N985" s="6" t="s">
        <v>116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251</v>
      </c>
      <c r="V985" s="6" t="s">
        <v>356</v>
      </c>
      <c r="W985" s="18">
        <v>35.416666999999997</v>
      </c>
      <c r="X985" s="18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359</v>
      </c>
      <c r="AE985" s="6" t="s">
        <v>347</v>
      </c>
      <c r="AF985" s="6" t="s">
        <v>49</v>
      </c>
      <c r="AG985" s="6" t="s">
        <v>49</v>
      </c>
      <c r="AH985" s="6" t="s">
        <v>183</v>
      </c>
      <c r="AI985" s="20" t="s">
        <v>55</v>
      </c>
      <c r="AJ985" s="20" t="s">
        <v>49</v>
      </c>
      <c r="AK985" s="20" t="s">
        <v>49</v>
      </c>
      <c r="AL985" s="20" t="s">
        <v>49</v>
      </c>
      <c r="AM985" s="20" t="s">
        <v>49</v>
      </c>
      <c r="AN985" s="20" t="s">
        <v>49</v>
      </c>
      <c r="AO985" s="20" t="s">
        <v>49</v>
      </c>
      <c r="AP985" s="20">
        <v>0</v>
      </c>
      <c r="AQ985" s="20" t="s">
        <v>49</v>
      </c>
      <c r="AR985" s="6" t="s">
        <v>49</v>
      </c>
      <c r="AS985" s="6">
        <v>-42</v>
      </c>
      <c r="AT985" s="20" t="s">
        <v>49</v>
      </c>
      <c r="AU985" s="20" t="s">
        <v>49</v>
      </c>
      <c r="AV985" s="20" t="s">
        <v>49</v>
      </c>
      <c r="AW985" s="31" t="s">
        <v>49</v>
      </c>
    </row>
    <row r="986" spans="1:49">
      <c r="A986" s="6">
        <v>80</v>
      </c>
      <c r="B986" s="6" t="s">
        <v>38</v>
      </c>
      <c r="C986" s="6" t="s">
        <v>49</v>
      </c>
      <c r="D986" s="6" t="s">
        <v>352</v>
      </c>
      <c r="E986" s="6" t="s">
        <v>302</v>
      </c>
      <c r="F986" s="6">
        <v>2002</v>
      </c>
      <c r="G986" s="6" t="s">
        <v>110</v>
      </c>
      <c r="H986" s="6" t="s">
        <v>353</v>
      </c>
      <c r="I986" s="6" t="s">
        <v>354</v>
      </c>
      <c r="J986" s="3" t="s">
        <v>355</v>
      </c>
      <c r="K986" s="6" t="s">
        <v>114</v>
      </c>
      <c r="L986" s="6" t="s">
        <v>46</v>
      </c>
      <c r="M986" s="6" t="s">
        <v>115</v>
      </c>
      <c r="N986" s="6" t="s">
        <v>116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251</v>
      </c>
      <c r="V986" s="6" t="s">
        <v>356</v>
      </c>
      <c r="W986" s="18">
        <v>35.416666999999997</v>
      </c>
      <c r="X986" s="18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359</v>
      </c>
      <c r="AE986" s="6" t="s">
        <v>367</v>
      </c>
      <c r="AF986" s="6" t="s">
        <v>49</v>
      </c>
      <c r="AG986" s="6" t="s">
        <v>49</v>
      </c>
      <c r="AH986" s="6" t="s">
        <v>183</v>
      </c>
      <c r="AI986" s="20" t="s">
        <v>55</v>
      </c>
      <c r="AJ986" s="20" t="s">
        <v>49</v>
      </c>
      <c r="AK986" s="20" t="s">
        <v>49</v>
      </c>
      <c r="AL986" s="20" t="s">
        <v>49</v>
      </c>
      <c r="AM986" s="20" t="s">
        <v>49</v>
      </c>
      <c r="AN986" s="20" t="s">
        <v>49</v>
      </c>
      <c r="AO986" s="20" t="s">
        <v>49</v>
      </c>
      <c r="AP986" s="20">
        <v>0</v>
      </c>
      <c r="AQ986" s="20" t="s">
        <v>49</v>
      </c>
      <c r="AR986" s="6" t="s">
        <v>49</v>
      </c>
      <c r="AS986" s="6">
        <v>0.14099999999999999</v>
      </c>
      <c r="AT986" s="20" t="s">
        <v>49</v>
      </c>
      <c r="AU986" s="20" t="s">
        <v>49</v>
      </c>
      <c r="AV986" s="20" t="s">
        <v>49</v>
      </c>
      <c r="AW986" s="31" t="s">
        <v>49</v>
      </c>
    </row>
    <row r="987" spans="1:49">
      <c r="A987" s="6">
        <v>80</v>
      </c>
      <c r="B987" s="6" t="s">
        <v>38</v>
      </c>
      <c r="C987" s="6" t="s">
        <v>49</v>
      </c>
      <c r="D987" s="6" t="s">
        <v>352</v>
      </c>
      <c r="E987" s="6" t="s">
        <v>302</v>
      </c>
      <c r="F987" s="6">
        <v>2002</v>
      </c>
      <c r="G987" s="6" t="s">
        <v>110</v>
      </c>
      <c r="H987" s="6" t="s">
        <v>353</v>
      </c>
      <c r="I987" s="6" t="s">
        <v>354</v>
      </c>
      <c r="J987" s="3" t="s">
        <v>355</v>
      </c>
      <c r="K987" s="6" t="s">
        <v>114</v>
      </c>
      <c r="L987" s="6" t="s">
        <v>46</v>
      </c>
      <c r="M987" s="6" t="s">
        <v>115</v>
      </c>
      <c r="N987" s="6" t="s">
        <v>116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251</v>
      </c>
      <c r="V987" s="6" t="s">
        <v>356</v>
      </c>
      <c r="W987" s="18">
        <v>35.416666999999997</v>
      </c>
      <c r="X987" s="18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359</v>
      </c>
      <c r="AE987" s="6" t="s">
        <v>213</v>
      </c>
      <c r="AF987" s="6" t="s">
        <v>49</v>
      </c>
      <c r="AG987" s="6" t="s">
        <v>49</v>
      </c>
      <c r="AH987" s="6" t="s">
        <v>183</v>
      </c>
      <c r="AI987" s="20" t="s">
        <v>55</v>
      </c>
      <c r="AJ987" s="20" t="s">
        <v>49</v>
      </c>
      <c r="AK987" s="20" t="s">
        <v>49</v>
      </c>
      <c r="AL987" s="20" t="s">
        <v>49</v>
      </c>
      <c r="AM987" s="20" t="s">
        <v>49</v>
      </c>
      <c r="AN987" s="20" t="s">
        <v>49</v>
      </c>
      <c r="AO987" s="20" t="s">
        <v>49</v>
      </c>
      <c r="AP987" s="20">
        <v>0</v>
      </c>
      <c r="AQ987" s="20" t="s">
        <v>49</v>
      </c>
      <c r="AR987" s="6" t="s">
        <v>49</v>
      </c>
      <c r="AS987" s="6">
        <v>-1.2749999999999999</v>
      </c>
      <c r="AT987" s="20" t="s">
        <v>49</v>
      </c>
      <c r="AU987" s="20" t="s">
        <v>49</v>
      </c>
      <c r="AV987" s="20" t="s">
        <v>49</v>
      </c>
      <c r="AW987" s="31" t="s">
        <v>49</v>
      </c>
    </row>
    <row r="988" spans="1:49">
      <c r="A988" s="6">
        <v>80</v>
      </c>
      <c r="B988" s="6" t="s">
        <v>38</v>
      </c>
      <c r="C988" s="6" t="s">
        <v>49</v>
      </c>
      <c r="D988" s="6" t="s">
        <v>352</v>
      </c>
      <c r="E988" s="6" t="s">
        <v>302</v>
      </c>
      <c r="F988" s="6">
        <v>2002</v>
      </c>
      <c r="G988" s="6" t="s">
        <v>110</v>
      </c>
      <c r="H988" s="6" t="s">
        <v>353</v>
      </c>
      <c r="I988" s="6" t="s">
        <v>354</v>
      </c>
      <c r="J988" s="3" t="s">
        <v>355</v>
      </c>
      <c r="K988" s="6" t="s">
        <v>114</v>
      </c>
      <c r="L988" s="6" t="s">
        <v>46</v>
      </c>
      <c r="M988" s="6" t="s">
        <v>115</v>
      </c>
      <c r="N988" s="6" t="s">
        <v>116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251</v>
      </c>
      <c r="V988" s="6" t="s">
        <v>356</v>
      </c>
      <c r="W988" s="18">
        <v>35.416666999999997</v>
      </c>
      <c r="X988" s="18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347</v>
      </c>
      <c r="AE988" s="6" t="s">
        <v>367</v>
      </c>
      <c r="AF988" s="6" t="s">
        <v>49</v>
      </c>
      <c r="AG988" s="6" t="s">
        <v>49</v>
      </c>
      <c r="AH988" s="6" t="s">
        <v>183</v>
      </c>
      <c r="AI988" s="20" t="s">
        <v>55</v>
      </c>
      <c r="AJ988" s="20" t="s">
        <v>49</v>
      </c>
      <c r="AK988" s="20" t="s">
        <v>49</v>
      </c>
      <c r="AL988" s="20" t="s">
        <v>49</v>
      </c>
      <c r="AM988" s="20" t="s">
        <v>49</v>
      </c>
      <c r="AN988" s="20" t="s">
        <v>49</v>
      </c>
      <c r="AO988" s="20" t="s">
        <v>49</v>
      </c>
      <c r="AP988" s="20">
        <v>0</v>
      </c>
      <c r="AQ988" s="20" t="s">
        <v>49</v>
      </c>
      <c r="AR988" s="6" t="s">
        <v>49</v>
      </c>
      <c r="AS988" s="6">
        <v>16.276</v>
      </c>
      <c r="AT988" s="20" t="s">
        <v>49</v>
      </c>
      <c r="AU988" s="20" t="s">
        <v>49</v>
      </c>
      <c r="AV988" s="20" t="s">
        <v>49</v>
      </c>
      <c r="AW988" s="31" t="s">
        <v>49</v>
      </c>
    </row>
    <row r="989" spans="1:49">
      <c r="A989" s="6">
        <v>80</v>
      </c>
      <c r="B989" s="6" t="s">
        <v>38</v>
      </c>
      <c r="C989" s="6" t="s">
        <v>49</v>
      </c>
      <c r="D989" s="6" t="s">
        <v>352</v>
      </c>
      <c r="E989" s="6" t="s">
        <v>302</v>
      </c>
      <c r="F989" s="6">
        <v>2002</v>
      </c>
      <c r="G989" s="6" t="s">
        <v>110</v>
      </c>
      <c r="H989" s="6" t="s">
        <v>353</v>
      </c>
      <c r="I989" s="6" t="s">
        <v>354</v>
      </c>
      <c r="J989" s="3" t="s">
        <v>355</v>
      </c>
      <c r="K989" s="6" t="s">
        <v>114</v>
      </c>
      <c r="L989" s="6" t="s">
        <v>46</v>
      </c>
      <c r="M989" s="6" t="s">
        <v>115</v>
      </c>
      <c r="N989" s="6" t="s">
        <v>116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251</v>
      </c>
      <c r="V989" s="6" t="s">
        <v>356</v>
      </c>
      <c r="W989" s="18">
        <v>35.416666999999997</v>
      </c>
      <c r="X989" s="18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347</v>
      </c>
      <c r="AE989" s="6" t="s">
        <v>213</v>
      </c>
      <c r="AF989" s="6" t="s">
        <v>49</v>
      </c>
      <c r="AG989" s="6" t="s">
        <v>49</v>
      </c>
      <c r="AH989" s="6" t="s">
        <v>183</v>
      </c>
      <c r="AI989" s="20" t="s">
        <v>55</v>
      </c>
      <c r="AJ989" s="20" t="s">
        <v>49</v>
      </c>
      <c r="AK989" s="20" t="s">
        <v>49</v>
      </c>
      <c r="AL989" s="20" t="s">
        <v>49</v>
      </c>
      <c r="AM989" s="20" t="s">
        <v>49</v>
      </c>
      <c r="AN989" s="20" t="s">
        <v>49</v>
      </c>
      <c r="AO989" s="20" t="s">
        <v>49</v>
      </c>
      <c r="AP989" s="20">
        <v>0</v>
      </c>
      <c r="AQ989" s="20" t="s">
        <v>49</v>
      </c>
      <c r="AR989" s="6" t="s">
        <v>49</v>
      </c>
      <c r="AS989" s="6">
        <v>-1.575</v>
      </c>
      <c r="AT989" s="20" t="s">
        <v>49</v>
      </c>
      <c r="AU989" s="20" t="s">
        <v>49</v>
      </c>
      <c r="AV989" s="20" t="s">
        <v>49</v>
      </c>
      <c r="AW989" s="31" t="s">
        <v>49</v>
      </c>
    </row>
    <row r="990" spans="1:49">
      <c r="A990" s="6">
        <v>80</v>
      </c>
      <c r="B990" s="6" t="s">
        <v>38</v>
      </c>
      <c r="C990" s="6" t="s">
        <v>49</v>
      </c>
      <c r="D990" s="6" t="s">
        <v>352</v>
      </c>
      <c r="E990" s="6" t="s">
        <v>302</v>
      </c>
      <c r="F990" s="6">
        <v>2002</v>
      </c>
      <c r="G990" s="6" t="s">
        <v>110</v>
      </c>
      <c r="H990" s="6" t="s">
        <v>353</v>
      </c>
      <c r="I990" s="6" t="s">
        <v>354</v>
      </c>
      <c r="J990" s="3" t="s">
        <v>355</v>
      </c>
      <c r="K990" s="6" t="s">
        <v>114</v>
      </c>
      <c r="L990" s="6" t="s">
        <v>46</v>
      </c>
      <c r="M990" s="6" t="s">
        <v>115</v>
      </c>
      <c r="N990" s="6" t="s">
        <v>116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251</v>
      </c>
      <c r="V990" s="6" t="s">
        <v>356</v>
      </c>
      <c r="W990" s="18">
        <v>35.416666999999997</v>
      </c>
      <c r="X990" s="18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367</v>
      </c>
      <c r="AE990" s="6" t="s">
        <v>213</v>
      </c>
      <c r="AF990" s="6" t="s">
        <v>49</v>
      </c>
      <c r="AG990" s="6" t="s">
        <v>49</v>
      </c>
      <c r="AH990" s="6" t="s">
        <v>183</v>
      </c>
      <c r="AI990" s="20" t="s">
        <v>55</v>
      </c>
      <c r="AJ990" s="20" t="s">
        <v>49</v>
      </c>
      <c r="AK990" s="20" t="s">
        <v>49</v>
      </c>
      <c r="AL990" s="20" t="s">
        <v>49</v>
      </c>
      <c r="AM990" s="20" t="s">
        <v>49</v>
      </c>
      <c r="AN990" s="20" t="s">
        <v>49</v>
      </c>
      <c r="AO990" s="20" t="s">
        <v>49</v>
      </c>
      <c r="AP990" s="20">
        <v>0</v>
      </c>
      <c r="AQ990" s="20" t="s">
        <v>49</v>
      </c>
      <c r="AR990" s="6" t="s">
        <v>49</v>
      </c>
      <c r="AS990" s="6">
        <v>0.28000000000000003</v>
      </c>
      <c r="AT990" s="20" t="s">
        <v>49</v>
      </c>
      <c r="AU990" s="20" t="s">
        <v>49</v>
      </c>
      <c r="AV990" s="20" t="s">
        <v>49</v>
      </c>
      <c r="AW990" s="31" t="s">
        <v>49</v>
      </c>
    </row>
    <row r="991" spans="1:49">
      <c r="A991" s="6">
        <v>80</v>
      </c>
      <c r="B991" s="6" t="s">
        <v>38</v>
      </c>
      <c r="C991" s="6" t="s">
        <v>49</v>
      </c>
      <c r="D991" s="6" t="s">
        <v>352</v>
      </c>
      <c r="E991" s="6" t="s">
        <v>302</v>
      </c>
      <c r="F991" s="6">
        <v>2002</v>
      </c>
      <c r="G991" s="6" t="s">
        <v>110</v>
      </c>
      <c r="H991" s="6" t="s">
        <v>353</v>
      </c>
      <c r="I991" s="6" t="s">
        <v>354</v>
      </c>
      <c r="J991" s="3" t="s">
        <v>355</v>
      </c>
      <c r="K991" s="6" t="s">
        <v>114</v>
      </c>
      <c r="L991" s="6" t="s">
        <v>46</v>
      </c>
      <c r="M991" s="6" t="s">
        <v>115</v>
      </c>
      <c r="N991" s="6" t="s">
        <v>116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251</v>
      </c>
      <c r="V991" s="6" t="s">
        <v>362</v>
      </c>
      <c r="W991" s="23">
        <v>35.450000000000003</v>
      </c>
      <c r="X991" s="23">
        <v>23.666667</v>
      </c>
      <c r="Y991" s="6" t="s">
        <v>48</v>
      </c>
      <c r="Z991" s="6" t="s">
        <v>49</v>
      </c>
      <c r="AA991" s="6" t="s">
        <v>127</v>
      </c>
      <c r="AB991" s="6" t="s">
        <v>239</v>
      </c>
      <c r="AC991" s="6" t="s">
        <v>240</v>
      </c>
      <c r="AD991" s="6" t="s">
        <v>240</v>
      </c>
      <c r="AE991" s="6" t="s">
        <v>240</v>
      </c>
      <c r="AF991" s="6" t="s">
        <v>60</v>
      </c>
      <c r="AG991" s="6" t="s">
        <v>61</v>
      </c>
      <c r="AH991" s="6" t="s">
        <v>183</v>
      </c>
      <c r="AI991" s="20" t="s">
        <v>55</v>
      </c>
      <c r="AJ991" s="20">
        <v>32</v>
      </c>
      <c r="AK991" s="20">
        <f>AJ991*2*4</f>
        <v>256</v>
      </c>
      <c r="AL991" s="20">
        <f>AS991/AN991</f>
        <v>0.23526077097505671</v>
      </c>
      <c r="AM991" s="24">
        <v>21.23095</v>
      </c>
      <c r="AN991" s="19">
        <v>8.1143999999999998</v>
      </c>
      <c r="AO991" s="20" t="s">
        <v>49</v>
      </c>
      <c r="AP991" s="20">
        <v>0</v>
      </c>
      <c r="AQ991" s="20" t="s">
        <v>49</v>
      </c>
      <c r="AR991" s="6" t="s">
        <v>49</v>
      </c>
      <c r="AS991" s="20">
        <v>1.909</v>
      </c>
      <c r="AT991" s="20">
        <f>AS991/(AM991^2)*100</f>
        <v>0.42351331936808528</v>
      </c>
      <c r="AU991" s="20">
        <v>0</v>
      </c>
      <c r="AV991" s="4">
        <f>AT991*(1-AL991)/AL991</f>
        <v>1.3766734164519203</v>
      </c>
      <c r="AW991" s="31" t="s">
        <v>366</v>
      </c>
    </row>
    <row r="992" spans="1:49">
      <c r="A992" s="6">
        <v>80</v>
      </c>
      <c r="B992" s="6" t="s">
        <v>38</v>
      </c>
      <c r="C992" s="6" t="s">
        <v>49</v>
      </c>
      <c r="D992" s="6" t="s">
        <v>352</v>
      </c>
      <c r="E992" s="6" t="s">
        <v>302</v>
      </c>
      <c r="F992" s="6">
        <v>2002</v>
      </c>
      <c r="G992" s="6" t="s">
        <v>110</v>
      </c>
      <c r="H992" s="6" t="s">
        <v>353</v>
      </c>
      <c r="I992" s="6" t="s">
        <v>354</v>
      </c>
      <c r="J992" s="3" t="s">
        <v>355</v>
      </c>
      <c r="K992" s="6" t="s">
        <v>114</v>
      </c>
      <c r="L992" s="6" t="s">
        <v>46</v>
      </c>
      <c r="M992" s="6" t="s">
        <v>115</v>
      </c>
      <c r="N992" s="6" t="s">
        <v>116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251</v>
      </c>
      <c r="V992" s="6" t="s">
        <v>362</v>
      </c>
      <c r="W992" s="23">
        <v>35.450000000000003</v>
      </c>
      <c r="X992" s="23">
        <v>23.666667</v>
      </c>
      <c r="Y992" s="6" t="s">
        <v>48</v>
      </c>
      <c r="Z992" s="6" t="s">
        <v>49</v>
      </c>
      <c r="AA992" s="6" t="s">
        <v>127</v>
      </c>
      <c r="AB992" s="6" t="s">
        <v>292</v>
      </c>
      <c r="AC992" s="6" t="s">
        <v>360</v>
      </c>
      <c r="AD992" s="6" t="s">
        <v>357</v>
      </c>
      <c r="AE992" s="6" t="s">
        <v>357</v>
      </c>
      <c r="AF992" s="6" t="s">
        <v>60</v>
      </c>
      <c r="AG992" s="6" t="s">
        <v>60</v>
      </c>
      <c r="AH992" s="6" t="s">
        <v>183</v>
      </c>
      <c r="AI992" s="20" t="s">
        <v>55</v>
      </c>
      <c r="AJ992" s="20">
        <v>32</v>
      </c>
      <c r="AK992" s="20">
        <f>AJ992*2*4</f>
        <v>256</v>
      </c>
      <c r="AL992" s="20">
        <f t="shared" ref="AL992:AL997" si="77">AS992/AN992</f>
        <v>0.44542951172006179</v>
      </c>
      <c r="AM992" s="24">
        <v>11.837999999999999</v>
      </c>
      <c r="AN992" s="19">
        <v>7.4444999999999997</v>
      </c>
      <c r="AO992" s="20" t="s">
        <v>49</v>
      </c>
      <c r="AP992" s="20">
        <v>0</v>
      </c>
      <c r="AQ992" s="20" t="s">
        <v>49</v>
      </c>
      <c r="AR992" s="6" t="s">
        <v>49</v>
      </c>
      <c r="AS992" s="20">
        <v>3.3159999999999998</v>
      </c>
      <c r="AT992" s="20">
        <f t="shared" ref="AT992:AT997" si="78">AS992/(AM992^2)*100</f>
        <v>2.3662348730443634</v>
      </c>
      <c r="AU992" s="20">
        <v>0</v>
      </c>
      <c r="AV992" s="4">
        <f t="shared" ref="AV992:AV997" si="79">AT992*(1-AL992)/AL992</f>
        <v>2.9460195034269163</v>
      </c>
      <c r="AW992" s="31" t="s">
        <v>366</v>
      </c>
    </row>
    <row r="993" spans="1:49">
      <c r="A993" s="6">
        <v>80</v>
      </c>
      <c r="B993" s="6" t="s">
        <v>38</v>
      </c>
      <c r="C993" s="6" t="s">
        <v>49</v>
      </c>
      <c r="D993" s="6" t="s">
        <v>352</v>
      </c>
      <c r="E993" s="6" t="s">
        <v>302</v>
      </c>
      <c r="F993" s="6">
        <v>2002</v>
      </c>
      <c r="G993" s="6" t="s">
        <v>110</v>
      </c>
      <c r="H993" s="6" t="s">
        <v>353</v>
      </c>
      <c r="I993" s="6" t="s">
        <v>354</v>
      </c>
      <c r="J993" s="3" t="s">
        <v>355</v>
      </c>
      <c r="K993" s="6" t="s">
        <v>114</v>
      </c>
      <c r="L993" s="6" t="s">
        <v>46</v>
      </c>
      <c r="M993" s="6" t="s">
        <v>115</v>
      </c>
      <c r="N993" s="6" t="s">
        <v>116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251</v>
      </c>
      <c r="V993" s="6" t="s">
        <v>362</v>
      </c>
      <c r="W993" s="23">
        <v>35.450000000000003</v>
      </c>
      <c r="X993" s="23">
        <v>23.666667</v>
      </c>
      <c r="Y993" s="6" t="s">
        <v>48</v>
      </c>
      <c r="Z993" s="6" t="s">
        <v>49</v>
      </c>
      <c r="AA993" s="6" t="s">
        <v>127</v>
      </c>
      <c r="AB993" s="6" t="s">
        <v>241</v>
      </c>
      <c r="AC993" s="6" t="s">
        <v>361</v>
      </c>
      <c r="AD993" s="6" t="s">
        <v>358</v>
      </c>
      <c r="AE993" s="6" t="s">
        <v>358</v>
      </c>
      <c r="AF993" s="6" t="s">
        <v>60</v>
      </c>
      <c r="AG993" s="6" t="s">
        <v>53</v>
      </c>
      <c r="AH993" s="6" t="s">
        <v>183</v>
      </c>
      <c r="AI993" s="20" t="s">
        <v>55</v>
      </c>
      <c r="AJ993" s="20">
        <v>32</v>
      </c>
      <c r="AK993" s="20">
        <f t="shared" ref="AK993:AK997" si="80">AJ993*2*4</f>
        <v>256</v>
      </c>
      <c r="AL993" s="20">
        <f t="shared" si="77"/>
        <v>0.53425140813372096</v>
      </c>
      <c r="AM993" s="24">
        <v>68.312799999999996</v>
      </c>
      <c r="AN993" s="19">
        <v>82.200999999999993</v>
      </c>
      <c r="AO993" s="20" t="s">
        <v>49</v>
      </c>
      <c r="AP993" s="20">
        <v>0</v>
      </c>
      <c r="AQ993" s="20" t="s">
        <v>49</v>
      </c>
      <c r="AR993" s="6" t="s">
        <v>49</v>
      </c>
      <c r="AS993" s="20">
        <v>43.915999999999997</v>
      </c>
      <c r="AT993" s="20">
        <f t="shared" si="78"/>
        <v>0.94106279383704727</v>
      </c>
      <c r="AU993" s="20">
        <v>0</v>
      </c>
      <c r="AV993" s="4">
        <f t="shared" si="79"/>
        <v>0.82039778354247561</v>
      </c>
      <c r="AW993" s="31" t="s">
        <v>366</v>
      </c>
    </row>
    <row r="994" spans="1:49">
      <c r="A994" s="6">
        <v>80</v>
      </c>
      <c r="B994" s="6" t="s">
        <v>38</v>
      </c>
      <c r="C994" s="6" t="s">
        <v>49</v>
      </c>
      <c r="D994" s="6" t="s">
        <v>352</v>
      </c>
      <c r="E994" s="6" t="s">
        <v>302</v>
      </c>
      <c r="F994" s="6">
        <v>2002</v>
      </c>
      <c r="G994" s="6" t="s">
        <v>110</v>
      </c>
      <c r="H994" s="6" t="s">
        <v>353</v>
      </c>
      <c r="I994" s="6" t="s">
        <v>354</v>
      </c>
      <c r="J994" s="3" t="s">
        <v>355</v>
      </c>
      <c r="K994" s="6" t="s">
        <v>114</v>
      </c>
      <c r="L994" s="6" t="s">
        <v>46</v>
      </c>
      <c r="M994" s="6" t="s">
        <v>115</v>
      </c>
      <c r="N994" s="6" t="s">
        <v>116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251</v>
      </c>
      <c r="V994" s="6" t="s">
        <v>362</v>
      </c>
      <c r="W994" s="23">
        <v>35.450000000000003</v>
      </c>
      <c r="X994" s="23">
        <v>23.666667</v>
      </c>
      <c r="Y994" s="6" t="s">
        <v>48</v>
      </c>
      <c r="Z994" s="6" t="s">
        <v>49</v>
      </c>
      <c r="AA994" s="6" t="s">
        <v>127</v>
      </c>
      <c r="AB994" s="6" t="s">
        <v>241</v>
      </c>
      <c r="AC994" s="6" t="s">
        <v>361</v>
      </c>
      <c r="AD994" s="6" t="s">
        <v>359</v>
      </c>
      <c r="AE994" s="6" t="s">
        <v>359</v>
      </c>
      <c r="AF994" s="6" t="s">
        <v>60</v>
      </c>
      <c r="AG994" s="6" t="s">
        <v>60</v>
      </c>
      <c r="AH994" s="6" t="s">
        <v>183</v>
      </c>
      <c r="AI994" s="20" t="s">
        <v>55</v>
      </c>
      <c r="AJ994" s="20">
        <v>32</v>
      </c>
      <c r="AK994" s="20">
        <f t="shared" si="80"/>
        <v>256</v>
      </c>
      <c r="AL994" s="20">
        <f t="shared" si="77"/>
        <v>0.27565160838461156</v>
      </c>
      <c r="AM994" s="24">
        <v>4.5708000000000002</v>
      </c>
      <c r="AN994" s="19">
        <v>3.9977999999999998</v>
      </c>
      <c r="AO994" s="20" t="s">
        <v>49</v>
      </c>
      <c r="AP994" s="20">
        <v>0</v>
      </c>
      <c r="AQ994" s="20" t="s">
        <v>49</v>
      </c>
      <c r="AR994" s="6" t="s">
        <v>49</v>
      </c>
      <c r="AS994" s="20">
        <v>1.1020000000000001</v>
      </c>
      <c r="AT994" s="20">
        <f t="shared" si="78"/>
        <v>5.2746926282481104</v>
      </c>
      <c r="AU994" s="20">
        <v>0</v>
      </c>
      <c r="AV994" s="4">
        <f t="shared" si="79"/>
        <v>13.860666890091538</v>
      </c>
      <c r="AW994" s="31" t="s">
        <v>366</v>
      </c>
    </row>
    <row r="995" spans="1:49">
      <c r="A995" s="6">
        <v>80</v>
      </c>
      <c r="B995" s="6" t="s">
        <v>38</v>
      </c>
      <c r="C995" s="6" t="s">
        <v>49</v>
      </c>
      <c r="D995" s="6" t="s">
        <v>352</v>
      </c>
      <c r="E995" s="6" t="s">
        <v>302</v>
      </c>
      <c r="F995" s="6">
        <v>2002</v>
      </c>
      <c r="G995" s="6" t="s">
        <v>110</v>
      </c>
      <c r="H995" s="6" t="s">
        <v>353</v>
      </c>
      <c r="I995" s="6" t="s">
        <v>354</v>
      </c>
      <c r="J995" s="3" t="s">
        <v>355</v>
      </c>
      <c r="K995" s="6" t="s">
        <v>114</v>
      </c>
      <c r="L995" s="6" t="s">
        <v>46</v>
      </c>
      <c r="M995" s="6" t="s">
        <v>115</v>
      </c>
      <c r="N995" s="6" t="s">
        <v>116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251</v>
      </c>
      <c r="V995" s="6" t="s">
        <v>362</v>
      </c>
      <c r="W995" s="23">
        <v>35.450000000000003</v>
      </c>
      <c r="X995" s="23">
        <v>23.666667</v>
      </c>
      <c r="Y995" s="6" t="s">
        <v>48</v>
      </c>
      <c r="Z995" s="6" t="s">
        <v>49</v>
      </c>
      <c r="AA995" s="6" t="s">
        <v>94</v>
      </c>
      <c r="AB995" s="6" t="s">
        <v>349</v>
      </c>
      <c r="AC995" s="6" t="s">
        <v>349</v>
      </c>
      <c r="AD995" s="6" t="s">
        <v>347</v>
      </c>
      <c r="AE995" s="6" t="s">
        <v>347</v>
      </c>
      <c r="AF995" s="6" t="s">
        <v>60</v>
      </c>
      <c r="AG995" s="6" t="s">
        <v>53</v>
      </c>
      <c r="AH995" s="6" t="s">
        <v>183</v>
      </c>
      <c r="AI995" s="20" t="s">
        <v>55</v>
      </c>
      <c r="AJ995" s="20">
        <v>32</v>
      </c>
      <c r="AK995" s="20">
        <f t="shared" si="80"/>
        <v>256</v>
      </c>
      <c r="AL995" s="20">
        <f t="shared" si="77"/>
        <v>0.47762367082755436</v>
      </c>
      <c r="AM995" s="24">
        <v>175.9956</v>
      </c>
      <c r="AN995" s="19">
        <v>1297.8</v>
      </c>
      <c r="AO995" s="20" t="s">
        <v>49</v>
      </c>
      <c r="AP995" s="20">
        <v>0</v>
      </c>
      <c r="AQ995" s="20" t="s">
        <v>49</v>
      </c>
      <c r="AR995" s="6" t="s">
        <v>49</v>
      </c>
      <c r="AS995" s="20">
        <v>619.86</v>
      </c>
      <c r="AT995" s="20">
        <f t="shared" si="78"/>
        <v>2.0011976826003237</v>
      </c>
      <c r="AU995" s="20">
        <v>0</v>
      </c>
      <c r="AV995" s="4">
        <f t="shared" si="79"/>
        <v>2.1887070579518979</v>
      </c>
      <c r="AW995" s="31" t="s">
        <v>366</v>
      </c>
    </row>
    <row r="996" spans="1:49">
      <c r="A996" s="6">
        <v>80</v>
      </c>
      <c r="B996" s="6" t="s">
        <v>38</v>
      </c>
      <c r="C996" s="6" t="s">
        <v>49</v>
      </c>
      <c r="D996" s="6" t="s">
        <v>352</v>
      </c>
      <c r="E996" s="6" t="s">
        <v>302</v>
      </c>
      <c r="F996" s="6">
        <v>2002</v>
      </c>
      <c r="G996" s="6" t="s">
        <v>110</v>
      </c>
      <c r="H996" s="6" t="s">
        <v>353</v>
      </c>
      <c r="I996" s="6" t="s">
        <v>354</v>
      </c>
      <c r="J996" s="3" t="s">
        <v>355</v>
      </c>
      <c r="K996" s="6" t="s">
        <v>114</v>
      </c>
      <c r="L996" s="6" t="s">
        <v>46</v>
      </c>
      <c r="M996" s="6" t="s">
        <v>115</v>
      </c>
      <c r="N996" s="6" t="s">
        <v>116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251</v>
      </c>
      <c r="V996" s="6" t="s">
        <v>362</v>
      </c>
      <c r="W996" s="23">
        <v>35.450000000000003</v>
      </c>
      <c r="X996" s="23">
        <v>23.666667</v>
      </c>
      <c r="Y996" s="6" t="s">
        <v>48</v>
      </c>
      <c r="Z996" s="6" t="s">
        <v>49</v>
      </c>
      <c r="AA996" s="6" t="s">
        <v>50</v>
      </c>
      <c r="AB996" s="6" t="s">
        <v>51</v>
      </c>
      <c r="AC996" s="6" t="s">
        <v>350</v>
      </c>
      <c r="AD996" s="6" t="s">
        <v>367</v>
      </c>
      <c r="AE996" s="6" t="s">
        <v>367</v>
      </c>
      <c r="AF996" s="6" t="s">
        <v>60</v>
      </c>
      <c r="AG996" s="6" t="s">
        <v>53</v>
      </c>
      <c r="AH996" s="6" t="s">
        <v>183</v>
      </c>
      <c r="AI996" s="20" t="s">
        <v>55</v>
      </c>
      <c r="AJ996" s="20">
        <v>32</v>
      </c>
      <c r="AK996" s="20">
        <f t="shared" si="80"/>
        <v>256</v>
      </c>
      <c r="AL996" s="20">
        <f t="shared" si="77"/>
        <v>0.42737385504465608</v>
      </c>
      <c r="AM996" s="24">
        <v>6.6756000000000002</v>
      </c>
      <c r="AN996" s="19">
        <v>8.7558000000000007</v>
      </c>
      <c r="AO996" s="20" t="s">
        <v>49</v>
      </c>
      <c r="AP996" s="20">
        <v>0</v>
      </c>
      <c r="AQ996" s="20" t="s">
        <v>49</v>
      </c>
      <c r="AR996" s="6" t="s">
        <v>49</v>
      </c>
      <c r="AS996" s="20">
        <v>3.742</v>
      </c>
      <c r="AT996" s="20">
        <f t="shared" si="78"/>
        <v>8.3969810132653429</v>
      </c>
      <c r="AU996" s="20">
        <v>0</v>
      </c>
      <c r="AV996" s="4">
        <f t="shared" si="79"/>
        <v>11.250877446368195</v>
      </c>
      <c r="AW996" s="31" t="s">
        <v>366</v>
      </c>
    </row>
    <row r="997" spans="1:49">
      <c r="A997" s="6">
        <v>80</v>
      </c>
      <c r="B997" s="6" t="s">
        <v>38</v>
      </c>
      <c r="C997" s="6" t="s">
        <v>49</v>
      </c>
      <c r="D997" s="6" t="s">
        <v>352</v>
      </c>
      <c r="E997" s="6" t="s">
        <v>302</v>
      </c>
      <c r="F997" s="6">
        <v>2002</v>
      </c>
      <c r="G997" s="6" t="s">
        <v>110</v>
      </c>
      <c r="H997" s="6" t="s">
        <v>353</v>
      </c>
      <c r="I997" s="6" t="s">
        <v>354</v>
      </c>
      <c r="J997" s="3" t="s">
        <v>355</v>
      </c>
      <c r="K997" s="6" t="s">
        <v>114</v>
      </c>
      <c r="L997" s="6" t="s">
        <v>46</v>
      </c>
      <c r="M997" s="6" t="s">
        <v>115</v>
      </c>
      <c r="N997" s="6" t="s">
        <v>116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251</v>
      </c>
      <c r="V997" s="6" t="s">
        <v>362</v>
      </c>
      <c r="W997" s="23">
        <v>35.450000000000003</v>
      </c>
      <c r="X997" s="23">
        <v>23.666667</v>
      </c>
      <c r="Y997" s="6" t="s">
        <v>48</v>
      </c>
      <c r="Z997" s="6" t="s">
        <v>49</v>
      </c>
      <c r="AA997" s="6" t="s">
        <v>50</v>
      </c>
      <c r="AB997" s="6" t="s">
        <v>66</v>
      </c>
      <c r="AC997" s="6" t="s">
        <v>124</v>
      </c>
      <c r="AD997" s="6" t="s">
        <v>213</v>
      </c>
      <c r="AE997" s="6" t="s">
        <v>213</v>
      </c>
      <c r="AF997" s="6" t="s">
        <v>60</v>
      </c>
      <c r="AG997" s="6" t="s">
        <v>61</v>
      </c>
      <c r="AH997" s="6" t="s">
        <v>183</v>
      </c>
      <c r="AI997" s="20" t="s">
        <v>55</v>
      </c>
      <c r="AJ997" s="20">
        <v>32</v>
      </c>
      <c r="AK997" s="20">
        <f t="shared" si="80"/>
        <v>256</v>
      </c>
      <c r="AL997" s="20">
        <f t="shared" si="77"/>
        <v>0.49166177536857364</v>
      </c>
      <c r="AM997" s="24">
        <v>19.510899999999999</v>
      </c>
      <c r="AN997" s="19">
        <v>2.8963000000000001</v>
      </c>
      <c r="AO997" s="20" t="s">
        <v>49</v>
      </c>
      <c r="AP997" s="20">
        <v>0</v>
      </c>
      <c r="AQ997" s="20" t="s">
        <v>49</v>
      </c>
      <c r="AR997" s="6" t="s">
        <v>49</v>
      </c>
      <c r="AS997" s="20">
        <v>1.4239999999999999</v>
      </c>
      <c r="AT997" s="20">
        <f t="shared" si="78"/>
        <v>0.37407215643073866</v>
      </c>
      <c r="AU997" s="20">
        <v>0</v>
      </c>
      <c r="AV997" s="4">
        <f t="shared" si="79"/>
        <v>0.38676013757933753</v>
      </c>
      <c r="AW997" s="31" t="s">
        <v>366</v>
      </c>
    </row>
    <row r="998" spans="1:49">
      <c r="A998" s="6">
        <v>80</v>
      </c>
      <c r="B998" s="6" t="s">
        <v>38</v>
      </c>
      <c r="C998" s="6" t="s">
        <v>49</v>
      </c>
      <c r="D998" s="6" t="s">
        <v>352</v>
      </c>
      <c r="E998" s="6" t="s">
        <v>302</v>
      </c>
      <c r="F998" s="6">
        <v>2002</v>
      </c>
      <c r="G998" s="6" t="s">
        <v>110</v>
      </c>
      <c r="H998" s="6" t="s">
        <v>353</v>
      </c>
      <c r="I998" s="6" t="s">
        <v>354</v>
      </c>
      <c r="J998" s="3" t="s">
        <v>355</v>
      </c>
      <c r="K998" s="6" t="s">
        <v>114</v>
      </c>
      <c r="L998" s="6" t="s">
        <v>46</v>
      </c>
      <c r="M998" s="6" t="s">
        <v>115</v>
      </c>
      <c r="N998" s="6" t="s">
        <v>116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251</v>
      </c>
      <c r="V998" s="6" t="s">
        <v>362</v>
      </c>
      <c r="W998" s="23">
        <v>35.450000000000003</v>
      </c>
      <c r="X998" s="23">
        <v>23.666667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240</v>
      </c>
      <c r="AE998" s="6" t="s">
        <v>357</v>
      </c>
      <c r="AF998" s="6" t="s">
        <v>49</v>
      </c>
      <c r="AG998" s="6" t="s">
        <v>49</v>
      </c>
      <c r="AH998" s="6" t="s">
        <v>183</v>
      </c>
      <c r="AI998" s="20" t="s">
        <v>55</v>
      </c>
      <c r="AJ998" s="20" t="s">
        <v>49</v>
      </c>
      <c r="AK998" s="20" t="s">
        <v>49</v>
      </c>
      <c r="AL998" s="20" t="s">
        <v>49</v>
      </c>
      <c r="AM998" s="20" t="s">
        <v>49</v>
      </c>
      <c r="AN998" s="20" t="s">
        <v>49</v>
      </c>
      <c r="AO998" s="20" t="s">
        <v>49</v>
      </c>
      <c r="AP998" s="20">
        <v>0</v>
      </c>
      <c r="AQ998" s="20" t="s">
        <v>49</v>
      </c>
      <c r="AR998" s="6" t="s">
        <v>49</v>
      </c>
      <c r="AS998" s="20">
        <v>1.427</v>
      </c>
      <c r="AT998" s="20" t="s">
        <v>49</v>
      </c>
      <c r="AU998" s="20" t="s">
        <v>49</v>
      </c>
      <c r="AV998" s="20" t="s">
        <v>49</v>
      </c>
      <c r="AW998" s="31" t="s">
        <v>49</v>
      </c>
    </row>
    <row r="999" spans="1:49">
      <c r="A999" s="6">
        <v>80</v>
      </c>
      <c r="B999" s="6" t="s">
        <v>38</v>
      </c>
      <c r="C999" s="6" t="s">
        <v>49</v>
      </c>
      <c r="D999" s="6" t="s">
        <v>352</v>
      </c>
      <c r="E999" s="6" t="s">
        <v>302</v>
      </c>
      <c r="F999" s="6">
        <v>2002</v>
      </c>
      <c r="G999" s="6" t="s">
        <v>110</v>
      </c>
      <c r="H999" s="6" t="s">
        <v>353</v>
      </c>
      <c r="I999" s="6" t="s">
        <v>354</v>
      </c>
      <c r="J999" s="3" t="s">
        <v>355</v>
      </c>
      <c r="K999" s="6" t="s">
        <v>114</v>
      </c>
      <c r="L999" s="6" t="s">
        <v>46</v>
      </c>
      <c r="M999" s="6" t="s">
        <v>115</v>
      </c>
      <c r="N999" s="6" t="s">
        <v>116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251</v>
      </c>
      <c r="V999" s="6" t="s">
        <v>362</v>
      </c>
      <c r="W999" s="23">
        <v>35.450000000000003</v>
      </c>
      <c r="X999" s="23">
        <v>23.666667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240</v>
      </c>
      <c r="AE999" s="6" t="s">
        <v>358</v>
      </c>
      <c r="AF999" s="6" t="s">
        <v>49</v>
      </c>
      <c r="AG999" s="6" t="s">
        <v>49</v>
      </c>
      <c r="AH999" s="6" t="s">
        <v>183</v>
      </c>
      <c r="AI999" s="20" t="s">
        <v>55</v>
      </c>
      <c r="AJ999" s="20" t="s">
        <v>49</v>
      </c>
      <c r="AK999" s="20" t="s">
        <v>49</v>
      </c>
      <c r="AL999" s="20" t="s">
        <v>49</v>
      </c>
      <c r="AM999" s="20" t="s">
        <v>49</v>
      </c>
      <c r="AN999" s="20" t="s">
        <v>49</v>
      </c>
      <c r="AO999" s="20" t="s">
        <v>49</v>
      </c>
      <c r="AP999" s="20">
        <v>0</v>
      </c>
      <c r="AQ999" s="20" t="s">
        <v>49</v>
      </c>
      <c r="AR999" s="6" t="s">
        <v>49</v>
      </c>
      <c r="AS999" s="20">
        <v>-1.5720000000000001</v>
      </c>
      <c r="AT999" s="20" t="s">
        <v>49</v>
      </c>
      <c r="AU999" s="20" t="s">
        <v>49</v>
      </c>
      <c r="AV999" s="20" t="s">
        <v>49</v>
      </c>
      <c r="AW999" s="31" t="s">
        <v>49</v>
      </c>
    </row>
    <row r="1000" spans="1:49">
      <c r="A1000" s="6">
        <v>80</v>
      </c>
      <c r="B1000" s="6" t="s">
        <v>38</v>
      </c>
      <c r="C1000" s="6" t="s">
        <v>49</v>
      </c>
      <c r="D1000" s="6" t="s">
        <v>352</v>
      </c>
      <c r="E1000" s="6" t="s">
        <v>302</v>
      </c>
      <c r="F1000" s="6">
        <v>2002</v>
      </c>
      <c r="G1000" s="6" t="s">
        <v>110</v>
      </c>
      <c r="H1000" s="6" t="s">
        <v>353</v>
      </c>
      <c r="I1000" s="6" t="s">
        <v>354</v>
      </c>
      <c r="J1000" s="3" t="s">
        <v>355</v>
      </c>
      <c r="K1000" s="6" t="s">
        <v>114</v>
      </c>
      <c r="L1000" s="6" t="s">
        <v>46</v>
      </c>
      <c r="M1000" s="6" t="s">
        <v>115</v>
      </c>
      <c r="N1000" s="6" t="s">
        <v>116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251</v>
      </c>
      <c r="V1000" s="6" t="s">
        <v>362</v>
      </c>
      <c r="W1000" s="23">
        <v>35.450000000000003</v>
      </c>
      <c r="X1000" s="23">
        <v>23.666667</v>
      </c>
      <c r="Y1000" s="6" t="s">
        <v>48</v>
      </c>
      <c r="Z1000" s="6" t="s">
        <v>49</v>
      </c>
      <c r="AA1000" s="6" t="s">
        <v>49</v>
      </c>
      <c r="AB1000" s="6" t="s">
        <v>49</v>
      </c>
      <c r="AC1000" s="6" t="s">
        <v>49</v>
      </c>
      <c r="AD1000" s="6" t="s">
        <v>240</v>
      </c>
      <c r="AE1000" s="6" t="s">
        <v>359</v>
      </c>
      <c r="AF1000" s="6" t="s">
        <v>49</v>
      </c>
      <c r="AG1000" s="6" t="s">
        <v>49</v>
      </c>
      <c r="AH1000" s="6" t="s">
        <v>183</v>
      </c>
      <c r="AI1000" s="20" t="s">
        <v>55</v>
      </c>
      <c r="AJ1000" s="20" t="s">
        <v>49</v>
      </c>
      <c r="AK1000" s="20" t="s">
        <v>49</v>
      </c>
      <c r="AL1000" s="20" t="s">
        <v>49</v>
      </c>
      <c r="AM1000" s="20" t="s">
        <v>49</v>
      </c>
      <c r="AN1000" s="20" t="s">
        <v>49</v>
      </c>
      <c r="AO1000" s="20" t="s">
        <v>49</v>
      </c>
      <c r="AP1000" s="20">
        <v>0</v>
      </c>
      <c r="AQ1000" s="20" t="s">
        <v>49</v>
      </c>
      <c r="AR1000" s="6" t="s">
        <v>49</v>
      </c>
      <c r="AS1000" s="20">
        <v>-7.4999999999999997E-2</v>
      </c>
      <c r="AT1000" s="20" t="s">
        <v>49</v>
      </c>
      <c r="AU1000" s="20" t="s">
        <v>49</v>
      </c>
      <c r="AV1000" s="20" t="s">
        <v>49</v>
      </c>
      <c r="AW1000" s="31" t="s">
        <v>49</v>
      </c>
    </row>
    <row r="1001" spans="1:49">
      <c r="A1001" s="6">
        <v>80</v>
      </c>
      <c r="B1001" s="6" t="s">
        <v>38</v>
      </c>
      <c r="C1001" s="6" t="s">
        <v>49</v>
      </c>
      <c r="D1001" s="6" t="s">
        <v>352</v>
      </c>
      <c r="E1001" s="6" t="s">
        <v>302</v>
      </c>
      <c r="F1001" s="6">
        <v>2002</v>
      </c>
      <c r="G1001" s="6" t="s">
        <v>110</v>
      </c>
      <c r="H1001" s="6" t="s">
        <v>353</v>
      </c>
      <c r="I1001" s="6" t="s">
        <v>354</v>
      </c>
      <c r="J1001" s="3" t="s">
        <v>355</v>
      </c>
      <c r="K1001" s="6" t="s">
        <v>114</v>
      </c>
      <c r="L1001" s="6" t="s">
        <v>46</v>
      </c>
      <c r="M1001" s="6" t="s">
        <v>115</v>
      </c>
      <c r="N1001" s="6" t="s">
        <v>116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251</v>
      </c>
      <c r="V1001" s="6" t="s">
        <v>362</v>
      </c>
      <c r="W1001" s="23">
        <v>35.450000000000003</v>
      </c>
      <c r="X1001" s="23">
        <v>23.666667</v>
      </c>
      <c r="Y1001" s="6" t="s">
        <v>48</v>
      </c>
      <c r="Z1001" s="6" t="s">
        <v>49</v>
      </c>
      <c r="AA1001" s="6" t="s">
        <v>49</v>
      </c>
      <c r="AB1001" s="6" t="s">
        <v>49</v>
      </c>
      <c r="AC1001" s="6" t="s">
        <v>49</v>
      </c>
      <c r="AD1001" s="6" t="s">
        <v>240</v>
      </c>
      <c r="AE1001" s="6" t="s">
        <v>347</v>
      </c>
      <c r="AF1001" s="6" t="s">
        <v>49</v>
      </c>
      <c r="AG1001" s="6" t="s">
        <v>49</v>
      </c>
      <c r="AH1001" s="6" t="s">
        <v>183</v>
      </c>
      <c r="AI1001" s="20" t="s">
        <v>55</v>
      </c>
      <c r="AJ1001" s="20" t="s">
        <v>49</v>
      </c>
      <c r="AK1001" s="20" t="s">
        <v>49</v>
      </c>
      <c r="AL1001" s="20" t="s">
        <v>49</v>
      </c>
      <c r="AM1001" s="20" t="s">
        <v>49</v>
      </c>
      <c r="AN1001" s="20" t="s">
        <v>49</v>
      </c>
      <c r="AO1001" s="20" t="s">
        <v>49</v>
      </c>
      <c r="AP1001" s="20">
        <v>0</v>
      </c>
      <c r="AQ1001" s="20" t="s">
        <v>49</v>
      </c>
      <c r="AR1001" s="6" t="s">
        <v>49</v>
      </c>
      <c r="AS1001" s="20">
        <v>2.0190000000000001</v>
      </c>
      <c r="AT1001" s="20" t="s">
        <v>49</v>
      </c>
      <c r="AU1001" s="20" t="s">
        <v>49</v>
      </c>
      <c r="AV1001" s="20" t="s">
        <v>49</v>
      </c>
      <c r="AW1001" s="31" t="s">
        <v>49</v>
      </c>
    </row>
    <row r="1002" spans="1:49">
      <c r="A1002" s="6">
        <v>80</v>
      </c>
      <c r="B1002" s="6" t="s">
        <v>38</v>
      </c>
      <c r="C1002" s="6" t="s">
        <v>49</v>
      </c>
      <c r="D1002" s="6" t="s">
        <v>352</v>
      </c>
      <c r="E1002" s="6" t="s">
        <v>302</v>
      </c>
      <c r="F1002" s="6">
        <v>2002</v>
      </c>
      <c r="G1002" s="6" t="s">
        <v>110</v>
      </c>
      <c r="H1002" s="6" t="s">
        <v>353</v>
      </c>
      <c r="I1002" s="6" t="s">
        <v>354</v>
      </c>
      <c r="J1002" s="3" t="s">
        <v>355</v>
      </c>
      <c r="K1002" s="6" t="s">
        <v>114</v>
      </c>
      <c r="L1002" s="6" t="s">
        <v>46</v>
      </c>
      <c r="M1002" s="6" t="s">
        <v>115</v>
      </c>
      <c r="N1002" s="6" t="s">
        <v>116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251</v>
      </c>
      <c r="V1002" s="6" t="s">
        <v>362</v>
      </c>
      <c r="W1002" s="23">
        <v>35.450000000000003</v>
      </c>
      <c r="X1002" s="23">
        <v>23.666667</v>
      </c>
      <c r="Y1002" s="6" t="s">
        <v>48</v>
      </c>
      <c r="Z1002" s="6" t="s">
        <v>49</v>
      </c>
      <c r="AA1002" s="6" t="s">
        <v>49</v>
      </c>
      <c r="AB1002" s="6" t="s">
        <v>49</v>
      </c>
      <c r="AC1002" s="6" t="s">
        <v>49</v>
      </c>
      <c r="AD1002" s="6" t="s">
        <v>240</v>
      </c>
      <c r="AE1002" s="6" t="s">
        <v>367</v>
      </c>
      <c r="AF1002" s="6" t="s">
        <v>49</v>
      </c>
      <c r="AG1002" s="6" t="s">
        <v>49</v>
      </c>
      <c r="AH1002" s="6" t="s">
        <v>183</v>
      </c>
      <c r="AI1002" s="20" t="s">
        <v>55</v>
      </c>
      <c r="AJ1002" s="20" t="s">
        <v>49</v>
      </c>
      <c r="AK1002" s="20" t="s">
        <v>49</v>
      </c>
      <c r="AL1002" s="20" t="s">
        <v>49</v>
      </c>
      <c r="AM1002" s="20" t="s">
        <v>49</v>
      </c>
      <c r="AN1002" s="20" t="s">
        <v>49</v>
      </c>
      <c r="AO1002" s="20" t="s">
        <v>49</v>
      </c>
      <c r="AP1002" s="20">
        <v>0</v>
      </c>
      <c r="AQ1002" s="20" t="s">
        <v>49</v>
      </c>
      <c r="AR1002" s="6" t="s">
        <v>49</v>
      </c>
      <c r="AS1002" s="20">
        <v>-0.13</v>
      </c>
      <c r="AT1002" s="20" t="s">
        <v>49</v>
      </c>
      <c r="AU1002" s="20" t="s">
        <v>49</v>
      </c>
      <c r="AV1002" s="20" t="s">
        <v>49</v>
      </c>
      <c r="AW1002" s="31" t="s">
        <v>49</v>
      </c>
    </row>
    <row r="1003" spans="1:49">
      <c r="A1003" s="6">
        <v>80</v>
      </c>
      <c r="B1003" s="6" t="s">
        <v>38</v>
      </c>
      <c r="C1003" s="6" t="s">
        <v>49</v>
      </c>
      <c r="D1003" s="6" t="s">
        <v>352</v>
      </c>
      <c r="E1003" s="6" t="s">
        <v>302</v>
      </c>
      <c r="F1003" s="6">
        <v>2002</v>
      </c>
      <c r="G1003" s="6" t="s">
        <v>110</v>
      </c>
      <c r="H1003" s="6" t="s">
        <v>353</v>
      </c>
      <c r="I1003" s="6" t="s">
        <v>354</v>
      </c>
      <c r="J1003" s="3" t="s">
        <v>355</v>
      </c>
      <c r="K1003" s="6" t="s">
        <v>114</v>
      </c>
      <c r="L1003" s="6" t="s">
        <v>46</v>
      </c>
      <c r="M1003" s="6" t="s">
        <v>115</v>
      </c>
      <c r="N1003" s="6" t="s">
        <v>116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251</v>
      </c>
      <c r="V1003" s="6" t="s">
        <v>362</v>
      </c>
      <c r="W1003" s="23">
        <v>35.450000000000003</v>
      </c>
      <c r="X1003" s="23">
        <v>23.666667</v>
      </c>
      <c r="Y1003" s="6" t="s">
        <v>48</v>
      </c>
      <c r="Z1003" s="6" t="s">
        <v>49</v>
      </c>
      <c r="AA1003" s="6" t="s">
        <v>49</v>
      </c>
      <c r="AB1003" s="6" t="s">
        <v>49</v>
      </c>
      <c r="AC1003" s="6" t="s">
        <v>49</v>
      </c>
      <c r="AD1003" s="6" t="s">
        <v>240</v>
      </c>
      <c r="AE1003" s="6" t="s">
        <v>213</v>
      </c>
      <c r="AF1003" s="6" t="s">
        <v>49</v>
      </c>
      <c r="AG1003" s="6" t="s">
        <v>49</v>
      </c>
      <c r="AH1003" s="6" t="s">
        <v>183</v>
      </c>
      <c r="AI1003" s="20" t="s">
        <v>55</v>
      </c>
      <c r="AJ1003" s="20" t="s">
        <v>49</v>
      </c>
      <c r="AK1003" s="20" t="s">
        <v>49</v>
      </c>
      <c r="AL1003" s="20" t="s">
        <v>49</v>
      </c>
      <c r="AM1003" s="20" t="s">
        <v>49</v>
      </c>
      <c r="AN1003" s="20" t="s">
        <v>49</v>
      </c>
      <c r="AO1003" s="20" t="s">
        <v>49</v>
      </c>
      <c r="AP1003" s="20">
        <v>0</v>
      </c>
      <c r="AQ1003" s="20" t="s">
        <v>49</v>
      </c>
      <c r="AR1003" s="6" t="s">
        <v>49</v>
      </c>
      <c r="AS1003" s="20">
        <v>0.36399999999999999</v>
      </c>
      <c r="AT1003" s="20" t="s">
        <v>49</v>
      </c>
      <c r="AU1003" s="20" t="s">
        <v>49</v>
      </c>
      <c r="AV1003" s="20" t="s">
        <v>49</v>
      </c>
      <c r="AW1003" s="31" t="s">
        <v>49</v>
      </c>
    </row>
    <row r="1004" spans="1:49">
      <c r="A1004" s="6">
        <v>80</v>
      </c>
      <c r="B1004" s="6" t="s">
        <v>38</v>
      </c>
      <c r="C1004" s="6" t="s">
        <v>49</v>
      </c>
      <c r="D1004" s="6" t="s">
        <v>352</v>
      </c>
      <c r="E1004" s="6" t="s">
        <v>302</v>
      </c>
      <c r="F1004" s="6">
        <v>2002</v>
      </c>
      <c r="G1004" s="6" t="s">
        <v>110</v>
      </c>
      <c r="H1004" s="6" t="s">
        <v>353</v>
      </c>
      <c r="I1004" s="6" t="s">
        <v>354</v>
      </c>
      <c r="J1004" s="3" t="s">
        <v>355</v>
      </c>
      <c r="K1004" s="6" t="s">
        <v>114</v>
      </c>
      <c r="L1004" s="6" t="s">
        <v>46</v>
      </c>
      <c r="M1004" s="6" t="s">
        <v>115</v>
      </c>
      <c r="N1004" s="6" t="s">
        <v>116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251</v>
      </c>
      <c r="V1004" s="6" t="s">
        <v>362</v>
      </c>
      <c r="W1004" s="23">
        <v>35.450000000000003</v>
      </c>
      <c r="X1004" s="23">
        <v>23.666667</v>
      </c>
      <c r="Y1004" s="6" t="s">
        <v>48</v>
      </c>
      <c r="Z1004" s="6" t="s">
        <v>49</v>
      </c>
      <c r="AA1004" s="6" t="s">
        <v>49</v>
      </c>
      <c r="AB1004" s="6" t="s">
        <v>49</v>
      </c>
      <c r="AC1004" s="6" t="s">
        <v>49</v>
      </c>
      <c r="AD1004" s="6" t="s">
        <v>357</v>
      </c>
      <c r="AE1004" s="6" t="s">
        <v>358</v>
      </c>
      <c r="AF1004" s="6" t="s">
        <v>49</v>
      </c>
      <c r="AG1004" s="6" t="s">
        <v>49</v>
      </c>
      <c r="AH1004" s="6" t="s">
        <v>183</v>
      </c>
      <c r="AI1004" s="20" t="s">
        <v>55</v>
      </c>
      <c r="AJ1004" s="20" t="s">
        <v>49</v>
      </c>
      <c r="AK1004" s="20" t="s">
        <v>49</v>
      </c>
      <c r="AL1004" s="20" t="s">
        <v>49</v>
      </c>
      <c r="AM1004" s="20" t="s">
        <v>49</v>
      </c>
      <c r="AN1004" s="20" t="s">
        <v>49</v>
      </c>
      <c r="AO1004" s="20" t="s">
        <v>49</v>
      </c>
      <c r="AP1004" s="20">
        <v>0</v>
      </c>
      <c r="AQ1004" s="20" t="s">
        <v>49</v>
      </c>
      <c r="AR1004" s="6" t="s">
        <v>49</v>
      </c>
      <c r="AS1004" s="6">
        <v>-5.1130000000000004</v>
      </c>
      <c r="AT1004" s="20" t="s">
        <v>49</v>
      </c>
      <c r="AU1004" s="20" t="s">
        <v>49</v>
      </c>
      <c r="AV1004" s="20" t="s">
        <v>49</v>
      </c>
      <c r="AW1004" s="31" t="s">
        <v>49</v>
      </c>
    </row>
    <row r="1005" spans="1:49">
      <c r="A1005" s="6">
        <v>80</v>
      </c>
      <c r="B1005" s="6" t="s">
        <v>38</v>
      </c>
      <c r="C1005" s="6" t="s">
        <v>49</v>
      </c>
      <c r="D1005" s="6" t="s">
        <v>352</v>
      </c>
      <c r="E1005" s="6" t="s">
        <v>302</v>
      </c>
      <c r="F1005" s="6">
        <v>2002</v>
      </c>
      <c r="G1005" s="6" t="s">
        <v>110</v>
      </c>
      <c r="H1005" s="6" t="s">
        <v>353</v>
      </c>
      <c r="I1005" s="6" t="s">
        <v>354</v>
      </c>
      <c r="J1005" s="3" t="s">
        <v>355</v>
      </c>
      <c r="K1005" s="6" t="s">
        <v>114</v>
      </c>
      <c r="L1005" s="6" t="s">
        <v>46</v>
      </c>
      <c r="M1005" s="6" t="s">
        <v>115</v>
      </c>
      <c r="N1005" s="6" t="s">
        <v>116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251</v>
      </c>
      <c r="V1005" s="6" t="s">
        <v>362</v>
      </c>
      <c r="W1005" s="23">
        <v>35.450000000000003</v>
      </c>
      <c r="X1005" s="23">
        <v>23.666667</v>
      </c>
      <c r="Y1005" s="6" t="s">
        <v>48</v>
      </c>
      <c r="Z1005" s="6" t="s">
        <v>49</v>
      </c>
      <c r="AA1005" s="6" t="s">
        <v>49</v>
      </c>
      <c r="AB1005" s="6" t="s">
        <v>49</v>
      </c>
      <c r="AC1005" s="6" t="s">
        <v>49</v>
      </c>
      <c r="AD1005" s="6" t="s">
        <v>357</v>
      </c>
      <c r="AE1005" s="6" t="s">
        <v>359</v>
      </c>
      <c r="AF1005" s="6" t="s">
        <v>49</v>
      </c>
      <c r="AG1005" s="6" t="s">
        <v>49</v>
      </c>
      <c r="AH1005" s="6" t="s">
        <v>183</v>
      </c>
      <c r="AI1005" s="20" t="s">
        <v>55</v>
      </c>
      <c r="AJ1005" s="20" t="s">
        <v>49</v>
      </c>
      <c r="AK1005" s="20" t="s">
        <v>49</v>
      </c>
      <c r="AL1005" s="20" t="s">
        <v>49</v>
      </c>
      <c r="AM1005" s="20" t="s">
        <v>49</v>
      </c>
      <c r="AN1005" s="20" t="s">
        <v>49</v>
      </c>
      <c r="AO1005" s="20" t="s">
        <v>49</v>
      </c>
      <c r="AP1005" s="20">
        <v>0</v>
      </c>
      <c r="AQ1005" s="20" t="s">
        <v>49</v>
      </c>
      <c r="AR1005" s="6" t="s">
        <v>49</v>
      </c>
      <c r="AS1005" s="6">
        <v>0.93899999999999995</v>
      </c>
      <c r="AT1005" s="20" t="s">
        <v>49</v>
      </c>
      <c r="AU1005" s="20" t="s">
        <v>49</v>
      </c>
      <c r="AV1005" s="20" t="s">
        <v>49</v>
      </c>
      <c r="AW1005" s="31" t="s">
        <v>49</v>
      </c>
    </row>
    <row r="1006" spans="1:49">
      <c r="A1006" s="6">
        <v>80</v>
      </c>
      <c r="B1006" s="6" t="s">
        <v>38</v>
      </c>
      <c r="C1006" s="6" t="s">
        <v>49</v>
      </c>
      <c r="D1006" s="6" t="s">
        <v>352</v>
      </c>
      <c r="E1006" s="6" t="s">
        <v>302</v>
      </c>
      <c r="F1006" s="6">
        <v>2002</v>
      </c>
      <c r="G1006" s="6" t="s">
        <v>110</v>
      </c>
      <c r="H1006" s="6" t="s">
        <v>353</v>
      </c>
      <c r="I1006" s="6" t="s">
        <v>354</v>
      </c>
      <c r="J1006" s="3" t="s">
        <v>355</v>
      </c>
      <c r="K1006" s="6" t="s">
        <v>114</v>
      </c>
      <c r="L1006" s="6" t="s">
        <v>46</v>
      </c>
      <c r="M1006" s="6" t="s">
        <v>115</v>
      </c>
      <c r="N1006" s="6" t="s">
        <v>116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251</v>
      </c>
      <c r="V1006" s="6" t="s">
        <v>362</v>
      </c>
      <c r="W1006" s="23">
        <v>35.450000000000003</v>
      </c>
      <c r="X1006" s="23">
        <v>23.666667</v>
      </c>
      <c r="Y1006" s="6" t="s">
        <v>48</v>
      </c>
      <c r="Z1006" s="6" t="s">
        <v>49</v>
      </c>
      <c r="AA1006" s="6" t="s">
        <v>49</v>
      </c>
      <c r="AB1006" s="6" t="s">
        <v>49</v>
      </c>
      <c r="AC1006" s="6" t="s">
        <v>49</v>
      </c>
      <c r="AD1006" s="6" t="s">
        <v>357</v>
      </c>
      <c r="AE1006" s="6" t="s">
        <v>347</v>
      </c>
      <c r="AF1006" s="6" t="s">
        <v>49</v>
      </c>
      <c r="AG1006" s="6" t="s">
        <v>49</v>
      </c>
      <c r="AH1006" s="6" t="s">
        <v>183</v>
      </c>
      <c r="AI1006" s="20" t="s">
        <v>55</v>
      </c>
      <c r="AJ1006" s="20" t="s">
        <v>49</v>
      </c>
      <c r="AK1006" s="20" t="s">
        <v>49</v>
      </c>
      <c r="AL1006" s="20" t="s">
        <v>49</v>
      </c>
      <c r="AM1006" s="20" t="s">
        <v>49</v>
      </c>
      <c r="AN1006" s="20" t="s">
        <v>49</v>
      </c>
      <c r="AO1006" s="20" t="s">
        <v>49</v>
      </c>
      <c r="AP1006" s="20">
        <v>0</v>
      </c>
      <c r="AQ1006" s="20" t="s">
        <v>49</v>
      </c>
      <c r="AR1006" s="6" t="s">
        <v>49</v>
      </c>
      <c r="AS1006" s="6">
        <v>-20.95</v>
      </c>
      <c r="AT1006" s="20" t="s">
        <v>49</v>
      </c>
      <c r="AU1006" s="20" t="s">
        <v>49</v>
      </c>
      <c r="AV1006" s="20" t="s">
        <v>49</v>
      </c>
      <c r="AW1006" s="31" t="s">
        <v>49</v>
      </c>
    </row>
    <row r="1007" spans="1:49">
      <c r="A1007" s="6">
        <v>80</v>
      </c>
      <c r="B1007" s="6" t="s">
        <v>38</v>
      </c>
      <c r="C1007" s="6" t="s">
        <v>49</v>
      </c>
      <c r="D1007" s="6" t="s">
        <v>352</v>
      </c>
      <c r="E1007" s="6" t="s">
        <v>302</v>
      </c>
      <c r="F1007" s="6">
        <v>2002</v>
      </c>
      <c r="G1007" s="6" t="s">
        <v>110</v>
      </c>
      <c r="H1007" s="6" t="s">
        <v>353</v>
      </c>
      <c r="I1007" s="6" t="s">
        <v>354</v>
      </c>
      <c r="J1007" s="3" t="s">
        <v>355</v>
      </c>
      <c r="K1007" s="6" t="s">
        <v>114</v>
      </c>
      <c r="L1007" s="6" t="s">
        <v>46</v>
      </c>
      <c r="M1007" s="6" t="s">
        <v>115</v>
      </c>
      <c r="N1007" s="6" t="s">
        <v>116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251</v>
      </c>
      <c r="V1007" s="6" t="s">
        <v>362</v>
      </c>
      <c r="W1007" s="23">
        <v>35.450000000000003</v>
      </c>
      <c r="X1007" s="23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357</v>
      </c>
      <c r="AE1007" s="6" t="s">
        <v>367</v>
      </c>
      <c r="AF1007" s="6" t="s">
        <v>49</v>
      </c>
      <c r="AG1007" s="6" t="s">
        <v>49</v>
      </c>
      <c r="AH1007" s="6" t="s">
        <v>183</v>
      </c>
      <c r="AI1007" s="20" t="s">
        <v>55</v>
      </c>
      <c r="AJ1007" s="20" t="s">
        <v>49</v>
      </c>
      <c r="AK1007" s="20" t="s">
        <v>49</v>
      </c>
      <c r="AL1007" s="20" t="s">
        <v>49</v>
      </c>
      <c r="AM1007" s="20" t="s">
        <v>49</v>
      </c>
      <c r="AN1007" s="20" t="s">
        <v>49</v>
      </c>
      <c r="AO1007" s="20" t="s">
        <v>49</v>
      </c>
      <c r="AP1007" s="20">
        <v>0</v>
      </c>
      <c r="AQ1007" s="20" t="s">
        <v>49</v>
      </c>
      <c r="AR1007" s="6" t="s">
        <v>49</v>
      </c>
      <c r="AS1007" s="6">
        <v>0.65400000000000003</v>
      </c>
      <c r="AT1007" s="20" t="s">
        <v>49</v>
      </c>
      <c r="AU1007" s="20" t="s">
        <v>49</v>
      </c>
      <c r="AV1007" s="20" t="s">
        <v>49</v>
      </c>
      <c r="AW1007" s="31" t="s">
        <v>49</v>
      </c>
    </row>
    <row r="1008" spans="1:49">
      <c r="A1008" s="6">
        <v>80</v>
      </c>
      <c r="B1008" s="6" t="s">
        <v>38</v>
      </c>
      <c r="C1008" s="6" t="s">
        <v>49</v>
      </c>
      <c r="D1008" s="6" t="s">
        <v>352</v>
      </c>
      <c r="E1008" s="6" t="s">
        <v>302</v>
      </c>
      <c r="F1008" s="6">
        <v>2002</v>
      </c>
      <c r="G1008" s="6" t="s">
        <v>110</v>
      </c>
      <c r="H1008" s="6" t="s">
        <v>353</v>
      </c>
      <c r="I1008" s="6" t="s">
        <v>354</v>
      </c>
      <c r="J1008" s="3" t="s">
        <v>355</v>
      </c>
      <c r="K1008" s="6" t="s">
        <v>114</v>
      </c>
      <c r="L1008" s="6" t="s">
        <v>46</v>
      </c>
      <c r="M1008" s="6" t="s">
        <v>115</v>
      </c>
      <c r="N1008" s="6" t="s">
        <v>116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251</v>
      </c>
      <c r="V1008" s="6" t="s">
        <v>362</v>
      </c>
      <c r="W1008" s="23">
        <v>35.450000000000003</v>
      </c>
      <c r="X1008" s="23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357</v>
      </c>
      <c r="AE1008" s="6" t="s">
        <v>213</v>
      </c>
      <c r="AF1008" s="6" t="s">
        <v>49</v>
      </c>
      <c r="AG1008" s="6" t="s">
        <v>49</v>
      </c>
      <c r="AH1008" s="6" t="s">
        <v>183</v>
      </c>
      <c r="AI1008" s="20" t="s">
        <v>55</v>
      </c>
      <c r="AJ1008" s="20" t="s">
        <v>49</v>
      </c>
      <c r="AK1008" s="20" t="s">
        <v>49</v>
      </c>
      <c r="AL1008" s="20" t="s">
        <v>49</v>
      </c>
      <c r="AM1008" s="20" t="s">
        <v>49</v>
      </c>
      <c r="AN1008" s="20" t="s">
        <v>49</v>
      </c>
      <c r="AO1008" s="20" t="s">
        <v>49</v>
      </c>
      <c r="AP1008" s="20">
        <v>0</v>
      </c>
      <c r="AQ1008" s="20" t="s">
        <v>49</v>
      </c>
      <c r="AR1008" s="6" t="s">
        <v>49</v>
      </c>
      <c r="AS1008" s="6">
        <v>0.89700000000000002</v>
      </c>
      <c r="AT1008" s="20" t="s">
        <v>49</v>
      </c>
      <c r="AU1008" s="20" t="s">
        <v>49</v>
      </c>
      <c r="AV1008" s="20" t="s">
        <v>49</v>
      </c>
      <c r="AW1008" s="31" t="s">
        <v>49</v>
      </c>
    </row>
    <row r="1009" spans="1:49">
      <c r="A1009" s="6">
        <v>80</v>
      </c>
      <c r="B1009" s="6" t="s">
        <v>38</v>
      </c>
      <c r="C1009" s="6" t="s">
        <v>49</v>
      </c>
      <c r="D1009" s="6" t="s">
        <v>352</v>
      </c>
      <c r="E1009" s="6" t="s">
        <v>302</v>
      </c>
      <c r="F1009" s="6">
        <v>2002</v>
      </c>
      <c r="G1009" s="6" t="s">
        <v>110</v>
      </c>
      <c r="H1009" s="6" t="s">
        <v>353</v>
      </c>
      <c r="I1009" s="6" t="s">
        <v>354</v>
      </c>
      <c r="J1009" s="3" t="s">
        <v>355</v>
      </c>
      <c r="K1009" s="6" t="s">
        <v>114</v>
      </c>
      <c r="L1009" s="6" t="s">
        <v>46</v>
      </c>
      <c r="M1009" s="6" t="s">
        <v>115</v>
      </c>
      <c r="N1009" s="6" t="s">
        <v>116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251</v>
      </c>
      <c r="V1009" s="6" t="s">
        <v>362</v>
      </c>
      <c r="W1009" s="23">
        <v>35.450000000000003</v>
      </c>
      <c r="X1009" s="23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358</v>
      </c>
      <c r="AE1009" s="6" t="s">
        <v>359</v>
      </c>
      <c r="AF1009" s="6" t="s">
        <v>49</v>
      </c>
      <c r="AG1009" s="6" t="s">
        <v>49</v>
      </c>
      <c r="AH1009" s="6" t="s">
        <v>183</v>
      </c>
      <c r="AI1009" s="20" t="s">
        <v>55</v>
      </c>
      <c r="AJ1009" s="20" t="s">
        <v>49</v>
      </c>
      <c r="AK1009" s="20" t="s">
        <v>49</v>
      </c>
      <c r="AL1009" s="20" t="s">
        <v>49</v>
      </c>
      <c r="AM1009" s="20" t="s">
        <v>49</v>
      </c>
      <c r="AN1009" s="20" t="s">
        <v>49</v>
      </c>
      <c r="AO1009" s="20" t="s">
        <v>49</v>
      </c>
      <c r="AP1009" s="20">
        <v>0</v>
      </c>
      <c r="AQ1009" s="20" t="s">
        <v>49</v>
      </c>
      <c r="AR1009" s="6" t="s">
        <v>49</v>
      </c>
      <c r="AS1009" s="6">
        <v>0.76500000000000001</v>
      </c>
      <c r="AT1009" s="20" t="s">
        <v>49</v>
      </c>
      <c r="AU1009" s="20" t="s">
        <v>49</v>
      </c>
      <c r="AV1009" s="20" t="s">
        <v>49</v>
      </c>
      <c r="AW1009" s="31" t="s">
        <v>49</v>
      </c>
    </row>
    <row r="1010" spans="1:49">
      <c r="A1010" s="6">
        <v>80</v>
      </c>
      <c r="B1010" s="6" t="s">
        <v>38</v>
      </c>
      <c r="C1010" s="6" t="s">
        <v>49</v>
      </c>
      <c r="D1010" s="6" t="s">
        <v>352</v>
      </c>
      <c r="E1010" s="6" t="s">
        <v>302</v>
      </c>
      <c r="F1010" s="6">
        <v>2002</v>
      </c>
      <c r="G1010" s="6" t="s">
        <v>110</v>
      </c>
      <c r="H1010" s="6" t="s">
        <v>353</v>
      </c>
      <c r="I1010" s="6" t="s">
        <v>354</v>
      </c>
      <c r="J1010" s="3" t="s">
        <v>355</v>
      </c>
      <c r="K1010" s="6" t="s">
        <v>114</v>
      </c>
      <c r="L1010" s="6" t="s">
        <v>46</v>
      </c>
      <c r="M1010" s="6" t="s">
        <v>115</v>
      </c>
      <c r="N1010" s="6" t="s">
        <v>116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251</v>
      </c>
      <c r="V1010" s="6" t="s">
        <v>362</v>
      </c>
      <c r="W1010" s="23">
        <v>35.450000000000003</v>
      </c>
      <c r="X1010" s="23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358</v>
      </c>
      <c r="AE1010" s="6" t="s">
        <v>347</v>
      </c>
      <c r="AF1010" s="6" t="s">
        <v>49</v>
      </c>
      <c r="AG1010" s="6" t="s">
        <v>49</v>
      </c>
      <c r="AH1010" s="6" t="s">
        <v>183</v>
      </c>
      <c r="AI1010" s="20" t="s">
        <v>55</v>
      </c>
      <c r="AJ1010" s="20" t="s">
        <v>49</v>
      </c>
      <c r="AK1010" s="20" t="s">
        <v>49</v>
      </c>
      <c r="AL1010" s="20" t="s">
        <v>49</v>
      </c>
      <c r="AM1010" s="20" t="s">
        <v>49</v>
      </c>
      <c r="AN1010" s="20" t="s">
        <v>49</v>
      </c>
      <c r="AO1010" s="20" t="s">
        <v>49</v>
      </c>
      <c r="AP1010" s="20">
        <v>0</v>
      </c>
      <c r="AQ1010" s="20" t="s">
        <v>49</v>
      </c>
      <c r="AR1010" s="6" t="s">
        <v>49</v>
      </c>
      <c r="AS1010" s="6">
        <v>51.444000000000003</v>
      </c>
      <c r="AT1010" s="20" t="s">
        <v>49</v>
      </c>
      <c r="AU1010" s="20" t="s">
        <v>49</v>
      </c>
      <c r="AV1010" s="20" t="s">
        <v>49</v>
      </c>
      <c r="AW1010" s="31" t="s">
        <v>49</v>
      </c>
    </row>
    <row r="1011" spans="1:49">
      <c r="A1011" s="6">
        <v>80</v>
      </c>
      <c r="B1011" s="6" t="s">
        <v>38</v>
      </c>
      <c r="C1011" s="6" t="s">
        <v>49</v>
      </c>
      <c r="D1011" s="6" t="s">
        <v>352</v>
      </c>
      <c r="E1011" s="6" t="s">
        <v>302</v>
      </c>
      <c r="F1011" s="6">
        <v>2002</v>
      </c>
      <c r="G1011" s="6" t="s">
        <v>110</v>
      </c>
      <c r="H1011" s="6" t="s">
        <v>353</v>
      </c>
      <c r="I1011" s="6" t="s">
        <v>354</v>
      </c>
      <c r="J1011" s="3" t="s">
        <v>355</v>
      </c>
      <c r="K1011" s="6" t="s">
        <v>114</v>
      </c>
      <c r="L1011" s="6" t="s">
        <v>46</v>
      </c>
      <c r="M1011" s="6" t="s">
        <v>115</v>
      </c>
      <c r="N1011" s="6" t="s">
        <v>116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251</v>
      </c>
      <c r="V1011" s="6" t="s">
        <v>362</v>
      </c>
      <c r="W1011" s="23">
        <v>35.450000000000003</v>
      </c>
      <c r="X1011" s="23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358</v>
      </c>
      <c r="AE1011" s="6" t="s">
        <v>367</v>
      </c>
      <c r="AF1011" s="6" t="s">
        <v>49</v>
      </c>
      <c r="AG1011" s="6" t="s">
        <v>49</v>
      </c>
      <c r="AH1011" s="6" t="s">
        <v>183</v>
      </c>
      <c r="AI1011" s="20" t="s">
        <v>55</v>
      </c>
      <c r="AJ1011" s="20" t="s">
        <v>49</v>
      </c>
      <c r="AK1011" s="20" t="s">
        <v>49</v>
      </c>
      <c r="AL1011" s="20" t="s">
        <v>49</v>
      </c>
      <c r="AM1011" s="20" t="s">
        <v>49</v>
      </c>
      <c r="AN1011" s="20" t="s">
        <v>49</v>
      </c>
      <c r="AO1011" s="20" t="s">
        <v>49</v>
      </c>
      <c r="AP1011" s="20">
        <v>0</v>
      </c>
      <c r="AQ1011" s="20" t="s">
        <v>49</v>
      </c>
      <c r="AR1011" s="6" t="s">
        <v>49</v>
      </c>
      <c r="AS1011" s="6">
        <v>5.875</v>
      </c>
      <c r="AT1011" s="20" t="s">
        <v>49</v>
      </c>
      <c r="AU1011" s="20" t="s">
        <v>49</v>
      </c>
      <c r="AV1011" s="20" t="s">
        <v>49</v>
      </c>
      <c r="AW1011" s="31" t="s">
        <v>49</v>
      </c>
    </row>
    <row r="1012" spans="1:49">
      <c r="A1012" s="6">
        <v>80</v>
      </c>
      <c r="B1012" s="6" t="s">
        <v>38</v>
      </c>
      <c r="C1012" s="6" t="s">
        <v>49</v>
      </c>
      <c r="D1012" s="6" t="s">
        <v>352</v>
      </c>
      <c r="E1012" s="6" t="s">
        <v>302</v>
      </c>
      <c r="F1012" s="6">
        <v>2002</v>
      </c>
      <c r="G1012" s="6" t="s">
        <v>110</v>
      </c>
      <c r="H1012" s="6" t="s">
        <v>353</v>
      </c>
      <c r="I1012" s="6" t="s">
        <v>354</v>
      </c>
      <c r="J1012" s="3" t="s">
        <v>355</v>
      </c>
      <c r="K1012" s="6" t="s">
        <v>114</v>
      </c>
      <c r="L1012" s="6" t="s">
        <v>46</v>
      </c>
      <c r="M1012" s="6" t="s">
        <v>115</v>
      </c>
      <c r="N1012" s="6" t="s">
        <v>116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251</v>
      </c>
      <c r="V1012" s="6" t="s">
        <v>362</v>
      </c>
      <c r="W1012" s="23">
        <v>35.450000000000003</v>
      </c>
      <c r="X1012" s="23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358</v>
      </c>
      <c r="AE1012" s="6" t="s">
        <v>213</v>
      </c>
      <c r="AF1012" s="6" t="s">
        <v>49</v>
      </c>
      <c r="AG1012" s="6" t="s">
        <v>49</v>
      </c>
      <c r="AH1012" s="6" t="s">
        <v>183</v>
      </c>
      <c r="AI1012" s="20" t="s">
        <v>55</v>
      </c>
      <c r="AJ1012" s="20" t="s">
        <v>49</v>
      </c>
      <c r="AK1012" s="20" t="s">
        <v>49</v>
      </c>
      <c r="AL1012" s="20" t="s">
        <v>49</v>
      </c>
      <c r="AM1012" s="20" t="s">
        <v>49</v>
      </c>
      <c r="AN1012" s="20" t="s">
        <v>49</v>
      </c>
      <c r="AO1012" s="20" t="s">
        <v>49</v>
      </c>
      <c r="AP1012" s="20">
        <v>0</v>
      </c>
      <c r="AQ1012" s="20" t="s">
        <v>49</v>
      </c>
      <c r="AR1012" s="6" t="s">
        <v>49</v>
      </c>
      <c r="AS1012" s="6">
        <v>5.0999999999999997E-2</v>
      </c>
      <c r="AT1012" s="20" t="s">
        <v>49</v>
      </c>
      <c r="AU1012" s="20" t="s">
        <v>49</v>
      </c>
      <c r="AV1012" s="20" t="s">
        <v>49</v>
      </c>
      <c r="AW1012" s="31" t="s">
        <v>49</v>
      </c>
    </row>
    <row r="1013" spans="1:49">
      <c r="A1013" s="6">
        <v>80</v>
      </c>
      <c r="B1013" s="6" t="s">
        <v>38</v>
      </c>
      <c r="C1013" s="6" t="s">
        <v>49</v>
      </c>
      <c r="D1013" s="6" t="s">
        <v>352</v>
      </c>
      <c r="E1013" s="6" t="s">
        <v>302</v>
      </c>
      <c r="F1013" s="6">
        <v>2002</v>
      </c>
      <c r="G1013" s="6" t="s">
        <v>110</v>
      </c>
      <c r="H1013" s="6" t="s">
        <v>353</v>
      </c>
      <c r="I1013" s="6" t="s">
        <v>354</v>
      </c>
      <c r="J1013" s="3" t="s">
        <v>355</v>
      </c>
      <c r="K1013" s="6" t="s">
        <v>114</v>
      </c>
      <c r="L1013" s="6" t="s">
        <v>46</v>
      </c>
      <c r="M1013" s="6" t="s">
        <v>115</v>
      </c>
      <c r="N1013" s="6" t="s">
        <v>116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251</v>
      </c>
      <c r="V1013" s="6" t="s">
        <v>362</v>
      </c>
      <c r="W1013" s="23">
        <v>35.450000000000003</v>
      </c>
      <c r="X1013" s="23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359</v>
      </c>
      <c r="AE1013" s="6" t="s">
        <v>347</v>
      </c>
      <c r="AF1013" s="6" t="s">
        <v>49</v>
      </c>
      <c r="AG1013" s="6" t="s">
        <v>49</v>
      </c>
      <c r="AH1013" s="6" t="s">
        <v>183</v>
      </c>
      <c r="AI1013" s="20" t="s">
        <v>55</v>
      </c>
      <c r="AJ1013" s="20" t="s">
        <v>49</v>
      </c>
      <c r="AK1013" s="20" t="s">
        <v>49</v>
      </c>
      <c r="AL1013" s="20" t="s">
        <v>49</v>
      </c>
      <c r="AM1013" s="20" t="s">
        <v>49</v>
      </c>
      <c r="AN1013" s="20" t="s">
        <v>49</v>
      </c>
      <c r="AO1013" s="20" t="s">
        <v>49</v>
      </c>
      <c r="AP1013" s="20">
        <v>0</v>
      </c>
      <c r="AQ1013" s="20" t="s">
        <v>49</v>
      </c>
      <c r="AR1013" s="6" t="s">
        <v>49</v>
      </c>
      <c r="AS1013" s="6">
        <v>-93.492000000000004</v>
      </c>
      <c r="AT1013" s="20" t="s">
        <v>49</v>
      </c>
      <c r="AU1013" s="20" t="s">
        <v>49</v>
      </c>
      <c r="AV1013" s="20" t="s">
        <v>49</v>
      </c>
      <c r="AW1013" s="31" t="s">
        <v>49</v>
      </c>
    </row>
    <row r="1014" spans="1:49">
      <c r="A1014" s="6">
        <v>80</v>
      </c>
      <c r="B1014" s="6" t="s">
        <v>38</v>
      </c>
      <c r="C1014" s="6" t="s">
        <v>49</v>
      </c>
      <c r="D1014" s="6" t="s">
        <v>352</v>
      </c>
      <c r="E1014" s="6" t="s">
        <v>302</v>
      </c>
      <c r="F1014" s="6">
        <v>2002</v>
      </c>
      <c r="G1014" s="6" t="s">
        <v>110</v>
      </c>
      <c r="H1014" s="6" t="s">
        <v>353</v>
      </c>
      <c r="I1014" s="6" t="s">
        <v>354</v>
      </c>
      <c r="J1014" s="3" t="s">
        <v>355</v>
      </c>
      <c r="K1014" s="6" t="s">
        <v>114</v>
      </c>
      <c r="L1014" s="6" t="s">
        <v>46</v>
      </c>
      <c r="M1014" s="6" t="s">
        <v>115</v>
      </c>
      <c r="N1014" s="6" t="s">
        <v>116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251</v>
      </c>
      <c r="V1014" s="6" t="s">
        <v>362</v>
      </c>
      <c r="W1014" s="23">
        <v>35.450000000000003</v>
      </c>
      <c r="X1014" s="23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359</v>
      </c>
      <c r="AE1014" s="6" t="s">
        <v>367</v>
      </c>
      <c r="AF1014" s="6" t="s">
        <v>49</v>
      </c>
      <c r="AG1014" s="6" t="s">
        <v>49</v>
      </c>
      <c r="AH1014" s="6" t="s">
        <v>183</v>
      </c>
      <c r="AI1014" s="20" t="s">
        <v>55</v>
      </c>
      <c r="AJ1014" s="20" t="s">
        <v>49</v>
      </c>
      <c r="AK1014" s="20" t="s">
        <v>49</v>
      </c>
      <c r="AL1014" s="20" t="s">
        <v>49</v>
      </c>
      <c r="AM1014" s="20" t="s">
        <v>49</v>
      </c>
      <c r="AN1014" s="20" t="s">
        <v>49</v>
      </c>
      <c r="AO1014" s="20" t="s">
        <v>49</v>
      </c>
      <c r="AP1014" s="20">
        <v>0</v>
      </c>
      <c r="AQ1014" s="20" t="s">
        <v>49</v>
      </c>
      <c r="AR1014" s="6" t="s">
        <v>49</v>
      </c>
      <c r="AS1014" s="6">
        <v>1.399</v>
      </c>
      <c r="AT1014" s="20" t="s">
        <v>49</v>
      </c>
      <c r="AU1014" s="20" t="s">
        <v>49</v>
      </c>
      <c r="AV1014" s="20" t="s">
        <v>49</v>
      </c>
      <c r="AW1014" s="31" t="s">
        <v>49</v>
      </c>
    </row>
    <row r="1015" spans="1:49">
      <c r="A1015" s="6">
        <v>80</v>
      </c>
      <c r="B1015" s="6" t="s">
        <v>38</v>
      </c>
      <c r="C1015" s="6" t="s">
        <v>49</v>
      </c>
      <c r="D1015" s="6" t="s">
        <v>352</v>
      </c>
      <c r="E1015" s="6" t="s">
        <v>302</v>
      </c>
      <c r="F1015" s="6">
        <v>2002</v>
      </c>
      <c r="G1015" s="6" t="s">
        <v>110</v>
      </c>
      <c r="H1015" s="6" t="s">
        <v>353</v>
      </c>
      <c r="I1015" s="6" t="s">
        <v>354</v>
      </c>
      <c r="J1015" s="3" t="s">
        <v>355</v>
      </c>
      <c r="K1015" s="6" t="s">
        <v>114</v>
      </c>
      <c r="L1015" s="6" t="s">
        <v>46</v>
      </c>
      <c r="M1015" s="6" t="s">
        <v>115</v>
      </c>
      <c r="N1015" s="6" t="s">
        <v>116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251</v>
      </c>
      <c r="V1015" s="6" t="s">
        <v>362</v>
      </c>
      <c r="W1015" s="23">
        <v>35.450000000000003</v>
      </c>
      <c r="X1015" s="23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359</v>
      </c>
      <c r="AE1015" s="6" t="s">
        <v>213</v>
      </c>
      <c r="AF1015" s="6" t="s">
        <v>49</v>
      </c>
      <c r="AG1015" s="6" t="s">
        <v>49</v>
      </c>
      <c r="AH1015" s="6" t="s">
        <v>183</v>
      </c>
      <c r="AI1015" s="20" t="s">
        <v>55</v>
      </c>
      <c r="AJ1015" s="20" t="s">
        <v>49</v>
      </c>
      <c r="AK1015" s="20" t="s">
        <v>49</v>
      </c>
      <c r="AL1015" s="20" t="s">
        <v>49</v>
      </c>
      <c r="AM1015" s="20" t="s">
        <v>49</v>
      </c>
      <c r="AN1015" s="20" t="s">
        <v>49</v>
      </c>
      <c r="AO1015" s="20" t="s">
        <v>49</v>
      </c>
      <c r="AP1015" s="20">
        <v>0</v>
      </c>
      <c r="AQ1015" s="20" t="s">
        <v>49</v>
      </c>
      <c r="AR1015" s="6" t="s">
        <v>49</v>
      </c>
      <c r="AS1015" s="6">
        <v>-0.151</v>
      </c>
      <c r="AT1015" s="20" t="s">
        <v>49</v>
      </c>
      <c r="AU1015" s="20" t="s">
        <v>49</v>
      </c>
      <c r="AV1015" s="20" t="s">
        <v>49</v>
      </c>
      <c r="AW1015" s="31" t="s">
        <v>49</v>
      </c>
    </row>
    <row r="1016" spans="1:49">
      <c r="A1016" s="6">
        <v>80</v>
      </c>
      <c r="B1016" s="6" t="s">
        <v>38</v>
      </c>
      <c r="C1016" s="6" t="s">
        <v>49</v>
      </c>
      <c r="D1016" s="6" t="s">
        <v>352</v>
      </c>
      <c r="E1016" s="6" t="s">
        <v>302</v>
      </c>
      <c r="F1016" s="6">
        <v>2002</v>
      </c>
      <c r="G1016" s="6" t="s">
        <v>110</v>
      </c>
      <c r="H1016" s="6" t="s">
        <v>353</v>
      </c>
      <c r="I1016" s="6" t="s">
        <v>354</v>
      </c>
      <c r="J1016" s="3" t="s">
        <v>355</v>
      </c>
      <c r="K1016" s="6" t="s">
        <v>114</v>
      </c>
      <c r="L1016" s="6" t="s">
        <v>46</v>
      </c>
      <c r="M1016" s="6" t="s">
        <v>115</v>
      </c>
      <c r="N1016" s="6" t="s">
        <v>116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251</v>
      </c>
      <c r="V1016" s="6" t="s">
        <v>362</v>
      </c>
      <c r="W1016" s="23">
        <v>35.450000000000003</v>
      </c>
      <c r="X1016" s="23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347</v>
      </c>
      <c r="AE1016" s="6" t="s">
        <v>367</v>
      </c>
      <c r="AF1016" s="6" t="s">
        <v>49</v>
      </c>
      <c r="AG1016" s="6" t="s">
        <v>49</v>
      </c>
      <c r="AH1016" s="6" t="s">
        <v>183</v>
      </c>
      <c r="AI1016" s="20" t="s">
        <v>55</v>
      </c>
      <c r="AJ1016" s="20" t="s">
        <v>49</v>
      </c>
      <c r="AK1016" s="20" t="s">
        <v>49</v>
      </c>
      <c r="AL1016" s="20" t="s">
        <v>49</v>
      </c>
      <c r="AM1016" s="20" t="s">
        <v>49</v>
      </c>
      <c r="AN1016" s="20" t="s">
        <v>49</v>
      </c>
      <c r="AO1016" s="20" t="s">
        <v>49</v>
      </c>
      <c r="AP1016" s="20">
        <v>0</v>
      </c>
      <c r="AQ1016" s="20" t="s">
        <v>49</v>
      </c>
      <c r="AR1016" s="6" t="s">
        <v>49</v>
      </c>
      <c r="AS1016" s="6">
        <v>-100.33</v>
      </c>
      <c r="AT1016" s="20" t="s">
        <v>49</v>
      </c>
      <c r="AU1016" s="20" t="s">
        <v>49</v>
      </c>
      <c r="AV1016" s="20" t="s">
        <v>49</v>
      </c>
      <c r="AW1016" s="31" t="s">
        <v>49</v>
      </c>
    </row>
    <row r="1017" spans="1:49">
      <c r="A1017" s="6">
        <v>80</v>
      </c>
      <c r="B1017" s="6" t="s">
        <v>38</v>
      </c>
      <c r="C1017" s="6" t="s">
        <v>49</v>
      </c>
      <c r="D1017" s="6" t="s">
        <v>352</v>
      </c>
      <c r="E1017" s="6" t="s">
        <v>302</v>
      </c>
      <c r="F1017" s="6">
        <v>2002</v>
      </c>
      <c r="G1017" s="6" t="s">
        <v>110</v>
      </c>
      <c r="H1017" s="6" t="s">
        <v>353</v>
      </c>
      <c r="I1017" s="6" t="s">
        <v>354</v>
      </c>
      <c r="J1017" s="3" t="s">
        <v>355</v>
      </c>
      <c r="K1017" s="6" t="s">
        <v>114</v>
      </c>
      <c r="L1017" s="6" t="s">
        <v>46</v>
      </c>
      <c r="M1017" s="6" t="s">
        <v>115</v>
      </c>
      <c r="N1017" s="6" t="s">
        <v>116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251</v>
      </c>
      <c r="V1017" s="6" t="s">
        <v>362</v>
      </c>
      <c r="W1017" s="23">
        <v>35.450000000000003</v>
      </c>
      <c r="X1017" s="23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347</v>
      </c>
      <c r="AE1017" s="6" t="s">
        <v>213</v>
      </c>
      <c r="AF1017" s="6" t="s">
        <v>49</v>
      </c>
      <c r="AG1017" s="6" t="s">
        <v>49</v>
      </c>
      <c r="AH1017" s="6" t="s">
        <v>183</v>
      </c>
      <c r="AI1017" s="20" t="s">
        <v>55</v>
      </c>
      <c r="AJ1017" s="20" t="s">
        <v>49</v>
      </c>
      <c r="AK1017" s="20" t="s">
        <v>49</v>
      </c>
      <c r="AL1017" s="20" t="s">
        <v>49</v>
      </c>
      <c r="AM1017" s="20" t="s">
        <v>49</v>
      </c>
      <c r="AN1017" s="20" t="s">
        <v>49</v>
      </c>
      <c r="AO1017" s="20" t="s">
        <v>49</v>
      </c>
      <c r="AP1017" s="20">
        <v>0</v>
      </c>
      <c r="AQ1017" s="20" t="s">
        <v>49</v>
      </c>
      <c r="AR1017" s="6" t="s">
        <v>49</v>
      </c>
      <c r="AS1017" s="6">
        <v>-132.54</v>
      </c>
      <c r="AT1017" s="20" t="s">
        <v>49</v>
      </c>
      <c r="AU1017" s="20" t="s">
        <v>49</v>
      </c>
      <c r="AV1017" s="20" t="s">
        <v>49</v>
      </c>
      <c r="AW1017" s="31" t="s">
        <v>49</v>
      </c>
    </row>
    <row r="1018" spans="1:49">
      <c r="A1018" s="6">
        <v>80</v>
      </c>
      <c r="B1018" s="6" t="s">
        <v>38</v>
      </c>
      <c r="C1018" s="6" t="s">
        <v>49</v>
      </c>
      <c r="D1018" s="6" t="s">
        <v>352</v>
      </c>
      <c r="E1018" s="6" t="s">
        <v>302</v>
      </c>
      <c r="F1018" s="6">
        <v>2002</v>
      </c>
      <c r="G1018" s="6" t="s">
        <v>110</v>
      </c>
      <c r="H1018" s="6" t="s">
        <v>353</v>
      </c>
      <c r="I1018" s="6" t="s">
        <v>354</v>
      </c>
      <c r="J1018" s="3" t="s">
        <v>355</v>
      </c>
      <c r="K1018" s="6" t="s">
        <v>114</v>
      </c>
      <c r="L1018" s="6" t="s">
        <v>46</v>
      </c>
      <c r="M1018" s="6" t="s">
        <v>115</v>
      </c>
      <c r="N1018" s="6" t="s">
        <v>116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251</v>
      </c>
      <c r="V1018" s="6" t="s">
        <v>362</v>
      </c>
      <c r="W1018" s="23">
        <v>35.450000000000003</v>
      </c>
      <c r="X1018" s="23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367</v>
      </c>
      <c r="AE1018" s="6" t="s">
        <v>213</v>
      </c>
      <c r="AF1018" s="6" t="s">
        <v>49</v>
      </c>
      <c r="AG1018" s="6" t="s">
        <v>49</v>
      </c>
      <c r="AH1018" s="6" t="s">
        <v>183</v>
      </c>
      <c r="AI1018" s="20" t="s">
        <v>55</v>
      </c>
      <c r="AJ1018" s="20" t="s">
        <v>49</v>
      </c>
      <c r="AK1018" s="20" t="s">
        <v>49</v>
      </c>
      <c r="AL1018" s="20" t="s">
        <v>49</v>
      </c>
      <c r="AM1018" s="20" t="s">
        <v>49</v>
      </c>
      <c r="AN1018" s="20" t="s">
        <v>49</v>
      </c>
      <c r="AO1018" s="20" t="s">
        <v>49</v>
      </c>
      <c r="AP1018" s="20">
        <v>0</v>
      </c>
      <c r="AQ1018" s="20" t="s">
        <v>49</v>
      </c>
      <c r="AR1018" s="6" t="s">
        <v>49</v>
      </c>
      <c r="AS1018" s="6">
        <v>-0.34</v>
      </c>
      <c r="AT1018" s="20" t="s">
        <v>49</v>
      </c>
      <c r="AU1018" s="20" t="s">
        <v>49</v>
      </c>
      <c r="AV1018" s="20" t="s">
        <v>49</v>
      </c>
      <c r="AW1018" s="31" t="s">
        <v>49</v>
      </c>
    </row>
    <row r="1019" spans="1:49">
      <c r="A1019" s="6">
        <v>80</v>
      </c>
      <c r="B1019" s="6" t="s">
        <v>38</v>
      </c>
      <c r="C1019" s="6" t="s">
        <v>49</v>
      </c>
      <c r="D1019" s="6" t="s">
        <v>352</v>
      </c>
      <c r="E1019" s="6" t="s">
        <v>302</v>
      </c>
      <c r="F1019" s="6">
        <v>2002</v>
      </c>
      <c r="G1019" s="6" t="s">
        <v>110</v>
      </c>
      <c r="H1019" s="6" t="s">
        <v>353</v>
      </c>
      <c r="I1019" s="6" t="s">
        <v>354</v>
      </c>
      <c r="J1019" s="3" t="s">
        <v>355</v>
      </c>
      <c r="K1019" s="6" t="s">
        <v>114</v>
      </c>
      <c r="L1019" s="6" t="s">
        <v>46</v>
      </c>
      <c r="M1019" s="6" t="s">
        <v>115</v>
      </c>
      <c r="N1019" s="6" t="s">
        <v>116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251</v>
      </c>
      <c r="V1019" s="6" t="s">
        <v>363</v>
      </c>
      <c r="W1019" s="25">
        <v>35.016666999999998</v>
      </c>
      <c r="X1019" s="25">
        <v>26.05</v>
      </c>
      <c r="Y1019" s="6" t="s">
        <v>48</v>
      </c>
      <c r="Z1019" s="6" t="s">
        <v>49</v>
      </c>
      <c r="AA1019" s="6" t="s">
        <v>127</v>
      </c>
      <c r="AB1019" s="6" t="s">
        <v>239</v>
      </c>
      <c r="AC1019" s="6" t="s">
        <v>240</v>
      </c>
      <c r="AD1019" s="6" t="s">
        <v>240</v>
      </c>
      <c r="AE1019" s="6" t="s">
        <v>240</v>
      </c>
      <c r="AF1019" s="6" t="s">
        <v>60</v>
      </c>
      <c r="AG1019" s="6" t="s">
        <v>61</v>
      </c>
      <c r="AH1019" s="6" t="s">
        <v>183</v>
      </c>
      <c r="AI1019" s="20" t="s">
        <v>55</v>
      </c>
      <c r="AJ1019" s="20">
        <v>31</v>
      </c>
      <c r="AK1019" s="20">
        <f>AJ1019*2*4</f>
        <v>248</v>
      </c>
      <c r="AL1019" s="20">
        <f>AS1019/AN1019</f>
        <v>0.20112173547797296</v>
      </c>
      <c r="AM1019" s="19">
        <v>14.787100000000001</v>
      </c>
      <c r="AN1019" s="19">
        <v>4.0472999999999999</v>
      </c>
      <c r="AO1019" s="20" t="s">
        <v>49</v>
      </c>
      <c r="AP1019" s="20">
        <v>0</v>
      </c>
      <c r="AQ1019" s="20" t="s">
        <v>49</v>
      </c>
      <c r="AR1019" s="6" t="s">
        <v>49</v>
      </c>
      <c r="AS1019" s="20">
        <v>0.81399999999999995</v>
      </c>
      <c r="AT1019" s="20">
        <f>AS1019/(AM1019^2)*100</f>
        <v>0.37227029647784443</v>
      </c>
      <c r="AU1019" s="20">
        <v>0</v>
      </c>
      <c r="AV1019" s="4">
        <f>AT1019*(1-AL1019)/AL1019</f>
        <v>1.4786996923855213</v>
      </c>
      <c r="AW1019" s="31" t="s">
        <v>366</v>
      </c>
    </row>
    <row r="1020" spans="1:49">
      <c r="A1020" s="6">
        <v>80</v>
      </c>
      <c r="B1020" s="6" t="s">
        <v>38</v>
      </c>
      <c r="C1020" s="6" t="s">
        <v>49</v>
      </c>
      <c r="D1020" s="6" t="s">
        <v>352</v>
      </c>
      <c r="E1020" s="6" t="s">
        <v>302</v>
      </c>
      <c r="F1020" s="6">
        <v>2002</v>
      </c>
      <c r="G1020" s="6" t="s">
        <v>110</v>
      </c>
      <c r="H1020" s="6" t="s">
        <v>353</v>
      </c>
      <c r="I1020" s="6" t="s">
        <v>354</v>
      </c>
      <c r="J1020" s="3" t="s">
        <v>355</v>
      </c>
      <c r="K1020" s="6" t="s">
        <v>114</v>
      </c>
      <c r="L1020" s="6" t="s">
        <v>46</v>
      </c>
      <c r="M1020" s="6" t="s">
        <v>115</v>
      </c>
      <c r="N1020" s="6" t="s">
        <v>116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251</v>
      </c>
      <c r="V1020" s="6" t="s">
        <v>363</v>
      </c>
      <c r="W1020" s="25">
        <v>35.016666999999998</v>
      </c>
      <c r="X1020" s="25">
        <v>26.05</v>
      </c>
      <c r="Y1020" s="6" t="s">
        <v>48</v>
      </c>
      <c r="Z1020" s="6" t="s">
        <v>49</v>
      </c>
      <c r="AA1020" s="6" t="s">
        <v>127</v>
      </c>
      <c r="AB1020" s="6" t="s">
        <v>292</v>
      </c>
      <c r="AC1020" s="6" t="s">
        <v>360</v>
      </c>
      <c r="AD1020" s="6" t="s">
        <v>357</v>
      </c>
      <c r="AE1020" s="6" t="s">
        <v>357</v>
      </c>
      <c r="AF1020" s="6" t="s">
        <v>60</v>
      </c>
      <c r="AG1020" s="6" t="s">
        <v>60</v>
      </c>
      <c r="AH1020" s="6" t="s">
        <v>183</v>
      </c>
      <c r="AI1020" s="20" t="s">
        <v>55</v>
      </c>
      <c r="AJ1020" s="20">
        <v>31</v>
      </c>
      <c r="AK1020" s="20">
        <f>AJ1020*2*4</f>
        <v>248</v>
      </c>
      <c r="AL1020" s="20">
        <f t="shared" ref="AL1020:AL1025" si="81">AS1020/AN1020</f>
        <v>0.18837018837018837</v>
      </c>
      <c r="AM1020" s="19">
        <v>7.3864000000000001</v>
      </c>
      <c r="AN1020" s="19">
        <v>2.3199000000000001</v>
      </c>
      <c r="AO1020" s="20" t="s">
        <v>49</v>
      </c>
      <c r="AP1020" s="20">
        <v>0</v>
      </c>
      <c r="AQ1020" s="20" t="s">
        <v>49</v>
      </c>
      <c r="AR1020" s="6" t="s">
        <v>49</v>
      </c>
      <c r="AS1020" s="20">
        <v>0.437</v>
      </c>
      <c r="AT1020" s="20">
        <f t="shared" ref="AT1020:AT1025" si="82">AS1020/(AM1020^2)*100</f>
        <v>0.80096915493517995</v>
      </c>
      <c r="AU1020" s="20">
        <v>0</v>
      </c>
      <c r="AV1020" s="4">
        <f t="shared" ref="AV1020:AV1025" si="83">AT1020*(1-AL1020)/AL1020</f>
        <v>3.4511323153946227</v>
      </c>
      <c r="AW1020" s="31" t="s">
        <v>366</v>
      </c>
    </row>
    <row r="1021" spans="1:49">
      <c r="A1021" s="6">
        <v>80</v>
      </c>
      <c r="B1021" s="6" t="s">
        <v>38</v>
      </c>
      <c r="C1021" s="6" t="s">
        <v>49</v>
      </c>
      <c r="D1021" s="6" t="s">
        <v>352</v>
      </c>
      <c r="E1021" s="6" t="s">
        <v>302</v>
      </c>
      <c r="F1021" s="6">
        <v>2002</v>
      </c>
      <c r="G1021" s="6" t="s">
        <v>110</v>
      </c>
      <c r="H1021" s="6" t="s">
        <v>353</v>
      </c>
      <c r="I1021" s="6" t="s">
        <v>354</v>
      </c>
      <c r="J1021" s="3" t="s">
        <v>355</v>
      </c>
      <c r="K1021" s="6" t="s">
        <v>114</v>
      </c>
      <c r="L1021" s="6" t="s">
        <v>46</v>
      </c>
      <c r="M1021" s="6" t="s">
        <v>115</v>
      </c>
      <c r="N1021" s="6" t="s">
        <v>116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251</v>
      </c>
      <c r="V1021" s="6" t="s">
        <v>363</v>
      </c>
      <c r="W1021" s="25">
        <v>35.016666999999998</v>
      </c>
      <c r="X1021" s="25">
        <v>26.05</v>
      </c>
      <c r="Y1021" s="6" t="s">
        <v>48</v>
      </c>
      <c r="Z1021" s="6" t="s">
        <v>49</v>
      </c>
      <c r="AA1021" s="6" t="s">
        <v>127</v>
      </c>
      <c r="AB1021" s="6" t="s">
        <v>241</v>
      </c>
      <c r="AC1021" s="6" t="s">
        <v>361</v>
      </c>
      <c r="AD1021" s="6" t="s">
        <v>358</v>
      </c>
      <c r="AE1021" s="6" t="s">
        <v>358</v>
      </c>
      <c r="AF1021" s="6" t="s">
        <v>60</v>
      </c>
      <c r="AG1021" s="6" t="s">
        <v>53</v>
      </c>
      <c r="AH1021" s="6" t="s">
        <v>183</v>
      </c>
      <c r="AI1021" s="20" t="s">
        <v>55</v>
      </c>
      <c r="AJ1021" s="20">
        <v>31</v>
      </c>
      <c r="AK1021" s="20">
        <f t="shared" ref="AK1021:AK1025" si="84">AJ1021*2*4</f>
        <v>248</v>
      </c>
      <c r="AL1021" s="20">
        <f t="shared" si="81"/>
        <v>0.54757164857454077</v>
      </c>
      <c r="AM1021" s="19">
        <v>42.040500000000002</v>
      </c>
      <c r="AN1021" s="19">
        <v>53.246000000000002</v>
      </c>
      <c r="AO1021" s="20" t="s">
        <v>49</v>
      </c>
      <c r="AP1021" s="20">
        <v>0</v>
      </c>
      <c r="AQ1021" s="20" t="s">
        <v>49</v>
      </c>
      <c r="AR1021" s="6" t="s">
        <v>49</v>
      </c>
      <c r="AS1021" s="20">
        <v>29.155999999999999</v>
      </c>
      <c r="AT1021" s="20">
        <f t="shared" si="82"/>
        <v>1.6496514625191034</v>
      </c>
      <c r="AU1021" s="20">
        <v>0</v>
      </c>
      <c r="AV1021" s="4">
        <f t="shared" si="83"/>
        <v>1.36301631678163</v>
      </c>
      <c r="AW1021" s="31" t="s">
        <v>366</v>
      </c>
    </row>
    <row r="1022" spans="1:49">
      <c r="A1022" s="6">
        <v>80</v>
      </c>
      <c r="B1022" s="6" t="s">
        <v>38</v>
      </c>
      <c r="C1022" s="6" t="s">
        <v>49</v>
      </c>
      <c r="D1022" s="6" t="s">
        <v>352</v>
      </c>
      <c r="E1022" s="6" t="s">
        <v>302</v>
      </c>
      <c r="F1022" s="6">
        <v>2002</v>
      </c>
      <c r="G1022" s="6" t="s">
        <v>110</v>
      </c>
      <c r="H1022" s="6" t="s">
        <v>353</v>
      </c>
      <c r="I1022" s="6" t="s">
        <v>354</v>
      </c>
      <c r="J1022" s="3" t="s">
        <v>355</v>
      </c>
      <c r="K1022" s="6" t="s">
        <v>114</v>
      </c>
      <c r="L1022" s="6" t="s">
        <v>46</v>
      </c>
      <c r="M1022" s="6" t="s">
        <v>115</v>
      </c>
      <c r="N1022" s="6" t="s">
        <v>116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251</v>
      </c>
      <c r="V1022" s="6" t="s">
        <v>363</v>
      </c>
      <c r="W1022" s="25">
        <v>35.016666999999998</v>
      </c>
      <c r="X1022" s="25">
        <v>26.05</v>
      </c>
      <c r="Y1022" s="6" t="s">
        <v>48</v>
      </c>
      <c r="Z1022" s="6" t="s">
        <v>49</v>
      </c>
      <c r="AA1022" s="6" t="s">
        <v>127</v>
      </c>
      <c r="AB1022" s="6" t="s">
        <v>241</v>
      </c>
      <c r="AC1022" s="6" t="s">
        <v>361</v>
      </c>
      <c r="AD1022" s="6" t="s">
        <v>359</v>
      </c>
      <c r="AE1022" s="6" t="s">
        <v>359</v>
      </c>
      <c r="AF1022" s="6" t="s">
        <v>60</v>
      </c>
      <c r="AG1022" s="6" t="s">
        <v>60</v>
      </c>
      <c r="AH1022" s="6" t="s">
        <v>183</v>
      </c>
      <c r="AI1022" s="20" t="s">
        <v>55</v>
      </c>
      <c r="AJ1022" s="20">
        <v>31</v>
      </c>
      <c r="AK1022" s="20">
        <f t="shared" si="84"/>
        <v>248</v>
      </c>
      <c r="AL1022" s="20">
        <f t="shared" si="81"/>
        <v>0.22436397136985328</v>
      </c>
      <c r="AM1022" s="19">
        <v>5.0129999999999999</v>
      </c>
      <c r="AN1022" s="19">
        <v>7.0555000000000003</v>
      </c>
      <c r="AO1022" s="20" t="s">
        <v>49</v>
      </c>
      <c r="AP1022" s="20">
        <v>0</v>
      </c>
      <c r="AQ1022" s="20" t="s">
        <v>49</v>
      </c>
      <c r="AR1022" s="6" t="s">
        <v>49</v>
      </c>
      <c r="AS1022" s="20">
        <v>1.583</v>
      </c>
      <c r="AT1022" s="20">
        <f t="shared" si="82"/>
        <v>6.2992015692373577</v>
      </c>
      <c r="AU1022" s="20">
        <v>0</v>
      </c>
      <c r="AV1022" s="4">
        <f t="shared" si="83"/>
        <v>21.776614395231487</v>
      </c>
      <c r="AW1022" s="31" t="s">
        <v>366</v>
      </c>
    </row>
    <row r="1023" spans="1:49">
      <c r="A1023" s="6">
        <v>80</v>
      </c>
      <c r="B1023" s="6" t="s">
        <v>38</v>
      </c>
      <c r="C1023" s="6" t="s">
        <v>49</v>
      </c>
      <c r="D1023" s="6" t="s">
        <v>352</v>
      </c>
      <c r="E1023" s="6" t="s">
        <v>302</v>
      </c>
      <c r="F1023" s="6">
        <v>2002</v>
      </c>
      <c r="G1023" s="6" t="s">
        <v>110</v>
      </c>
      <c r="H1023" s="6" t="s">
        <v>353</v>
      </c>
      <c r="I1023" s="6" t="s">
        <v>354</v>
      </c>
      <c r="J1023" s="3" t="s">
        <v>355</v>
      </c>
      <c r="K1023" s="6" t="s">
        <v>114</v>
      </c>
      <c r="L1023" s="6" t="s">
        <v>46</v>
      </c>
      <c r="M1023" s="6" t="s">
        <v>115</v>
      </c>
      <c r="N1023" s="6" t="s">
        <v>116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251</v>
      </c>
      <c r="V1023" s="6" t="s">
        <v>363</v>
      </c>
      <c r="W1023" s="25">
        <v>35.016666999999998</v>
      </c>
      <c r="X1023" s="25">
        <v>26.05</v>
      </c>
      <c r="Y1023" s="6" t="s">
        <v>48</v>
      </c>
      <c r="Z1023" s="6" t="s">
        <v>49</v>
      </c>
      <c r="AA1023" s="6" t="s">
        <v>94</v>
      </c>
      <c r="AB1023" s="6" t="s">
        <v>349</v>
      </c>
      <c r="AC1023" s="6" t="s">
        <v>349</v>
      </c>
      <c r="AD1023" s="6" t="s">
        <v>347</v>
      </c>
      <c r="AE1023" s="6" t="s">
        <v>347</v>
      </c>
      <c r="AF1023" s="6" t="s">
        <v>60</v>
      </c>
      <c r="AG1023" s="6" t="s">
        <v>53</v>
      </c>
      <c r="AH1023" s="6" t="s">
        <v>183</v>
      </c>
      <c r="AI1023" s="20" t="s">
        <v>55</v>
      </c>
      <c r="AJ1023" s="20">
        <v>31</v>
      </c>
      <c r="AK1023" s="20">
        <f t="shared" si="84"/>
        <v>248</v>
      </c>
      <c r="AL1023" s="20">
        <f t="shared" si="81"/>
        <v>0.61553730321697464</v>
      </c>
      <c r="AM1023" s="19">
        <v>168.45689999999999</v>
      </c>
      <c r="AN1023" s="19">
        <v>2922</v>
      </c>
      <c r="AO1023" s="20" t="s">
        <v>49</v>
      </c>
      <c r="AP1023" s="20">
        <v>0</v>
      </c>
      <c r="AQ1023" s="20" t="s">
        <v>49</v>
      </c>
      <c r="AR1023" s="6" t="s">
        <v>49</v>
      </c>
      <c r="AS1023" s="20">
        <v>1798.6</v>
      </c>
      <c r="AT1023" s="20">
        <f t="shared" si="82"/>
        <v>6.3380692541392376</v>
      </c>
      <c r="AU1023" s="20">
        <v>0</v>
      </c>
      <c r="AV1023" s="4">
        <f t="shared" si="83"/>
        <v>3.9587384633048037</v>
      </c>
      <c r="AW1023" s="31" t="s">
        <v>366</v>
      </c>
    </row>
    <row r="1024" spans="1:49">
      <c r="A1024" s="6">
        <v>80</v>
      </c>
      <c r="B1024" s="6" t="s">
        <v>38</v>
      </c>
      <c r="C1024" s="6" t="s">
        <v>49</v>
      </c>
      <c r="D1024" s="6" t="s">
        <v>352</v>
      </c>
      <c r="E1024" s="6" t="s">
        <v>302</v>
      </c>
      <c r="F1024" s="6">
        <v>2002</v>
      </c>
      <c r="G1024" s="6" t="s">
        <v>110</v>
      </c>
      <c r="H1024" s="6" t="s">
        <v>353</v>
      </c>
      <c r="I1024" s="6" t="s">
        <v>354</v>
      </c>
      <c r="J1024" s="3" t="s">
        <v>355</v>
      </c>
      <c r="K1024" s="6" t="s">
        <v>114</v>
      </c>
      <c r="L1024" s="6" t="s">
        <v>46</v>
      </c>
      <c r="M1024" s="6" t="s">
        <v>115</v>
      </c>
      <c r="N1024" s="6" t="s">
        <v>116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251</v>
      </c>
      <c r="V1024" s="6" t="s">
        <v>363</v>
      </c>
      <c r="W1024" s="25">
        <v>35.016666999999998</v>
      </c>
      <c r="X1024" s="25">
        <v>26.05</v>
      </c>
      <c r="Y1024" s="6" t="s">
        <v>48</v>
      </c>
      <c r="Z1024" s="6" t="s">
        <v>49</v>
      </c>
      <c r="AA1024" s="6" t="s">
        <v>50</v>
      </c>
      <c r="AB1024" s="6" t="s">
        <v>51</v>
      </c>
      <c r="AC1024" s="6" t="s">
        <v>350</v>
      </c>
      <c r="AD1024" s="6" t="s">
        <v>367</v>
      </c>
      <c r="AE1024" s="6" t="s">
        <v>367</v>
      </c>
      <c r="AF1024" s="6" t="s">
        <v>60</v>
      </c>
      <c r="AG1024" s="6" t="s">
        <v>53</v>
      </c>
      <c r="AH1024" s="6" t="s">
        <v>183</v>
      </c>
      <c r="AI1024" s="20" t="s">
        <v>55</v>
      </c>
      <c r="AJ1024" s="20">
        <v>31</v>
      </c>
      <c r="AK1024" s="20">
        <f t="shared" si="84"/>
        <v>248</v>
      </c>
      <c r="AL1024" s="20">
        <f t="shared" si="81"/>
        <v>0.43049914403678963</v>
      </c>
      <c r="AM1024" s="19">
        <v>5</v>
      </c>
      <c r="AN1024" s="19">
        <v>5.9581999999999997</v>
      </c>
      <c r="AO1024" s="20" t="s">
        <v>49</v>
      </c>
      <c r="AP1024" s="20">
        <v>0</v>
      </c>
      <c r="AQ1024" s="20" t="s">
        <v>49</v>
      </c>
      <c r="AR1024" s="6" t="s">
        <v>49</v>
      </c>
      <c r="AS1024" s="20">
        <v>2.5649999999999999</v>
      </c>
      <c r="AT1024" s="20">
        <f t="shared" si="82"/>
        <v>10.26</v>
      </c>
      <c r="AU1024" s="20">
        <v>0</v>
      </c>
      <c r="AV1024" s="4">
        <f t="shared" si="83"/>
        <v>13.572800000000001</v>
      </c>
      <c r="AW1024" s="31" t="s">
        <v>366</v>
      </c>
    </row>
    <row r="1025" spans="1:49">
      <c r="A1025" s="6">
        <v>80</v>
      </c>
      <c r="B1025" s="6" t="s">
        <v>38</v>
      </c>
      <c r="C1025" s="6" t="s">
        <v>49</v>
      </c>
      <c r="D1025" s="6" t="s">
        <v>352</v>
      </c>
      <c r="E1025" s="6" t="s">
        <v>302</v>
      </c>
      <c r="F1025" s="6">
        <v>2002</v>
      </c>
      <c r="G1025" s="6" t="s">
        <v>110</v>
      </c>
      <c r="H1025" s="6" t="s">
        <v>353</v>
      </c>
      <c r="I1025" s="6" t="s">
        <v>354</v>
      </c>
      <c r="J1025" s="3" t="s">
        <v>355</v>
      </c>
      <c r="K1025" s="6" t="s">
        <v>114</v>
      </c>
      <c r="L1025" s="6" t="s">
        <v>46</v>
      </c>
      <c r="M1025" s="6" t="s">
        <v>115</v>
      </c>
      <c r="N1025" s="6" t="s">
        <v>116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251</v>
      </c>
      <c r="V1025" s="6" t="s">
        <v>363</v>
      </c>
      <c r="W1025" s="25">
        <v>35.016666999999998</v>
      </c>
      <c r="X1025" s="25">
        <v>26.05</v>
      </c>
      <c r="Y1025" s="6" t="s">
        <v>48</v>
      </c>
      <c r="Z1025" s="6" t="s">
        <v>49</v>
      </c>
      <c r="AA1025" s="6" t="s">
        <v>50</v>
      </c>
      <c r="AB1025" s="6" t="s">
        <v>66</v>
      </c>
      <c r="AC1025" s="6" t="s">
        <v>124</v>
      </c>
      <c r="AD1025" s="6" t="s">
        <v>213</v>
      </c>
      <c r="AE1025" s="6" t="s">
        <v>213</v>
      </c>
      <c r="AF1025" s="6" t="s">
        <v>60</v>
      </c>
      <c r="AG1025" s="6" t="s">
        <v>61</v>
      </c>
      <c r="AH1025" s="6" t="s">
        <v>183</v>
      </c>
      <c r="AI1025" s="20" t="s">
        <v>55</v>
      </c>
      <c r="AJ1025" s="20">
        <v>31</v>
      </c>
      <c r="AK1025" s="20">
        <f t="shared" si="84"/>
        <v>248</v>
      </c>
      <c r="AL1025" s="20">
        <f t="shared" si="81"/>
        <v>0.45781387408825203</v>
      </c>
      <c r="AM1025" s="19">
        <v>15.206799999999999</v>
      </c>
      <c r="AN1025" s="19">
        <v>1.9331</v>
      </c>
      <c r="AO1025" s="20" t="s">
        <v>49</v>
      </c>
      <c r="AP1025" s="20">
        <v>0</v>
      </c>
      <c r="AQ1025" s="20" t="s">
        <v>49</v>
      </c>
      <c r="AR1025" s="6" t="s">
        <v>49</v>
      </c>
      <c r="AS1025" s="20">
        <v>0.88500000000000001</v>
      </c>
      <c r="AT1025" s="20">
        <f t="shared" si="82"/>
        <v>0.38270805442593769</v>
      </c>
      <c r="AU1025" s="20">
        <v>0</v>
      </c>
      <c r="AV1025" s="4">
        <f t="shared" si="83"/>
        <v>0.45323877044500033</v>
      </c>
      <c r="AW1025" s="31" t="s">
        <v>366</v>
      </c>
    </row>
    <row r="1026" spans="1:49">
      <c r="A1026" s="6">
        <v>80</v>
      </c>
      <c r="B1026" s="6" t="s">
        <v>38</v>
      </c>
      <c r="C1026" s="6" t="s">
        <v>49</v>
      </c>
      <c r="D1026" s="6" t="s">
        <v>352</v>
      </c>
      <c r="E1026" s="6" t="s">
        <v>302</v>
      </c>
      <c r="F1026" s="6">
        <v>2002</v>
      </c>
      <c r="G1026" s="6" t="s">
        <v>110</v>
      </c>
      <c r="H1026" s="6" t="s">
        <v>353</v>
      </c>
      <c r="I1026" s="6" t="s">
        <v>354</v>
      </c>
      <c r="J1026" s="3" t="s">
        <v>355</v>
      </c>
      <c r="K1026" s="6" t="s">
        <v>114</v>
      </c>
      <c r="L1026" s="6" t="s">
        <v>46</v>
      </c>
      <c r="M1026" s="6" t="s">
        <v>115</v>
      </c>
      <c r="N1026" s="6" t="s">
        <v>116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251</v>
      </c>
      <c r="V1026" s="6" t="s">
        <v>363</v>
      </c>
      <c r="W1026" s="25">
        <v>35.016666999999998</v>
      </c>
      <c r="X1026" s="25">
        <v>26.05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240</v>
      </c>
      <c r="AE1026" s="6" t="s">
        <v>357</v>
      </c>
      <c r="AF1026" s="6" t="s">
        <v>49</v>
      </c>
      <c r="AG1026" s="6" t="s">
        <v>49</v>
      </c>
      <c r="AH1026" s="6" t="s">
        <v>183</v>
      </c>
      <c r="AI1026" s="20" t="s">
        <v>55</v>
      </c>
      <c r="AJ1026" s="20" t="s">
        <v>49</v>
      </c>
      <c r="AK1026" s="20" t="s">
        <v>49</v>
      </c>
      <c r="AL1026" s="20" t="s">
        <v>49</v>
      </c>
      <c r="AM1026" s="20" t="s">
        <v>49</v>
      </c>
      <c r="AN1026" s="20" t="s">
        <v>49</v>
      </c>
      <c r="AO1026" s="20" t="s">
        <v>49</v>
      </c>
      <c r="AP1026" s="20">
        <v>0</v>
      </c>
      <c r="AQ1026" s="20" t="s">
        <v>49</v>
      </c>
      <c r="AR1026" s="6" t="s">
        <v>49</v>
      </c>
      <c r="AS1026" s="20">
        <v>0.308</v>
      </c>
      <c r="AT1026" s="20" t="s">
        <v>49</v>
      </c>
      <c r="AU1026" s="20" t="s">
        <v>49</v>
      </c>
      <c r="AV1026" s="20" t="s">
        <v>49</v>
      </c>
      <c r="AW1026" s="31" t="s">
        <v>49</v>
      </c>
    </row>
    <row r="1027" spans="1:49">
      <c r="A1027" s="6">
        <v>80</v>
      </c>
      <c r="B1027" s="6" t="s">
        <v>38</v>
      </c>
      <c r="C1027" s="6" t="s">
        <v>49</v>
      </c>
      <c r="D1027" s="6" t="s">
        <v>352</v>
      </c>
      <c r="E1027" s="6" t="s">
        <v>302</v>
      </c>
      <c r="F1027" s="6">
        <v>2002</v>
      </c>
      <c r="G1027" s="6" t="s">
        <v>110</v>
      </c>
      <c r="H1027" s="6" t="s">
        <v>353</v>
      </c>
      <c r="I1027" s="6" t="s">
        <v>354</v>
      </c>
      <c r="J1027" s="3" t="s">
        <v>355</v>
      </c>
      <c r="K1027" s="6" t="s">
        <v>114</v>
      </c>
      <c r="L1027" s="6" t="s">
        <v>46</v>
      </c>
      <c r="M1027" s="6" t="s">
        <v>115</v>
      </c>
      <c r="N1027" s="6" t="s">
        <v>116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251</v>
      </c>
      <c r="V1027" s="6" t="s">
        <v>363</v>
      </c>
      <c r="W1027" s="25">
        <v>35.016666999999998</v>
      </c>
      <c r="X1027" s="25">
        <v>26.05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240</v>
      </c>
      <c r="AE1027" s="6" t="s">
        <v>358</v>
      </c>
      <c r="AF1027" s="6" t="s">
        <v>49</v>
      </c>
      <c r="AG1027" s="6" t="s">
        <v>49</v>
      </c>
      <c r="AH1027" s="6" t="s">
        <v>183</v>
      </c>
      <c r="AI1027" s="20" t="s">
        <v>55</v>
      </c>
      <c r="AJ1027" s="20" t="s">
        <v>49</v>
      </c>
      <c r="AK1027" s="20" t="s">
        <v>49</v>
      </c>
      <c r="AL1027" s="20" t="s">
        <v>49</v>
      </c>
      <c r="AM1027" s="20" t="s">
        <v>49</v>
      </c>
      <c r="AN1027" s="20" t="s">
        <v>49</v>
      </c>
      <c r="AO1027" s="20" t="s">
        <v>49</v>
      </c>
      <c r="AP1027" s="20">
        <v>0</v>
      </c>
      <c r="AQ1027" s="20" t="s">
        <v>49</v>
      </c>
      <c r="AR1027" s="6" t="s">
        <v>49</v>
      </c>
      <c r="AS1027" s="20">
        <v>1.2</v>
      </c>
      <c r="AT1027" s="20" t="s">
        <v>49</v>
      </c>
      <c r="AU1027" s="20" t="s">
        <v>49</v>
      </c>
      <c r="AV1027" s="20" t="s">
        <v>49</v>
      </c>
      <c r="AW1027" s="31" t="s">
        <v>49</v>
      </c>
    </row>
    <row r="1028" spans="1:49">
      <c r="A1028" s="6">
        <v>80</v>
      </c>
      <c r="B1028" s="6" t="s">
        <v>38</v>
      </c>
      <c r="C1028" s="6" t="s">
        <v>49</v>
      </c>
      <c r="D1028" s="6" t="s">
        <v>352</v>
      </c>
      <c r="E1028" s="6" t="s">
        <v>302</v>
      </c>
      <c r="F1028" s="6">
        <v>2002</v>
      </c>
      <c r="G1028" s="6" t="s">
        <v>110</v>
      </c>
      <c r="H1028" s="6" t="s">
        <v>353</v>
      </c>
      <c r="I1028" s="6" t="s">
        <v>354</v>
      </c>
      <c r="J1028" s="3" t="s">
        <v>355</v>
      </c>
      <c r="K1028" s="6" t="s">
        <v>114</v>
      </c>
      <c r="L1028" s="6" t="s">
        <v>46</v>
      </c>
      <c r="M1028" s="6" t="s">
        <v>115</v>
      </c>
      <c r="N1028" s="6" t="s">
        <v>116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251</v>
      </c>
      <c r="V1028" s="6" t="s">
        <v>363</v>
      </c>
      <c r="W1028" s="25">
        <v>35.016666999999998</v>
      </c>
      <c r="X1028" s="25">
        <v>26.05</v>
      </c>
      <c r="Y1028" s="6" t="s">
        <v>48</v>
      </c>
      <c r="Z1028" s="6" t="s">
        <v>49</v>
      </c>
      <c r="AA1028" s="6" t="s">
        <v>49</v>
      </c>
      <c r="AB1028" s="6" t="s">
        <v>49</v>
      </c>
      <c r="AC1028" s="6" t="s">
        <v>49</v>
      </c>
      <c r="AD1028" s="6" t="s">
        <v>240</v>
      </c>
      <c r="AE1028" s="6" t="s">
        <v>359</v>
      </c>
      <c r="AF1028" s="6" t="s">
        <v>49</v>
      </c>
      <c r="AG1028" s="6" t="s">
        <v>49</v>
      </c>
      <c r="AH1028" s="6" t="s">
        <v>183</v>
      </c>
      <c r="AI1028" s="20" t="s">
        <v>55</v>
      </c>
      <c r="AJ1028" s="20" t="s">
        <v>49</v>
      </c>
      <c r="AK1028" s="20" t="s">
        <v>49</v>
      </c>
      <c r="AL1028" s="20" t="s">
        <v>49</v>
      </c>
      <c r="AM1028" s="20" t="s">
        <v>49</v>
      </c>
      <c r="AN1028" s="20" t="s">
        <v>49</v>
      </c>
      <c r="AO1028" s="20" t="s">
        <v>49</v>
      </c>
      <c r="AP1028" s="20">
        <v>0</v>
      </c>
      <c r="AQ1028" s="20" t="s">
        <v>49</v>
      </c>
      <c r="AR1028" s="6" t="s">
        <v>49</v>
      </c>
      <c r="AS1028" s="20">
        <v>-0.39300000000000002</v>
      </c>
      <c r="AT1028" s="20" t="s">
        <v>49</v>
      </c>
      <c r="AU1028" s="20" t="s">
        <v>49</v>
      </c>
      <c r="AV1028" s="20" t="s">
        <v>49</v>
      </c>
      <c r="AW1028" s="31" t="s">
        <v>49</v>
      </c>
    </row>
    <row r="1029" spans="1:49">
      <c r="A1029" s="6">
        <v>80</v>
      </c>
      <c r="B1029" s="6" t="s">
        <v>38</v>
      </c>
      <c r="C1029" s="6" t="s">
        <v>49</v>
      </c>
      <c r="D1029" s="6" t="s">
        <v>352</v>
      </c>
      <c r="E1029" s="6" t="s">
        <v>302</v>
      </c>
      <c r="F1029" s="6">
        <v>2002</v>
      </c>
      <c r="G1029" s="6" t="s">
        <v>110</v>
      </c>
      <c r="H1029" s="6" t="s">
        <v>353</v>
      </c>
      <c r="I1029" s="6" t="s">
        <v>354</v>
      </c>
      <c r="J1029" s="3" t="s">
        <v>355</v>
      </c>
      <c r="K1029" s="6" t="s">
        <v>114</v>
      </c>
      <c r="L1029" s="6" t="s">
        <v>46</v>
      </c>
      <c r="M1029" s="6" t="s">
        <v>115</v>
      </c>
      <c r="N1029" s="6" t="s">
        <v>116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251</v>
      </c>
      <c r="V1029" s="6" t="s">
        <v>363</v>
      </c>
      <c r="W1029" s="25">
        <v>35.016666999999998</v>
      </c>
      <c r="X1029" s="25">
        <v>26.05</v>
      </c>
      <c r="Y1029" s="6" t="s">
        <v>48</v>
      </c>
      <c r="Z1029" s="6" t="s">
        <v>49</v>
      </c>
      <c r="AA1029" s="6" t="s">
        <v>49</v>
      </c>
      <c r="AB1029" s="6" t="s">
        <v>49</v>
      </c>
      <c r="AC1029" s="6" t="s">
        <v>49</v>
      </c>
      <c r="AD1029" s="6" t="s">
        <v>240</v>
      </c>
      <c r="AE1029" s="6" t="s">
        <v>347</v>
      </c>
      <c r="AF1029" s="6" t="s">
        <v>49</v>
      </c>
      <c r="AG1029" s="6" t="s">
        <v>49</v>
      </c>
      <c r="AH1029" s="6" t="s">
        <v>183</v>
      </c>
      <c r="AI1029" s="20" t="s">
        <v>55</v>
      </c>
      <c r="AJ1029" s="20" t="s">
        <v>49</v>
      </c>
      <c r="AK1029" s="20" t="s">
        <v>49</v>
      </c>
      <c r="AL1029" s="20" t="s">
        <v>49</v>
      </c>
      <c r="AM1029" s="20" t="s">
        <v>49</v>
      </c>
      <c r="AN1029" s="20" t="s">
        <v>49</v>
      </c>
      <c r="AO1029" s="20" t="s">
        <v>49</v>
      </c>
      <c r="AP1029" s="20">
        <v>0</v>
      </c>
      <c r="AQ1029" s="20" t="s">
        <v>49</v>
      </c>
      <c r="AR1029" s="6" t="s">
        <v>49</v>
      </c>
      <c r="AS1029" s="20">
        <v>-57.682000000000002</v>
      </c>
      <c r="AT1029" s="20" t="s">
        <v>49</v>
      </c>
      <c r="AU1029" s="20" t="s">
        <v>49</v>
      </c>
      <c r="AV1029" s="20" t="s">
        <v>49</v>
      </c>
      <c r="AW1029" s="31" t="s">
        <v>49</v>
      </c>
    </row>
    <row r="1030" spans="1:49">
      <c r="A1030" s="6">
        <v>80</v>
      </c>
      <c r="B1030" s="6" t="s">
        <v>38</v>
      </c>
      <c r="C1030" s="6" t="s">
        <v>49</v>
      </c>
      <c r="D1030" s="6" t="s">
        <v>352</v>
      </c>
      <c r="E1030" s="6" t="s">
        <v>302</v>
      </c>
      <c r="F1030" s="6">
        <v>2002</v>
      </c>
      <c r="G1030" s="6" t="s">
        <v>110</v>
      </c>
      <c r="H1030" s="6" t="s">
        <v>353</v>
      </c>
      <c r="I1030" s="6" t="s">
        <v>354</v>
      </c>
      <c r="J1030" s="3" t="s">
        <v>355</v>
      </c>
      <c r="K1030" s="6" t="s">
        <v>114</v>
      </c>
      <c r="L1030" s="6" t="s">
        <v>46</v>
      </c>
      <c r="M1030" s="6" t="s">
        <v>115</v>
      </c>
      <c r="N1030" s="6" t="s">
        <v>116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251</v>
      </c>
      <c r="V1030" s="6" t="s">
        <v>363</v>
      </c>
      <c r="W1030" s="25">
        <v>35.016666999999998</v>
      </c>
      <c r="X1030" s="25">
        <v>26.05</v>
      </c>
      <c r="Y1030" s="6" t="s">
        <v>48</v>
      </c>
      <c r="Z1030" s="6" t="s">
        <v>49</v>
      </c>
      <c r="AA1030" s="6" t="s">
        <v>49</v>
      </c>
      <c r="AB1030" s="6" t="s">
        <v>49</v>
      </c>
      <c r="AC1030" s="6" t="s">
        <v>49</v>
      </c>
      <c r="AD1030" s="6" t="s">
        <v>240</v>
      </c>
      <c r="AE1030" s="6" t="s">
        <v>367</v>
      </c>
      <c r="AF1030" s="6" t="s">
        <v>49</v>
      </c>
      <c r="AG1030" s="6" t="s">
        <v>49</v>
      </c>
      <c r="AH1030" s="6" t="s">
        <v>183</v>
      </c>
      <c r="AI1030" s="20" t="s">
        <v>55</v>
      </c>
      <c r="AJ1030" s="20" t="s">
        <v>49</v>
      </c>
      <c r="AK1030" s="20" t="s">
        <v>49</v>
      </c>
      <c r="AL1030" s="20" t="s">
        <v>49</v>
      </c>
      <c r="AM1030" s="20" t="s">
        <v>49</v>
      </c>
      <c r="AN1030" s="20" t="s">
        <v>49</v>
      </c>
      <c r="AO1030" s="20" t="s">
        <v>49</v>
      </c>
      <c r="AP1030" s="20">
        <v>0</v>
      </c>
      <c r="AQ1030" s="20" t="s">
        <v>49</v>
      </c>
      <c r="AR1030" s="6" t="s">
        <v>49</v>
      </c>
      <c r="AS1030" s="20">
        <v>0.13300000000000001</v>
      </c>
      <c r="AT1030" s="20" t="s">
        <v>49</v>
      </c>
      <c r="AU1030" s="20" t="s">
        <v>49</v>
      </c>
      <c r="AV1030" s="20" t="s">
        <v>49</v>
      </c>
      <c r="AW1030" s="31" t="s">
        <v>49</v>
      </c>
    </row>
    <row r="1031" spans="1:49">
      <c r="A1031" s="6">
        <v>80</v>
      </c>
      <c r="B1031" s="6" t="s">
        <v>38</v>
      </c>
      <c r="C1031" s="6" t="s">
        <v>49</v>
      </c>
      <c r="D1031" s="6" t="s">
        <v>352</v>
      </c>
      <c r="E1031" s="6" t="s">
        <v>302</v>
      </c>
      <c r="F1031" s="6">
        <v>2002</v>
      </c>
      <c r="G1031" s="6" t="s">
        <v>110</v>
      </c>
      <c r="H1031" s="6" t="s">
        <v>353</v>
      </c>
      <c r="I1031" s="6" t="s">
        <v>354</v>
      </c>
      <c r="J1031" s="3" t="s">
        <v>355</v>
      </c>
      <c r="K1031" s="6" t="s">
        <v>114</v>
      </c>
      <c r="L1031" s="6" t="s">
        <v>46</v>
      </c>
      <c r="M1031" s="6" t="s">
        <v>115</v>
      </c>
      <c r="N1031" s="6" t="s">
        <v>116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251</v>
      </c>
      <c r="V1031" s="6" t="s">
        <v>363</v>
      </c>
      <c r="W1031" s="25">
        <v>35.016666999999998</v>
      </c>
      <c r="X1031" s="25">
        <v>26.05</v>
      </c>
      <c r="Y1031" s="6" t="s">
        <v>48</v>
      </c>
      <c r="Z1031" s="6" t="s">
        <v>49</v>
      </c>
      <c r="AA1031" s="6" t="s">
        <v>49</v>
      </c>
      <c r="AB1031" s="6" t="s">
        <v>49</v>
      </c>
      <c r="AC1031" s="6" t="s">
        <v>49</v>
      </c>
      <c r="AD1031" s="6" t="s">
        <v>240</v>
      </c>
      <c r="AE1031" s="6" t="s">
        <v>213</v>
      </c>
      <c r="AF1031" s="6" t="s">
        <v>49</v>
      </c>
      <c r="AG1031" s="6" t="s">
        <v>49</v>
      </c>
      <c r="AH1031" s="6" t="s">
        <v>183</v>
      </c>
      <c r="AI1031" s="20" t="s">
        <v>55</v>
      </c>
      <c r="AJ1031" s="20" t="s">
        <v>49</v>
      </c>
      <c r="AK1031" s="20" t="s">
        <v>49</v>
      </c>
      <c r="AL1031" s="20" t="s">
        <v>49</v>
      </c>
      <c r="AM1031" s="20" t="s">
        <v>49</v>
      </c>
      <c r="AN1031" s="20" t="s">
        <v>49</v>
      </c>
      <c r="AO1031" s="20" t="s">
        <v>49</v>
      </c>
      <c r="AP1031" s="20">
        <v>0</v>
      </c>
      <c r="AQ1031" s="20" t="s">
        <v>49</v>
      </c>
      <c r="AR1031" s="6" t="s">
        <v>49</v>
      </c>
      <c r="AS1031" s="20">
        <v>-1.2E-2</v>
      </c>
      <c r="AT1031" s="20" t="s">
        <v>49</v>
      </c>
      <c r="AU1031" s="20" t="s">
        <v>49</v>
      </c>
      <c r="AV1031" s="20" t="s">
        <v>49</v>
      </c>
      <c r="AW1031" s="31" t="s">
        <v>49</v>
      </c>
    </row>
    <row r="1032" spans="1:49">
      <c r="A1032" s="6">
        <v>80</v>
      </c>
      <c r="B1032" s="6" t="s">
        <v>38</v>
      </c>
      <c r="C1032" s="6" t="s">
        <v>49</v>
      </c>
      <c r="D1032" s="6" t="s">
        <v>352</v>
      </c>
      <c r="E1032" s="6" t="s">
        <v>302</v>
      </c>
      <c r="F1032" s="6">
        <v>2002</v>
      </c>
      <c r="G1032" s="6" t="s">
        <v>110</v>
      </c>
      <c r="H1032" s="6" t="s">
        <v>353</v>
      </c>
      <c r="I1032" s="6" t="s">
        <v>354</v>
      </c>
      <c r="J1032" s="3" t="s">
        <v>355</v>
      </c>
      <c r="K1032" s="6" t="s">
        <v>114</v>
      </c>
      <c r="L1032" s="6" t="s">
        <v>46</v>
      </c>
      <c r="M1032" s="6" t="s">
        <v>115</v>
      </c>
      <c r="N1032" s="6" t="s">
        <v>116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251</v>
      </c>
      <c r="V1032" s="6" t="s">
        <v>363</v>
      </c>
      <c r="W1032" s="25">
        <v>35.016666999999998</v>
      </c>
      <c r="X1032" s="25">
        <v>26.05</v>
      </c>
      <c r="Y1032" s="6" t="s">
        <v>48</v>
      </c>
      <c r="Z1032" s="6" t="s">
        <v>49</v>
      </c>
      <c r="AA1032" s="6" t="s">
        <v>49</v>
      </c>
      <c r="AB1032" s="6" t="s">
        <v>49</v>
      </c>
      <c r="AC1032" s="6" t="s">
        <v>49</v>
      </c>
      <c r="AD1032" s="6" t="s">
        <v>357</v>
      </c>
      <c r="AE1032" s="6" t="s">
        <v>358</v>
      </c>
      <c r="AF1032" s="6" t="s">
        <v>49</v>
      </c>
      <c r="AG1032" s="6" t="s">
        <v>49</v>
      </c>
      <c r="AH1032" s="6" t="s">
        <v>183</v>
      </c>
      <c r="AI1032" s="20" t="s">
        <v>55</v>
      </c>
      <c r="AJ1032" s="20" t="s">
        <v>49</v>
      </c>
      <c r="AK1032" s="20" t="s">
        <v>49</v>
      </c>
      <c r="AL1032" s="20" t="s">
        <v>49</v>
      </c>
      <c r="AM1032" s="20" t="s">
        <v>49</v>
      </c>
      <c r="AN1032" s="20" t="s">
        <v>49</v>
      </c>
      <c r="AO1032" s="20" t="s">
        <v>49</v>
      </c>
      <c r="AP1032" s="20">
        <v>0</v>
      </c>
      <c r="AQ1032" s="20" t="s">
        <v>49</v>
      </c>
      <c r="AR1032" s="6" t="s">
        <v>49</v>
      </c>
      <c r="AS1032" s="6">
        <v>0.01</v>
      </c>
      <c r="AT1032" s="20" t="s">
        <v>49</v>
      </c>
      <c r="AU1032" s="20" t="s">
        <v>49</v>
      </c>
      <c r="AV1032" s="20" t="s">
        <v>49</v>
      </c>
      <c r="AW1032" s="31" t="s">
        <v>49</v>
      </c>
    </row>
    <row r="1033" spans="1:49">
      <c r="A1033" s="6">
        <v>80</v>
      </c>
      <c r="B1033" s="6" t="s">
        <v>38</v>
      </c>
      <c r="C1033" s="6" t="s">
        <v>49</v>
      </c>
      <c r="D1033" s="6" t="s">
        <v>352</v>
      </c>
      <c r="E1033" s="6" t="s">
        <v>302</v>
      </c>
      <c r="F1033" s="6">
        <v>2002</v>
      </c>
      <c r="G1033" s="6" t="s">
        <v>110</v>
      </c>
      <c r="H1033" s="6" t="s">
        <v>353</v>
      </c>
      <c r="I1033" s="6" t="s">
        <v>354</v>
      </c>
      <c r="J1033" s="3" t="s">
        <v>355</v>
      </c>
      <c r="K1033" s="6" t="s">
        <v>114</v>
      </c>
      <c r="L1033" s="6" t="s">
        <v>46</v>
      </c>
      <c r="M1033" s="6" t="s">
        <v>115</v>
      </c>
      <c r="N1033" s="6" t="s">
        <v>116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251</v>
      </c>
      <c r="V1033" s="6" t="s">
        <v>363</v>
      </c>
      <c r="W1033" s="25">
        <v>35.016666999999998</v>
      </c>
      <c r="X1033" s="25">
        <v>26.05</v>
      </c>
      <c r="Y1033" s="6" t="s">
        <v>48</v>
      </c>
      <c r="Z1033" s="6" t="s">
        <v>49</v>
      </c>
      <c r="AA1033" s="6" t="s">
        <v>49</v>
      </c>
      <c r="AB1033" s="6" t="s">
        <v>49</v>
      </c>
      <c r="AC1033" s="6" t="s">
        <v>49</v>
      </c>
      <c r="AD1033" s="6" t="s">
        <v>357</v>
      </c>
      <c r="AE1033" s="6" t="s">
        <v>359</v>
      </c>
      <c r="AF1033" s="6" t="s">
        <v>49</v>
      </c>
      <c r="AG1033" s="6" t="s">
        <v>49</v>
      </c>
      <c r="AH1033" s="6" t="s">
        <v>183</v>
      </c>
      <c r="AI1033" s="20" t="s">
        <v>55</v>
      </c>
      <c r="AJ1033" s="20" t="s">
        <v>49</v>
      </c>
      <c r="AK1033" s="20" t="s">
        <v>49</v>
      </c>
      <c r="AL1033" s="20" t="s">
        <v>49</v>
      </c>
      <c r="AM1033" s="20" t="s">
        <v>49</v>
      </c>
      <c r="AN1033" s="20" t="s">
        <v>49</v>
      </c>
      <c r="AO1033" s="20" t="s">
        <v>49</v>
      </c>
      <c r="AP1033" s="20">
        <v>0</v>
      </c>
      <c r="AQ1033" s="20" t="s">
        <v>49</v>
      </c>
      <c r="AR1033" s="6" t="s">
        <v>49</v>
      </c>
      <c r="AS1033" s="6">
        <v>-0.55400000000000005</v>
      </c>
      <c r="AT1033" s="20" t="s">
        <v>49</v>
      </c>
      <c r="AU1033" s="20" t="s">
        <v>49</v>
      </c>
      <c r="AV1033" s="20" t="s">
        <v>49</v>
      </c>
      <c r="AW1033" s="31" t="s">
        <v>49</v>
      </c>
    </row>
    <row r="1034" spans="1:49">
      <c r="A1034" s="6">
        <v>80</v>
      </c>
      <c r="B1034" s="6" t="s">
        <v>38</v>
      </c>
      <c r="C1034" s="6" t="s">
        <v>49</v>
      </c>
      <c r="D1034" s="6" t="s">
        <v>352</v>
      </c>
      <c r="E1034" s="6" t="s">
        <v>302</v>
      </c>
      <c r="F1034" s="6">
        <v>2002</v>
      </c>
      <c r="G1034" s="6" t="s">
        <v>110</v>
      </c>
      <c r="H1034" s="6" t="s">
        <v>353</v>
      </c>
      <c r="I1034" s="6" t="s">
        <v>354</v>
      </c>
      <c r="J1034" s="3" t="s">
        <v>355</v>
      </c>
      <c r="K1034" s="6" t="s">
        <v>114</v>
      </c>
      <c r="L1034" s="6" t="s">
        <v>46</v>
      </c>
      <c r="M1034" s="6" t="s">
        <v>115</v>
      </c>
      <c r="N1034" s="6" t="s">
        <v>116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251</v>
      </c>
      <c r="V1034" s="6" t="s">
        <v>363</v>
      </c>
      <c r="W1034" s="25">
        <v>35.016666999999998</v>
      </c>
      <c r="X1034" s="25">
        <v>26.05</v>
      </c>
      <c r="Y1034" s="6" t="s">
        <v>48</v>
      </c>
      <c r="Z1034" s="6" t="s">
        <v>49</v>
      </c>
      <c r="AA1034" s="6" t="s">
        <v>49</v>
      </c>
      <c r="AB1034" s="6" t="s">
        <v>49</v>
      </c>
      <c r="AC1034" s="6" t="s">
        <v>49</v>
      </c>
      <c r="AD1034" s="6" t="s">
        <v>357</v>
      </c>
      <c r="AE1034" s="6" t="s">
        <v>347</v>
      </c>
      <c r="AF1034" s="6" t="s">
        <v>49</v>
      </c>
      <c r="AG1034" s="6" t="s">
        <v>49</v>
      </c>
      <c r="AH1034" s="6" t="s">
        <v>183</v>
      </c>
      <c r="AI1034" s="20" t="s">
        <v>55</v>
      </c>
      <c r="AJ1034" s="20" t="s">
        <v>49</v>
      </c>
      <c r="AK1034" s="20" t="s">
        <v>49</v>
      </c>
      <c r="AL1034" s="20" t="s">
        <v>49</v>
      </c>
      <c r="AM1034" s="20" t="s">
        <v>49</v>
      </c>
      <c r="AN1034" s="20" t="s">
        <v>49</v>
      </c>
      <c r="AO1034" s="20" t="s">
        <v>49</v>
      </c>
      <c r="AP1034" s="20">
        <v>0</v>
      </c>
      <c r="AQ1034" s="20" t="s">
        <v>49</v>
      </c>
      <c r="AR1034" s="6" t="s">
        <v>49</v>
      </c>
      <c r="AS1034" s="6">
        <v>-47.825000000000003</v>
      </c>
      <c r="AT1034" s="20" t="s">
        <v>49</v>
      </c>
      <c r="AU1034" s="20" t="s">
        <v>49</v>
      </c>
      <c r="AV1034" s="20" t="s">
        <v>49</v>
      </c>
      <c r="AW1034" s="31" t="s">
        <v>49</v>
      </c>
    </row>
    <row r="1035" spans="1:49">
      <c r="A1035" s="6">
        <v>80</v>
      </c>
      <c r="B1035" s="6" t="s">
        <v>38</v>
      </c>
      <c r="C1035" s="6" t="s">
        <v>49</v>
      </c>
      <c r="D1035" s="6" t="s">
        <v>352</v>
      </c>
      <c r="E1035" s="6" t="s">
        <v>302</v>
      </c>
      <c r="F1035" s="6">
        <v>2002</v>
      </c>
      <c r="G1035" s="6" t="s">
        <v>110</v>
      </c>
      <c r="H1035" s="6" t="s">
        <v>353</v>
      </c>
      <c r="I1035" s="6" t="s">
        <v>354</v>
      </c>
      <c r="J1035" s="3" t="s">
        <v>355</v>
      </c>
      <c r="K1035" s="6" t="s">
        <v>114</v>
      </c>
      <c r="L1035" s="6" t="s">
        <v>46</v>
      </c>
      <c r="M1035" s="6" t="s">
        <v>115</v>
      </c>
      <c r="N1035" s="6" t="s">
        <v>116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251</v>
      </c>
      <c r="V1035" s="6" t="s">
        <v>363</v>
      </c>
      <c r="W1035" s="25">
        <v>35.016666999999998</v>
      </c>
      <c r="X1035" s="25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357</v>
      </c>
      <c r="AE1035" s="6" t="s">
        <v>367</v>
      </c>
      <c r="AF1035" s="6" t="s">
        <v>49</v>
      </c>
      <c r="AG1035" s="6" t="s">
        <v>49</v>
      </c>
      <c r="AH1035" s="6" t="s">
        <v>183</v>
      </c>
      <c r="AI1035" s="20" t="s">
        <v>55</v>
      </c>
      <c r="AJ1035" s="20" t="s">
        <v>49</v>
      </c>
      <c r="AK1035" s="20" t="s">
        <v>49</v>
      </c>
      <c r="AL1035" s="20" t="s">
        <v>49</v>
      </c>
      <c r="AM1035" s="20" t="s">
        <v>49</v>
      </c>
      <c r="AN1035" s="20" t="s">
        <v>49</v>
      </c>
      <c r="AO1035" s="20" t="s">
        <v>49</v>
      </c>
      <c r="AP1035" s="20">
        <v>0</v>
      </c>
      <c r="AQ1035" s="20" t="s">
        <v>49</v>
      </c>
      <c r="AR1035" s="6" t="s">
        <v>49</v>
      </c>
      <c r="AS1035" s="6">
        <v>-0.104</v>
      </c>
      <c r="AT1035" s="20" t="s">
        <v>49</v>
      </c>
      <c r="AU1035" s="20" t="s">
        <v>49</v>
      </c>
      <c r="AV1035" s="20" t="s">
        <v>49</v>
      </c>
      <c r="AW1035" s="31" t="s">
        <v>49</v>
      </c>
    </row>
    <row r="1036" spans="1:49">
      <c r="A1036" s="6">
        <v>80</v>
      </c>
      <c r="B1036" s="6" t="s">
        <v>38</v>
      </c>
      <c r="C1036" s="6" t="s">
        <v>49</v>
      </c>
      <c r="D1036" s="6" t="s">
        <v>352</v>
      </c>
      <c r="E1036" s="6" t="s">
        <v>302</v>
      </c>
      <c r="F1036" s="6">
        <v>2002</v>
      </c>
      <c r="G1036" s="6" t="s">
        <v>110</v>
      </c>
      <c r="H1036" s="6" t="s">
        <v>353</v>
      </c>
      <c r="I1036" s="6" t="s">
        <v>354</v>
      </c>
      <c r="J1036" s="3" t="s">
        <v>355</v>
      </c>
      <c r="K1036" s="6" t="s">
        <v>114</v>
      </c>
      <c r="L1036" s="6" t="s">
        <v>46</v>
      </c>
      <c r="M1036" s="6" t="s">
        <v>115</v>
      </c>
      <c r="N1036" s="6" t="s">
        <v>116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251</v>
      </c>
      <c r="V1036" s="6" t="s">
        <v>363</v>
      </c>
      <c r="W1036" s="25">
        <v>35.016666999999998</v>
      </c>
      <c r="X1036" s="25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357</v>
      </c>
      <c r="AE1036" s="6" t="s">
        <v>213</v>
      </c>
      <c r="AF1036" s="6" t="s">
        <v>49</v>
      </c>
      <c r="AG1036" s="6" t="s">
        <v>49</v>
      </c>
      <c r="AH1036" s="6" t="s">
        <v>183</v>
      </c>
      <c r="AI1036" s="20" t="s">
        <v>55</v>
      </c>
      <c r="AJ1036" s="20" t="s">
        <v>49</v>
      </c>
      <c r="AK1036" s="20" t="s">
        <v>49</v>
      </c>
      <c r="AL1036" s="20" t="s">
        <v>49</v>
      </c>
      <c r="AM1036" s="20" t="s">
        <v>49</v>
      </c>
      <c r="AN1036" s="20" t="s">
        <v>49</v>
      </c>
      <c r="AO1036" s="20" t="s">
        <v>49</v>
      </c>
      <c r="AP1036" s="20">
        <v>0</v>
      </c>
      <c r="AQ1036" s="20" t="s">
        <v>49</v>
      </c>
      <c r="AR1036" s="6" t="s">
        <v>49</v>
      </c>
      <c r="AS1036" s="6">
        <v>-7.0999999999999994E-2</v>
      </c>
      <c r="AT1036" s="20" t="s">
        <v>49</v>
      </c>
      <c r="AU1036" s="20" t="s">
        <v>49</v>
      </c>
      <c r="AV1036" s="20" t="s">
        <v>49</v>
      </c>
      <c r="AW1036" s="31" t="s">
        <v>49</v>
      </c>
    </row>
    <row r="1037" spans="1:49">
      <c r="A1037" s="6">
        <v>80</v>
      </c>
      <c r="B1037" s="6" t="s">
        <v>38</v>
      </c>
      <c r="C1037" s="6" t="s">
        <v>49</v>
      </c>
      <c r="D1037" s="6" t="s">
        <v>352</v>
      </c>
      <c r="E1037" s="6" t="s">
        <v>302</v>
      </c>
      <c r="F1037" s="6">
        <v>2002</v>
      </c>
      <c r="G1037" s="6" t="s">
        <v>110</v>
      </c>
      <c r="H1037" s="6" t="s">
        <v>353</v>
      </c>
      <c r="I1037" s="6" t="s">
        <v>354</v>
      </c>
      <c r="J1037" s="3" t="s">
        <v>355</v>
      </c>
      <c r="K1037" s="6" t="s">
        <v>114</v>
      </c>
      <c r="L1037" s="6" t="s">
        <v>46</v>
      </c>
      <c r="M1037" s="6" t="s">
        <v>115</v>
      </c>
      <c r="N1037" s="6" t="s">
        <v>116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251</v>
      </c>
      <c r="V1037" s="6" t="s">
        <v>363</v>
      </c>
      <c r="W1037" s="25">
        <v>35.016666999999998</v>
      </c>
      <c r="X1037" s="25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358</v>
      </c>
      <c r="AE1037" s="6" t="s">
        <v>359</v>
      </c>
      <c r="AF1037" s="6" t="s">
        <v>49</v>
      </c>
      <c r="AG1037" s="6" t="s">
        <v>49</v>
      </c>
      <c r="AH1037" s="6" t="s">
        <v>183</v>
      </c>
      <c r="AI1037" s="20" t="s">
        <v>55</v>
      </c>
      <c r="AJ1037" s="20" t="s">
        <v>49</v>
      </c>
      <c r="AK1037" s="20" t="s">
        <v>49</v>
      </c>
      <c r="AL1037" s="20" t="s">
        <v>49</v>
      </c>
      <c r="AM1037" s="20" t="s">
        <v>49</v>
      </c>
      <c r="AN1037" s="20" t="s">
        <v>49</v>
      </c>
      <c r="AO1037" s="20" t="s">
        <v>49</v>
      </c>
      <c r="AP1037" s="20">
        <v>0</v>
      </c>
      <c r="AQ1037" s="20" t="s">
        <v>49</v>
      </c>
      <c r="AR1037" s="6" t="s">
        <v>49</v>
      </c>
      <c r="AS1037" s="6">
        <v>-2.9750000000000001</v>
      </c>
      <c r="AT1037" s="20" t="s">
        <v>49</v>
      </c>
      <c r="AU1037" s="20" t="s">
        <v>49</v>
      </c>
      <c r="AV1037" s="20" t="s">
        <v>49</v>
      </c>
      <c r="AW1037" s="31" t="s">
        <v>49</v>
      </c>
    </row>
    <row r="1038" spans="1:49">
      <c r="A1038" s="6">
        <v>80</v>
      </c>
      <c r="B1038" s="6" t="s">
        <v>38</v>
      </c>
      <c r="C1038" s="6" t="s">
        <v>49</v>
      </c>
      <c r="D1038" s="6" t="s">
        <v>352</v>
      </c>
      <c r="E1038" s="6" t="s">
        <v>302</v>
      </c>
      <c r="F1038" s="6">
        <v>2002</v>
      </c>
      <c r="G1038" s="6" t="s">
        <v>110</v>
      </c>
      <c r="H1038" s="6" t="s">
        <v>353</v>
      </c>
      <c r="I1038" s="6" t="s">
        <v>354</v>
      </c>
      <c r="J1038" s="3" t="s">
        <v>355</v>
      </c>
      <c r="K1038" s="6" t="s">
        <v>114</v>
      </c>
      <c r="L1038" s="6" t="s">
        <v>46</v>
      </c>
      <c r="M1038" s="6" t="s">
        <v>115</v>
      </c>
      <c r="N1038" s="6" t="s">
        <v>116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251</v>
      </c>
      <c r="V1038" s="6" t="s">
        <v>363</v>
      </c>
      <c r="W1038" s="25">
        <v>35.016666999999998</v>
      </c>
      <c r="X1038" s="25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358</v>
      </c>
      <c r="AE1038" s="6" t="s">
        <v>347</v>
      </c>
      <c r="AF1038" s="6" t="s">
        <v>49</v>
      </c>
      <c r="AG1038" s="6" t="s">
        <v>49</v>
      </c>
      <c r="AH1038" s="6" t="s">
        <v>183</v>
      </c>
      <c r="AI1038" s="20" t="s">
        <v>55</v>
      </c>
      <c r="AJ1038" s="20" t="s">
        <v>49</v>
      </c>
      <c r="AK1038" s="20" t="s">
        <v>49</v>
      </c>
      <c r="AL1038" s="20" t="s">
        <v>49</v>
      </c>
      <c r="AM1038" s="20" t="s">
        <v>49</v>
      </c>
      <c r="AN1038" s="20" t="s">
        <v>49</v>
      </c>
      <c r="AO1038" s="20" t="s">
        <v>49</v>
      </c>
      <c r="AP1038" s="20">
        <v>0</v>
      </c>
      <c r="AQ1038" s="20" t="s">
        <v>49</v>
      </c>
      <c r="AR1038" s="6" t="s">
        <v>49</v>
      </c>
      <c r="AS1038" s="6">
        <v>-0.11700000000000001</v>
      </c>
      <c r="AT1038" s="20" t="s">
        <v>49</v>
      </c>
      <c r="AU1038" s="20" t="s">
        <v>49</v>
      </c>
      <c r="AV1038" s="20" t="s">
        <v>49</v>
      </c>
      <c r="AW1038" s="31" t="s">
        <v>49</v>
      </c>
    </row>
    <row r="1039" spans="1:49">
      <c r="A1039" s="6">
        <v>80</v>
      </c>
      <c r="B1039" s="6" t="s">
        <v>38</v>
      </c>
      <c r="C1039" s="6" t="s">
        <v>49</v>
      </c>
      <c r="D1039" s="6" t="s">
        <v>352</v>
      </c>
      <c r="E1039" s="6" t="s">
        <v>302</v>
      </c>
      <c r="F1039" s="6">
        <v>2002</v>
      </c>
      <c r="G1039" s="6" t="s">
        <v>110</v>
      </c>
      <c r="H1039" s="6" t="s">
        <v>353</v>
      </c>
      <c r="I1039" s="6" t="s">
        <v>354</v>
      </c>
      <c r="J1039" s="3" t="s">
        <v>355</v>
      </c>
      <c r="K1039" s="6" t="s">
        <v>114</v>
      </c>
      <c r="L1039" s="6" t="s">
        <v>46</v>
      </c>
      <c r="M1039" s="6" t="s">
        <v>115</v>
      </c>
      <c r="N1039" s="6" t="s">
        <v>116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251</v>
      </c>
      <c r="V1039" s="6" t="s">
        <v>363</v>
      </c>
      <c r="W1039" s="25">
        <v>35.016666999999998</v>
      </c>
      <c r="X1039" s="25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358</v>
      </c>
      <c r="AE1039" s="6" t="s">
        <v>367</v>
      </c>
      <c r="AF1039" s="6" t="s">
        <v>49</v>
      </c>
      <c r="AG1039" s="6" t="s">
        <v>49</v>
      </c>
      <c r="AH1039" s="6" t="s">
        <v>183</v>
      </c>
      <c r="AI1039" s="20" t="s">
        <v>55</v>
      </c>
      <c r="AJ1039" s="20" t="s">
        <v>49</v>
      </c>
      <c r="AK1039" s="20" t="s">
        <v>49</v>
      </c>
      <c r="AL1039" s="20" t="s">
        <v>49</v>
      </c>
      <c r="AM1039" s="20" t="s">
        <v>49</v>
      </c>
      <c r="AN1039" s="20" t="s">
        <v>49</v>
      </c>
      <c r="AO1039" s="20" t="s">
        <v>49</v>
      </c>
      <c r="AP1039" s="20">
        <v>0</v>
      </c>
      <c r="AQ1039" s="20" t="s">
        <v>49</v>
      </c>
      <c r="AR1039" s="6" t="s">
        <v>49</v>
      </c>
      <c r="AS1039" s="6">
        <v>4.7530000000000001</v>
      </c>
      <c r="AT1039" s="20" t="s">
        <v>49</v>
      </c>
      <c r="AU1039" s="20" t="s">
        <v>49</v>
      </c>
      <c r="AV1039" s="20" t="s">
        <v>49</v>
      </c>
      <c r="AW1039" s="31" t="s">
        <v>49</v>
      </c>
    </row>
    <row r="1040" spans="1:49">
      <c r="A1040" s="6">
        <v>80</v>
      </c>
      <c r="B1040" s="6" t="s">
        <v>38</v>
      </c>
      <c r="C1040" s="6" t="s">
        <v>49</v>
      </c>
      <c r="D1040" s="6" t="s">
        <v>352</v>
      </c>
      <c r="E1040" s="6" t="s">
        <v>302</v>
      </c>
      <c r="F1040" s="6">
        <v>2002</v>
      </c>
      <c r="G1040" s="6" t="s">
        <v>110</v>
      </c>
      <c r="H1040" s="6" t="s">
        <v>353</v>
      </c>
      <c r="I1040" s="6" t="s">
        <v>354</v>
      </c>
      <c r="J1040" s="3" t="s">
        <v>355</v>
      </c>
      <c r="K1040" s="6" t="s">
        <v>114</v>
      </c>
      <c r="L1040" s="6" t="s">
        <v>46</v>
      </c>
      <c r="M1040" s="6" t="s">
        <v>115</v>
      </c>
      <c r="N1040" s="6" t="s">
        <v>116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251</v>
      </c>
      <c r="V1040" s="6" t="s">
        <v>363</v>
      </c>
      <c r="W1040" s="25">
        <v>35.016666999999998</v>
      </c>
      <c r="X1040" s="25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358</v>
      </c>
      <c r="AE1040" s="6" t="s">
        <v>213</v>
      </c>
      <c r="AF1040" s="6" t="s">
        <v>49</v>
      </c>
      <c r="AG1040" s="6" t="s">
        <v>49</v>
      </c>
      <c r="AH1040" s="6" t="s">
        <v>183</v>
      </c>
      <c r="AI1040" s="20" t="s">
        <v>55</v>
      </c>
      <c r="AJ1040" s="20" t="s">
        <v>49</v>
      </c>
      <c r="AK1040" s="20" t="s">
        <v>49</v>
      </c>
      <c r="AL1040" s="20" t="s">
        <v>49</v>
      </c>
      <c r="AM1040" s="20" t="s">
        <v>49</v>
      </c>
      <c r="AN1040" s="20" t="s">
        <v>49</v>
      </c>
      <c r="AO1040" s="20" t="s">
        <v>49</v>
      </c>
      <c r="AP1040" s="20">
        <v>0</v>
      </c>
      <c r="AQ1040" s="20" t="s">
        <v>49</v>
      </c>
      <c r="AR1040" s="6" t="s">
        <v>49</v>
      </c>
      <c r="AS1040" s="6">
        <v>0.97499999999999998</v>
      </c>
      <c r="AT1040" s="20" t="s">
        <v>49</v>
      </c>
      <c r="AU1040" s="20" t="s">
        <v>49</v>
      </c>
      <c r="AV1040" s="20" t="s">
        <v>49</v>
      </c>
      <c r="AW1040" s="31" t="s">
        <v>49</v>
      </c>
    </row>
    <row r="1041" spans="1:49">
      <c r="A1041" s="6">
        <v>80</v>
      </c>
      <c r="B1041" s="6" t="s">
        <v>38</v>
      </c>
      <c r="C1041" s="6" t="s">
        <v>49</v>
      </c>
      <c r="D1041" s="6" t="s">
        <v>352</v>
      </c>
      <c r="E1041" s="6" t="s">
        <v>302</v>
      </c>
      <c r="F1041" s="6">
        <v>2002</v>
      </c>
      <c r="G1041" s="6" t="s">
        <v>110</v>
      </c>
      <c r="H1041" s="6" t="s">
        <v>353</v>
      </c>
      <c r="I1041" s="6" t="s">
        <v>354</v>
      </c>
      <c r="J1041" s="3" t="s">
        <v>355</v>
      </c>
      <c r="K1041" s="6" t="s">
        <v>114</v>
      </c>
      <c r="L1041" s="6" t="s">
        <v>46</v>
      </c>
      <c r="M1041" s="6" t="s">
        <v>115</v>
      </c>
      <c r="N1041" s="6" t="s">
        <v>116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251</v>
      </c>
      <c r="V1041" s="6" t="s">
        <v>363</v>
      </c>
      <c r="W1041" s="25">
        <v>35.016666999999998</v>
      </c>
      <c r="X1041" s="25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359</v>
      </c>
      <c r="AE1041" s="6" t="s">
        <v>347</v>
      </c>
      <c r="AF1041" s="6" t="s">
        <v>49</v>
      </c>
      <c r="AG1041" s="6" t="s">
        <v>49</v>
      </c>
      <c r="AH1041" s="6" t="s">
        <v>183</v>
      </c>
      <c r="AI1041" s="20" t="s">
        <v>55</v>
      </c>
      <c r="AJ1041" s="20" t="s">
        <v>49</v>
      </c>
      <c r="AK1041" s="20" t="s">
        <v>49</v>
      </c>
      <c r="AL1041" s="20" t="s">
        <v>49</v>
      </c>
      <c r="AM1041" s="20" t="s">
        <v>49</v>
      </c>
      <c r="AN1041" s="20" t="s">
        <v>49</v>
      </c>
      <c r="AO1041" s="20" t="s">
        <v>49</v>
      </c>
      <c r="AP1041" s="20">
        <v>0</v>
      </c>
      <c r="AQ1041" s="20" t="s">
        <v>49</v>
      </c>
      <c r="AR1041" s="6" t="s">
        <v>49</v>
      </c>
      <c r="AS1041" s="6">
        <v>-88.978999999999999</v>
      </c>
      <c r="AT1041" s="20" t="s">
        <v>49</v>
      </c>
      <c r="AU1041" s="20" t="s">
        <v>49</v>
      </c>
      <c r="AV1041" s="20" t="s">
        <v>49</v>
      </c>
      <c r="AW1041" s="31" t="s">
        <v>49</v>
      </c>
    </row>
    <row r="1042" spans="1:49">
      <c r="A1042" s="6">
        <v>80</v>
      </c>
      <c r="B1042" s="6" t="s">
        <v>38</v>
      </c>
      <c r="C1042" s="6" t="s">
        <v>49</v>
      </c>
      <c r="D1042" s="6" t="s">
        <v>352</v>
      </c>
      <c r="E1042" s="6" t="s">
        <v>302</v>
      </c>
      <c r="F1042" s="6">
        <v>2002</v>
      </c>
      <c r="G1042" s="6" t="s">
        <v>110</v>
      </c>
      <c r="H1042" s="6" t="s">
        <v>353</v>
      </c>
      <c r="I1042" s="6" t="s">
        <v>354</v>
      </c>
      <c r="J1042" s="3" t="s">
        <v>355</v>
      </c>
      <c r="K1042" s="6" t="s">
        <v>114</v>
      </c>
      <c r="L1042" s="6" t="s">
        <v>46</v>
      </c>
      <c r="M1042" s="6" t="s">
        <v>115</v>
      </c>
      <c r="N1042" s="6" t="s">
        <v>116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251</v>
      </c>
      <c r="V1042" s="6" t="s">
        <v>363</v>
      </c>
      <c r="W1042" s="25">
        <v>35.016666999999998</v>
      </c>
      <c r="X1042" s="25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359</v>
      </c>
      <c r="AE1042" s="6" t="s">
        <v>367</v>
      </c>
      <c r="AF1042" s="6" t="s">
        <v>49</v>
      </c>
      <c r="AG1042" s="6" t="s">
        <v>49</v>
      </c>
      <c r="AH1042" s="6" t="s">
        <v>183</v>
      </c>
      <c r="AI1042" s="20" t="s">
        <v>55</v>
      </c>
      <c r="AJ1042" s="20" t="s">
        <v>49</v>
      </c>
      <c r="AK1042" s="20" t="s">
        <v>49</v>
      </c>
      <c r="AL1042" s="20" t="s">
        <v>49</v>
      </c>
      <c r="AM1042" s="20" t="s">
        <v>49</v>
      </c>
      <c r="AN1042" s="20" t="s">
        <v>49</v>
      </c>
      <c r="AO1042" s="20" t="s">
        <v>49</v>
      </c>
      <c r="AP1042" s="20">
        <v>0</v>
      </c>
      <c r="AQ1042" s="20" t="s">
        <v>49</v>
      </c>
      <c r="AR1042" s="6" t="s">
        <v>49</v>
      </c>
      <c r="AS1042" s="6">
        <v>-0.53900000000000003</v>
      </c>
      <c r="AT1042" s="20" t="s">
        <v>49</v>
      </c>
      <c r="AU1042" s="20" t="s">
        <v>49</v>
      </c>
      <c r="AV1042" s="20" t="s">
        <v>49</v>
      </c>
      <c r="AW1042" s="31" t="s">
        <v>49</v>
      </c>
    </row>
    <row r="1043" spans="1:49">
      <c r="A1043" s="6">
        <v>80</v>
      </c>
      <c r="B1043" s="6" t="s">
        <v>38</v>
      </c>
      <c r="C1043" s="6" t="s">
        <v>49</v>
      </c>
      <c r="D1043" s="6" t="s">
        <v>352</v>
      </c>
      <c r="E1043" s="6" t="s">
        <v>302</v>
      </c>
      <c r="F1043" s="6">
        <v>2002</v>
      </c>
      <c r="G1043" s="6" t="s">
        <v>110</v>
      </c>
      <c r="H1043" s="6" t="s">
        <v>353</v>
      </c>
      <c r="I1043" s="6" t="s">
        <v>354</v>
      </c>
      <c r="J1043" s="3" t="s">
        <v>355</v>
      </c>
      <c r="K1043" s="6" t="s">
        <v>114</v>
      </c>
      <c r="L1043" s="6" t="s">
        <v>46</v>
      </c>
      <c r="M1043" s="6" t="s">
        <v>115</v>
      </c>
      <c r="N1043" s="6" t="s">
        <v>116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251</v>
      </c>
      <c r="V1043" s="6" t="s">
        <v>363</v>
      </c>
      <c r="W1043" s="25">
        <v>35.016666999999998</v>
      </c>
      <c r="X1043" s="25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359</v>
      </c>
      <c r="AE1043" s="6" t="s">
        <v>213</v>
      </c>
      <c r="AF1043" s="6" t="s">
        <v>49</v>
      </c>
      <c r="AG1043" s="6" t="s">
        <v>49</v>
      </c>
      <c r="AH1043" s="6" t="s">
        <v>183</v>
      </c>
      <c r="AI1043" s="20" t="s">
        <v>55</v>
      </c>
      <c r="AJ1043" s="20" t="s">
        <v>49</v>
      </c>
      <c r="AK1043" s="20" t="s">
        <v>49</v>
      </c>
      <c r="AL1043" s="20" t="s">
        <v>49</v>
      </c>
      <c r="AM1043" s="20" t="s">
        <v>49</v>
      </c>
      <c r="AN1043" s="20" t="s">
        <v>49</v>
      </c>
      <c r="AO1043" s="20" t="s">
        <v>49</v>
      </c>
      <c r="AP1043" s="20">
        <v>0</v>
      </c>
      <c r="AQ1043" s="20" t="s">
        <v>49</v>
      </c>
      <c r="AR1043" s="6" t="s">
        <v>49</v>
      </c>
      <c r="AS1043" s="6">
        <v>-0.44600000000000001</v>
      </c>
      <c r="AT1043" s="20" t="s">
        <v>49</v>
      </c>
      <c r="AU1043" s="20" t="s">
        <v>49</v>
      </c>
      <c r="AV1043" s="20" t="s">
        <v>49</v>
      </c>
      <c r="AW1043" s="31" t="s">
        <v>49</v>
      </c>
    </row>
    <row r="1044" spans="1:49">
      <c r="A1044" s="6">
        <v>80</v>
      </c>
      <c r="B1044" s="6" t="s">
        <v>38</v>
      </c>
      <c r="C1044" s="6" t="s">
        <v>49</v>
      </c>
      <c r="D1044" s="6" t="s">
        <v>352</v>
      </c>
      <c r="E1044" s="6" t="s">
        <v>302</v>
      </c>
      <c r="F1044" s="6">
        <v>2002</v>
      </c>
      <c r="G1044" s="6" t="s">
        <v>110</v>
      </c>
      <c r="H1044" s="6" t="s">
        <v>353</v>
      </c>
      <c r="I1044" s="6" t="s">
        <v>354</v>
      </c>
      <c r="J1044" s="3" t="s">
        <v>355</v>
      </c>
      <c r="K1044" s="6" t="s">
        <v>114</v>
      </c>
      <c r="L1044" s="6" t="s">
        <v>46</v>
      </c>
      <c r="M1044" s="6" t="s">
        <v>115</v>
      </c>
      <c r="N1044" s="6" t="s">
        <v>116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251</v>
      </c>
      <c r="V1044" s="6" t="s">
        <v>363</v>
      </c>
      <c r="W1044" s="25">
        <v>35.016666999999998</v>
      </c>
      <c r="X1044" s="25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347</v>
      </c>
      <c r="AE1044" s="6" t="s">
        <v>367</v>
      </c>
      <c r="AF1044" s="6" t="s">
        <v>49</v>
      </c>
      <c r="AG1044" s="6" t="s">
        <v>49</v>
      </c>
      <c r="AH1044" s="6" t="s">
        <v>183</v>
      </c>
      <c r="AI1044" s="20" t="s">
        <v>55</v>
      </c>
      <c r="AJ1044" s="20" t="s">
        <v>49</v>
      </c>
      <c r="AK1044" s="20" t="s">
        <v>49</v>
      </c>
      <c r="AL1044" s="20" t="s">
        <v>49</v>
      </c>
      <c r="AM1044" s="20" t="s">
        <v>49</v>
      </c>
      <c r="AN1044" s="20" t="s">
        <v>49</v>
      </c>
      <c r="AO1044" s="20" t="s">
        <v>49</v>
      </c>
      <c r="AP1044" s="20">
        <v>0</v>
      </c>
      <c r="AQ1044" s="20" t="s">
        <v>49</v>
      </c>
      <c r="AR1044" s="6" t="s">
        <v>49</v>
      </c>
      <c r="AS1044" s="6">
        <v>-121.07</v>
      </c>
      <c r="AT1044" s="20" t="s">
        <v>49</v>
      </c>
      <c r="AU1044" s="20" t="s">
        <v>49</v>
      </c>
      <c r="AV1044" s="20" t="s">
        <v>49</v>
      </c>
      <c r="AW1044" s="31" t="s">
        <v>49</v>
      </c>
    </row>
    <row r="1045" spans="1:49">
      <c r="A1045" s="6">
        <v>80</v>
      </c>
      <c r="B1045" s="6" t="s">
        <v>38</v>
      </c>
      <c r="C1045" s="6" t="s">
        <v>49</v>
      </c>
      <c r="D1045" s="6" t="s">
        <v>352</v>
      </c>
      <c r="E1045" s="6" t="s">
        <v>302</v>
      </c>
      <c r="F1045" s="6">
        <v>2002</v>
      </c>
      <c r="G1045" s="6" t="s">
        <v>110</v>
      </c>
      <c r="H1045" s="6" t="s">
        <v>353</v>
      </c>
      <c r="I1045" s="6" t="s">
        <v>354</v>
      </c>
      <c r="J1045" s="3" t="s">
        <v>355</v>
      </c>
      <c r="K1045" s="6" t="s">
        <v>114</v>
      </c>
      <c r="L1045" s="6" t="s">
        <v>46</v>
      </c>
      <c r="M1045" s="6" t="s">
        <v>115</v>
      </c>
      <c r="N1045" s="6" t="s">
        <v>116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251</v>
      </c>
      <c r="V1045" s="6" t="s">
        <v>363</v>
      </c>
      <c r="W1045" s="25">
        <v>35.016666999999998</v>
      </c>
      <c r="X1045" s="25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347</v>
      </c>
      <c r="AE1045" s="6" t="s">
        <v>213</v>
      </c>
      <c r="AF1045" s="6" t="s">
        <v>49</v>
      </c>
      <c r="AG1045" s="6" t="s">
        <v>49</v>
      </c>
      <c r="AH1045" s="6" t="s">
        <v>183</v>
      </c>
      <c r="AI1045" s="20" t="s">
        <v>55</v>
      </c>
      <c r="AJ1045" s="20" t="s">
        <v>49</v>
      </c>
      <c r="AK1045" s="20" t="s">
        <v>49</v>
      </c>
      <c r="AL1045" s="20" t="s">
        <v>49</v>
      </c>
      <c r="AM1045" s="20" t="s">
        <v>49</v>
      </c>
      <c r="AN1045" s="20" t="s">
        <v>49</v>
      </c>
      <c r="AO1045" s="20" t="s">
        <v>49</v>
      </c>
      <c r="AP1045" s="20">
        <v>0</v>
      </c>
      <c r="AQ1045" s="20" t="s">
        <v>49</v>
      </c>
      <c r="AR1045" s="6" t="s">
        <v>49</v>
      </c>
      <c r="AS1045" s="6">
        <v>25.062000000000001</v>
      </c>
      <c r="AT1045" s="20" t="s">
        <v>49</v>
      </c>
      <c r="AU1045" s="20" t="s">
        <v>49</v>
      </c>
      <c r="AV1045" s="20" t="s">
        <v>49</v>
      </c>
      <c r="AW1045" s="31" t="s">
        <v>49</v>
      </c>
    </row>
    <row r="1046" spans="1:49">
      <c r="A1046" s="6">
        <v>80</v>
      </c>
      <c r="B1046" s="6" t="s">
        <v>38</v>
      </c>
      <c r="C1046" s="6" t="s">
        <v>49</v>
      </c>
      <c r="D1046" s="6" t="s">
        <v>352</v>
      </c>
      <c r="E1046" s="6" t="s">
        <v>302</v>
      </c>
      <c r="F1046" s="6">
        <v>2002</v>
      </c>
      <c r="G1046" s="6" t="s">
        <v>110</v>
      </c>
      <c r="H1046" s="6" t="s">
        <v>353</v>
      </c>
      <c r="I1046" s="6" t="s">
        <v>354</v>
      </c>
      <c r="J1046" s="3" t="s">
        <v>355</v>
      </c>
      <c r="K1046" s="6" t="s">
        <v>114</v>
      </c>
      <c r="L1046" s="6" t="s">
        <v>46</v>
      </c>
      <c r="M1046" s="6" t="s">
        <v>115</v>
      </c>
      <c r="N1046" s="6" t="s">
        <v>116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251</v>
      </c>
      <c r="V1046" s="6" t="s">
        <v>363</v>
      </c>
      <c r="W1046" s="25">
        <v>35.016666999999998</v>
      </c>
      <c r="X1046" s="25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367</v>
      </c>
      <c r="AE1046" s="6" t="s">
        <v>213</v>
      </c>
      <c r="AF1046" s="6" t="s">
        <v>49</v>
      </c>
      <c r="AG1046" s="6" t="s">
        <v>49</v>
      </c>
      <c r="AH1046" s="6" t="s">
        <v>183</v>
      </c>
      <c r="AI1046" s="20" t="s">
        <v>55</v>
      </c>
      <c r="AJ1046" s="20" t="s">
        <v>49</v>
      </c>
      <c r="AK1046" s="20" t="s">
        <v>49</v>
      </c>
      <c r="AL1046" s="20" t="s">
        <v>49</v>
      </c>
      <c r="AM1046" s="20" t="s">
        <v>49</v>
      </c>
      <c r="AN1046" s="20" t="s">
        <v>49</v>
      </c>
      <c r="AO1046" s="20" t="s">
        <v>49</v>
      </c>
      <c r="AP1046" s="20">
        <v>0</v>
      </c>
      <c r="AQ1046" s="20" t="s">
        <v>49</v>
      </c>
      <c r="AR1046" s="6" t="s">
        <v>49</v>
      </c>
      <c r="AS1046" s="6">
        <v>-0.65700000000000003</v>
      </c>
      <c r="AT1046" s="20" t="s">
        <v>49</v>
      </c>
      <c r="AU1046" s="20" t="s">
        <v>49</v>
      </c>
      <c r="AV1046" s="20" t="s">
        <v>49</v>
      </c>
      <c r="AW1046" s="31" t="s">
        <v>49</v>
      </c>
    </row>
    <row r="1047" spans="1:49">
      <c r="A1047" s="6">
        <v>80</v>
      </c>
      <c r="B1047" s="6" t="s">
        <v>38</v>
      </c>
      <c r="C1047" s="6" t="s">
        <v>49</v>
      </c>
      <c r="D1047" s="6" t="s">
        <v>352</v>
      </c>
      <c r="E1047" s="6" t="s">
        <v>302</v>
      </c>
      <c r="F1047" s="6">
        <v>2002</v>
      </c>
      <c r="G1047" s="6" t="s">
        <v>110</v>
      </c>
      <c r="H1047" s="6" t="s">
        <v>353</v>
      </c>
      <c r="I1047" s="6" t="s">
        <v>354</v>
      </c>
      <c r="J1047" s="3" t="s">
        <v>355</v>
      </c>
      <c r="K1047" s="6" t="s">
        <v>114</v>
      </c>
      <c r="L1047" s="6" t="s">
        <v>46</v>
      </c>
      <c r="M1047" s="6" t="s">
        <v>115</v>
      </c>
      <c r="N1047" s="6" t="s">
        <v>116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251</v>
      </c>
      <c r="V1047" s="6" t="s">
        <v>364</v>
      </c>
      <c r="W1047" s="25">
        <v>35.483333000000002</v>
      </c>
      <c r="X1047" s="25">
        <v>23.716667000000001</v>
      </c>
      <c r="Y1047" s="6" t="s">
        <v>48</v>
      </c>
      <c r="Z1047" s="6" t="s">
        <v>49</v>
      </c>
      <c r="AA1047" s="6" t="s">
        <v>127</v>
      </c>
      <c r="AB1047" s="6" t="s">
        <v>239</v>
      </c>
      <c r="AC1047" s="6" t="s">
        <v>240</v>
      </c>
      <c r="AD1047" s="6" t="s">
        <v>240</v>
      </c>
      <c r="AE1047" s="6" t="s">
        <v>240</v>
      </c>
      <c r="AF1047" s="6" t="s">
        <v>60</v>
      </c>
      <c r="AG1047" s="6" t="s">
        <v>61</v>
      </c>
      <c r="AH1047" s="6" t="s">
        <v>183</v>
      </c>
      <c r="AI1047" s="20" t="s">
        <v>55</v>
      </c>
      <c r="AJ1047" s="20">
        <v>25</v>
      </c>
      <c r="AK1047" s="20">
        <f>AJ1047*2*4</f>
        <v>200</v>
      </c>
      <c r="AL1047" s="20">
        <f>AS1047/AN1047</f>
        <v>0.12919339478554615</v>
      </c>
      <c r="AM1047" s="19">
        <v>18.299140000000001</v>
      </c>
      <c r="AN1047" s="19">
        <v>5.5652999999999997</v>
      </c>
      <c r="AO1047" s="20" t="s">
        <v>49</v>
      </c>
      <c r="AP1047" s="20">
        <v>0</v>
      </c>
      <c r="AQ1047" s="20" t="s">
        <v>49</v>
      </c>
      <c r="AR1047" s="6" t="s">
        <v>49</v>
      </c>
      <c r="AS1047" s="20">
        <v>0.71899999999999997</v>
      </c>
      <c r="AT1047" s="20">
        <f>AS1047/(AM1047^2)*100</f>
        <v>0.21471754394161666</v>
      </c>
      <c r="AU1047" s="20">
        <v>0</v>
      </c>
      <c r="AV1047" s="4">
        <f>AT1047*(1-AL1047)/AL1047</f>
        <v>1.4472679182256702</v>
      </c>
      <c r="AW1047" s="31" t="s">
        <v>366</v>
      </c>
    </row>
    <row r="1048" spans="1:49">
      <c r="A1048" s="6">
        <v>80</v>
      </c>
      <c r="B1048" s="6" t="s">
        <v>38</v>
      </c>
      <c r="C1048" s="6" t="s">
        <v>49</v>
      </c>
      <c r="D1048" s="6" t="s">
        <v>352</v>
      </c>
      <c r="E1048" s="6" t="s">
        <v>302</v>
      </c>
      <c r="F1048" s="6">
        <v>2002</v>
      </c>
      <c r="G1048" s="6" t="s">
        <v>110</v>
      </c>
      <c r="H1048" s="6" t="s">
        <v>353</v>
      </c>
      <c r="I1048" s="6" t="s">
        <v>354</v>
      </c>
      <c r="J1048" s="3" t="s">
        <v>355</v>
      </c>
      <c r="K1048" s="6" t="s">
        <v>114</v>
      </c>
      <c r="L1048" s="6" t="s">
        <v>46</v>
      </c>
      <c r="M1048" s="6" t="s">
        <v>115</v>
      </c>
      <c r="N1048" s="6" t="s">
        <v>116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251</v>
      </c>
      <c r="V1048" s="6" t="s">
        <v>364</v>
      </c>
      <c r="W1048" s="25">
        <v>35.483333000000002</v>
      </c>
      <c r="X1048" s="25">
        <v>23.716667000000001</v>
      </c>
      <c r="Y1048" s="6" t="s">
        <v>48</v>
      </c>
      <c r="Z1048" s="6" t="s">
        <v>49</v>
      </c>
      <c r="AA1048" s="6" t="s">
        <v>127</v>
      </c>
      <c r="AB1048" s="6" t="s">
        <v>292</v>
      </c>
      <c r="AC1048" s="6" t="s">
        <v>360</v>
      </c>
      <c r="AD1048" s="6" t="s">
        <v>357</v>
      </c>
      <c r="AE1048" s="6" t="s">
        <v>357</v>
      </c>
      <c r="AF1048" s="6" t="s">
        <v>60</v>
      </c>
      <c r="AG1048" s="6" t="s">
        <v>60</v>
      </c>
      <c r="AH1048" s="6" t="s">
        <v>183</v>
      </c>
      <c r="AI1048" s="20" t="s">
        <v>55</v>
      </c>
      <c r="AJ1048" s="20">
        <v>25</v>
      </c>
      <c r="AK1048" s="20">
        <f>AJ1048*2*4</f>
        <v>200</v>
      </c>
      <c r="AL1048" s="20">
        <f t="shared" ref="AL1048:AL1053" si="85">AS1048/AN1048</f>
        <v>-5.0360215429810444E-2</v>
      </c>
      <c r="AM1048" s="19">
        <v>14.477499999999999</v>
      </c>
      <c r="AN1048" s="19">
        <v>5.7187999999999999</v>
      </c>
      <c r="AO1048" s="20" t="s">
        <v>49</v>
      </c>
      <c r="AP1048" s="20">
        <v>0</v>
      </c>
      <c r="AQ1048" s="20" t="s">
        <v>49</v>
      </c>
      <c r="AR1048" s="6" t="s">
        <v>49</v>
      </c>
      <c r="AS1048" s="20">
        <v>-0.28799999999999998</v>
      </c>
      <c r="AT1048" s="20">
        <f t="shared" ref="AT1048:AT1053" si="86">AS1048/(AM1048^2)*100</f>
        <v>-0.13740588718028421</v>
      </c>
      <c r="AU1048" s="20">
        <v>0</v>
      </c>
      <c r="AV1048" s="4">
        <f t="shared" ref="AV1048:AV1053" si="87">AT1048*(1-AL1048)/AL1048</f>
        <v>2.8658669552587894</v>
      </c>
      <c r="AW1048" s="31" t="s">
        <v>366</v>
      </c>
    </row>
    <row r="1049" spans="1:49">
      <c r="A1049" s="6">
        <v>80</v>
      </c>
      <c r="B1049" s="6" t="s">
        <v>38</v>
      </c>
      <c r="C1049" s="6" t="s">
        <v>49</v>
      </c>
      <c r="D1049" s="6" t="s">
        <v>352</v>
      </c>
      <c r="E1049" s="6" t="s">
        <v>302</v>
      </c>
      <c r="F1049" s="6">
        <v>2002</v>
      </c>
      <c r="G1049" s="6" t="s">
        <v>110</v>
      </c>
      <c r="H1049" s="6" t="s">
        <v>353</v>
      </c>
      <c r="I1049" s="6" t="s">
        <v>354</v>
      </c>
      <c r="J1049" s="3" t="s">
        <v>355</v>
      </c>
      <c r="K1049" s="6" t="s">
        <v>114</v>
      </c>
      <c r="L1049" s="6" t="s">
        <v>46</v>
      </c>
      <c r="M1049" s="6" t="s">
        <v>115</v>
      </c>
      <c r="N1049" s="6" t="s">
        <v>116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251</v>
      </c>
      <c r="V1049" s="6" t="s">
        <v>364</v>
      </c>
      <c r="W1049" s="25">
        <v>35.483333000000002</v>
      </c>
      <c r="X1049" s="25">
        <v>23.716667000000001</v>
      </c>
      <c r="Y1049" s="6" t="s">
        <v>48</v>
      </c>
      <c r="Z1049" s="6" t="s">
        <v>49</v>
      </c>
      <c r="AA1049" s="6" t="s">
        <v>127</v>
      </c>
      <c r="AB1049" s="6" t="s">
        <v>241</v>
      </c>
      <c r="AC1049" s="6" t="s">
        <v>361</v>
      </c>
      <c r="AD1049" s="6" t="s">
        <v>358</v>
      </c>
      <c r="AE1049" s="6" t="s">
        <v>358</v>
      </c>
      <c r="AF1049" s="6" t="s">
        <v>60</v>
      </c>
      <c r="AG1049" s="6" t="s">
        <v>53</v>
      </c>
      <c r="AH1049" s="6" t="s">
        <v>183</v>
      </c>
      <c r="AI1049" s="20" t="s">
        <v>55</v>
      </c>
      <c r="AJ1049" s="20">
        <v>25</v>
      </c>
      <c r="AK1049" s="20">
        <f t="shared" ref="AK1049:AK1053" si="88">AJ1049*2*4</f>
        <v>200</v>
      </c>
      <c r="AL1049" s="20">
        <f t="shared" si="85"/>
        <v>0.68910702434220383</v>
      </c>
      <c r="AM1049" s="19">
        <v>53.268999999999998</v>
      </c>
      <c r="AN1049" s="19">
        <v>93.418000000000006</v>
      </c>
      <c r="AO1049" s="20" t="s">
        <v>49</v>
      </c>
      <c r="AP1049" s="20">
        <v>0</v>
      </c>
      <c r="AQ1049" s="20" t="s">
        <v>49</v>
      </c>
      <c r="AR1049" s="6" t="s">
        <v>49</v>
      </c>
      <c r="AS1049" s="20">
        <v>64.375</v>
      </c>
      <c r="AT1049" s="20">
        <f t="shared" si="86"/>
        <v>2.2686534191443419</v>
      </c>
      <c r="AU1049" s="20">
        <v>0</v>
      </c>
      <c r="AV1049" s="4">
        <f t="shared" si="87"/>
        <v>1.0235106990634428</v>
      </c>
      <c r="AW1049" s="31" t="s">
        <v>366</v>
      </c>
    </row>
    <row r="1050" spans="1:49">
      <c r="A1050" s="6">
        <v>80</v>
      </c>
      <c r="B1050" s="6" t="s">
        <v>38</v>
      </c>
      <c r="C1050" s="6" t="s">
        <v>49</v>
      </c>
      <c r="D1050" s="6" t="s">
        <v>352</v>
      </c>
      <c r="E1050" s="6" t="s">
        <v>302</v>
      </c>
      <c r="F1050" s="6">
        <v>2002</v>
      </c>
      <c r="G1050" s="6" t="s">
        <v>110</v>
      </c>
      <c r="H1050" s="6" t="s">
        <v>353</v>
      </c>
      <c r="I1050" s="6" t="s">
        <v>354</v>
      </c>
      <c r="J1050" s="3" t="s">
        <v>355</v>
      </c>
      <c r="K1050" s="6" t="s">
        <v>114</v>
      </c>
      <c r="L1050" s="6" t="s">
        <v>46</v>
      </c>
      <c r="M1050" s="6" t="s">
        <v>115</v>
      </c>
      <c r="N1050" s="6" t="s">
        <v>116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251</v>
      </c>
      <c r="V1050" s="6" t="s">
        <v>364</v>
      </c>
      <c r="W1050" s="25">
        <v>35.483333000000002</v>
      </c>
      <c r="X1050" s="25">
        <v>23.716667000000001</v>
      </c>
      <c r="Y1050" s="6" t="s">
        <v>48</v>
      </c>
      <c r="Z1050" s="6" t="s">
        <v>49</v>
      </c>
      <c r="AA1050" s="6" t="s">
        <v>127</v>
      </c>
      <c r="AB1050" s="6" t="s">
        <v>241</v>
      </c>
      <c r="AC1050" s="6" t="s">
        <v>361</v>
      </c>
      <c r="AD1050" s="6" t="s">
        <v>359</v>
      </c>
      <c r="AE1050" s="6" t="s">
        <v>359</v>
      </c>
      <c r="AF1050" s="6" t="s">
        <v>60</v>
      </c>
      <c r="AG1050" s="6" t="s">
        <v>60</v>
      </c>
      <c r="AH1050" s="6" t="s">
        <v>183</v>
      </c>
      <c r="AI1050" s="20" t="s">
        <v>55</v>
      </c>
      <c r="AJ1050" s="20">
        <v>25</v>
      </c>
      <c r="AK1050" s="20">
        <f t="shared" si="88"/>
        <v>200</v>
      </c>
      <c r="AL1050" s="20">
        <f t="shared" si="85"/>
        <v>0.23077655119908641</v>
      </c>
      <c r="AM1050" s="19">
        <v>6.1460999999999997</v>
      </c>
      <c r="AN1050" s="19">
        <v>10.507999999999999</v>
      </c>
      <c r="AO1050" s="20" t="s">
        <v>49</v>
      </c>
      <c r="AP1050" s="20">
        <v>0</v>
      </c>
      <c r="AQ1050" s="20" t="s">
        <v>49</v>
      </c>
      <c r="AR1050" s="6" t="s">
        <v>49</v>
      </c>
      <c r="AS1050" s="20">
        <v>2.4249999999999998</v>
      </c>
      <c r="AT1050" s="20">
        <f t="shared" si="86"/>
        <v>6.4196669649328646</v>
      </c>
      <c r="AU1050" s="20">
        <v>0</v>
      </c>
      <c r="AV1050" s="4">
        <f t="shared" si="87"/>
        <v>21.39800745466076</v>
      </c>
      <c r="AW1050" s="31" t="s">
        <v>366</v>
      </c>
    </row>
    <row r="1051" spans="1:49">
      <c r="A1051" s="6">
        <v>80</v>
      </c>
      <c r="B1051" s="6" t="s">
        <v>38</v>
      </c>
      <c r="C1051" s="6" t="s">
        <v>49</v>
      </c>
      <c r="D1051" s="6" t="s">
        <v>352</v>
      </c>
      <c r="E1051" s="6" t="s">
        <v>302</v>
      </c>
      <c r="F1051" s="6">
        <v>2002</v>
      </c>
      <c r="G1051" s="6" t="s">
        <v>110</v>
      </c>
      <c r="H1051" s="6" t="s">
        <v>353</v>
      </c>
      <c r="I1051" s="6" t="s">
        <v>354</v>
      </c>
      <c r="J1051" s="3" t="s">
        <v>355</v>
      </c>
      <c r="K1051" s="6" t="s">
        <v>114</v>
      </c>
      <c r="L1051" s="6" t="s">
        <v>46</v>
      </c>
      <c r="M1051" s="6" t="s">
        <v>115</v>
      </c>
      <c r="N1051" s="6" t="s">
        <v>116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251</v>
      </c>
      <c r="V1051" s="6" t="s">
        <v>364</v>
      </c>
      <c r="W1051" s="25">
        <v>35.483333000000002</v>
      </c>
      <c r="X1051" s="25">
        <v>23.716667000000001</v>
      </c>
      <c r="Y1051" s="6" t="s">
        <v>48</v>
      </c>
      <c r="Z1051" s="6" t="s">
        <v>49</v>
      </c>
      <c r="AA1051" s="6" t="s">
        <v>94</v>
      </c>
      <c r="AB1051" s="6" t="s">
        <v>349</v>
      </c>
      <c r="AC1051" s="6" t="s">
        <v>349</v>
      </c>
      <c r="AD1051" s="6" t="s">
        <v>347</v>
      </c>
      <c r="AE1051" s="6" t="s">
        <v>347</v>
      </c>
      <c r="AF1051" s="6" t="s">
        <v>60</v>
      </c>
      <c r="AG1051" s="6" t="s">
        <v>53</v>
      </c>
      <c r="AH1051" s="6" t="s">
        <v>183</v>
      </c>
      <c r="AI1051" s="20" t="s">
        <v>55</v>
      </c>
      <c r="AJ1051" s="20">
        <v>25</v>
      </c>
      <c r="AK1051" s="20">
        <f t="shared" si="88"/>
        <v>200</v>
      </c>
      <c r="AL1051" s="20">
        <f t="shared" si="85"/>
        <v>0.62202328061133816</v>
      </c>
      <c r="AM1051" s="19">
        <v>153.66669999999999</v>
      </c>
      <c r="AN1051" s="19">
        <v>450.16</v>
      </c>
      <c r="AO1051" s="20" t="s">
        <v>49</v>
      </c>
      <c r="AP1051" s="20">
        <v>0</v>
      </c>
      <c r="AQ1051" s="20" t="s">
        <v>49</v>
      </c>
      <c r="AR1051" s="6" t="s">
        <v>49</v>
      </c>
      <c r="AS1051" s="20">
        <v>280.01</v>
      </c>
      <c r="AT1051" s="20">
        <f t="shared" si="86"/>
        <v>1.1858070057480543</v>
      </c>
      <c r="AU1051" s="20">
        <v>0</v>
      </c>
      <c r="AV1051" s="4">
        <f t="shared" si="87"/>
        <v>0.72056377282251161</v>
      </c>
      <c r="AW1051" s="31" t="s">
        <v>366</v>
      </c>
    </row>
    <row r="1052" spans="1:49">
      <c r="A1052" s="6">
        <v>80</v>
      </c>
      <c r="B1052" s="6" t="s">
        <v>38</v>
      </c>
      <c r="C1052" s="6" t="s">
        <v>49</v>
      </c>
      <c r="D1052" s="6" t="s">
        <v>352</v>
      </c>
      <c r="E1052" s="6" t="s">
        <v>302</v>
      </c>
      <c r="F1052" s="6">
        <v>2002</v>
      </c>
      <c r="G1052" s="6" t="s">
        <v>110</v>
      </c>
      <c r="H1052" s="6" t="s">
        <v>353</v>
      </c>
      <c r="I1052" s="6" t="s">
        <v>354</v>
      </c>
      <c r="J1052" s="3" t="s">
        <v>355</v>
      </c>
      <c r="K1052" s="6" t="s">
        <v>114</v>
      </c>
      <c r="L1052" s="6" t="s">
        <v>46</v>
      </c>
      <c r="M1052" s="6" t="s">
        <v>115</v>
      </c>
      <c r="N1052" s="6" t="s">
        <v>116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251</v>
      </c>
      <c r="V1052" s="6" t="s">
        <v>364</v>
      </c>
      <c r="W1052" s="25">
        <v>35.483333000000002</v>
      </c>
      <c r="X1052" s="25">
        <v>23.716667000000001</v>
      </c>
      <c r="Y1052" s="6" t="s">
        <v>48</v>
      </c>
      <c r="Z1052" s="6" t="s">
        <v>49</v>
      </c>
      <c r="AA1052" s="6" t="s">
        <v>50</v>
      </c>
      <c r="AB1052" s="6" t="s">
        <v>51</v>
      </c>
      <c r="AC1052" s="6" t="s">
        <v>350</v>
      </c>
      <c r="AD1052" s="6" t="s">
        <v>367</v>
      </c>
      <c r="AE1052" s="6" t="s">
        <v>367</v>
      </c>
      <c r="AF1052" s="6" t="s">
        <v>60</v>
      </c>
      <c r="AG1052" s="6" t="s">
        <v>53</v>
      </c>
      <c r="AH1052" s="6" t="s">
        <v>183</v>
      </c>
      <c r="AI1052" s="20" t="s">
        <v>55</v>
      </c>
      <c r="AJ1052" s="20">
        <v>25</v>
      </c>
      <c r="AK1052" s="20">
        <f t="shared" si="88"/>
        <v>200</v>
      </c>
      <c r="AL1052" s="20">
        <f t="shared" si="85"/>
        <v>0.31707737377218687</v>
      </c>
      <c r="AM1052" s="19">
        <v>4.6272000000000002</v>
      </c>
      <c r="AN1052" s="19">
        <v>3.4817999999999998</v>
      </c>
      <c r="AO1052" s="20" t="s">
        <v>49</v>
      </c>
      <c r="AP1052" s="20">
        <v>0</v>
      </c>
      <c r="AQ1052" s="20" t="s">
        <v>49</v>
      </c>
      <c r="AR1052" s="6" t="s">
        <v>49</v>
      </c>
      <c r="AS1052" s="20">
        <v>1.1040000000000001</v>
      </c>
      <c r="AT1052" s="20">
        <f t="shared" si="86"/>
        <v>5.1562329620128207</v>
      </c>
      <c r="AU1052" s="20">
        <v>0</v>
      </c>
      <c r="AV1052" s="4">
        <f t="shared" si="87"/>
        <v>11.105516971987393</v>
      </c>
      <c r="AW1052" s="31" t="s">
        <v>366</v>
      </c>
    </row>
    <row r="1053" spans="1:49">
      <c r="A1053" s="6">
        <v>80</v>
      </c>
      <c r="B1053" s="6" t="s">
        <v>38</v>
      </c>
      <c r="C1053" s="6" t="s">
        <v>49</v>
      </c>
      <c r="D1053" s="6" t="s">
        <v>352</v>
      </c>
      <c r="E1053" s="6" t="s">
        <v>302</v>
      </c>
      <c r="F1053" s="6">
        <v>2002</v>
      </c>
      <c r="G1053" s="6" t="s">
        <v>110</v>
      </c>
      <c r="H1053" s="6" t="s">
        <v>353</v>
      </c>
      <c r="I1053" s="6" t="s">
        <v>354</v>
      </c>
      <c r="J1053" s="3" t="s">
        <v>355</v>
      </c>
      <c r="K1053" s="6" t="s">
        <v>114</v>
      </c>
      <c r="L1053" s="6" t="s">
        <v>46</v>
      </c>
      <c r="M1053" s="6" t="s">
        <v>115</v>
      </c>
      <c r="N1053" s="6" t="s">
        <v>116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251</v>
      </c>
      <c r="V1053" s="6" t="s">
        <v>364</v>
      </c>
      <c r="W1053" s="25">
        <v>35.483333000000002</v>
      </c>
      <c r="X1053" s="25">
        <v>23.716667000000001</v>
      </c>
      <c r="Y1053" s="6" t="s">
        <v>48</v>
      </c>
      <c r="Z1053" s="6" t="s">
        <v>49</v>
      </c>
      <c r="AA1053" s="6" t="s">
        <v>50</v>
      </c>
      <c r="AB1053" s="6" t="s">
        <v>66</v>
      </c>
      <c r="AC1053" s="6" t="s">
        <v>124</v>
      </c>
      <c r="AD1053" s="6" t="s">
        <v>213</v>
      </c>
      <c r="AE1053" s="6" t="s">
        <v>213</v>
      </c>
      <c r="AF1053" s="6" t="s">
        <v>60</v>
      </c>
      <c r="AG1053" s="6" t="s">
        <v>61</v>
      </c>
      <c r="AH1053" s="6" t="s">
        <v>183</v>
      </c>
      <c r="AI1053" s="20" t="s">
        <v>55</v>
      </c>
      <c r="AJ1053" s="20">
        <v>25</v>
      </c>
      <c r="AK1053" s="20">
        <f t="shared" si="88"/>
        <v>200</v>
      </c>
      <c r="AL1053" s="20">
        <f t="shared" si="85"/>
        <v>0.65223925458370902</v>
      </c>
      <c r="AM1053" s="19">
        <v>19.8523</v>
      </c>
      <c r="AN1053" s="19">
        <v>3.327</v>
      </c>
      <c r="AO1053" s="20" t="s">
        <v>49</v>
      </c>
      <c r="AP1053" s="20">
        <v>0</v>
      </c>
      <c r="AQ1053" s="20" t="s">
        <v>49</v>
      </c>
      <c r="AR1053" s="6" t="s">
        <v>49</v>
      </c>
      <c r="AS1053" s="20">
        <v>2.17</v>
      </c>
      <c r="AT1053" s="20">
        <f t="shared" si="86"/>
        <v>0.55060236810101504</v>
      </c>
      <c r="AU1053" s="20">
        <v>0</v>
      </c>
      <c r="AV1053" s="4">
        <f t="shared" si="87"/>
        <v>0.29357001838381314</v>
      </c>
      <c r="AW1053" s="31" t="s">
        <v>366</v>
      </c>
    </row>
    <row r="1054" spans="1:49">
      <c r="A1054" s="6">
        <v>80</v>
      </c>
      <c r="B1054" s="6" t="s">
        <v>38</v>
      </c>
      <c r="C1054" s="6" t="s">
        <v>49</v>
      </c>
      <c r="D1054" s="6" t="s">
        <v>352</v>
      </c>
      <c r="E1054" s="6" t="s">
        <v>302</v>
      </c>
      <c r="F1054" s="6">
        <v>2002</v>
      </c>
      <c r="G1054" s="6" t="s">
        <v>110</v>
      </c>
      <c r="H1054" s="6" t="s">
        <v>353</v>
      </c>
      <c r="I1054" s="6" t="s">
        <v>354</v>
      </c>
      <c r="J1054" s="3" t="s">
        <v>355</v>
      </c>
      <c r="K1054" s="6" t="s">
        <v>114</v>
      </c>
      <c r="L1054" s="6" t="s">
        <v>46</v>
      </c>
      <c r="M1054" s="6" t="s">
        <v>115</v>
      </c>
      <c r="N1054" s="6" t="s">
        <v>116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251</v>
      </c>
      <c r="V1054" s="6" t="s">
        <v>364</v>
      </c>
      <c r="W1054" s="25">
        <v>35.483333000000002</v>
      </c>
      <c r="X1054" s="25">
        <v>23.716667000000001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240</v>
      </c>
      <c r="AE1054" s="6" t="s">
        <v>357</v>
      </c>
      <c r="AF1054" s="6" t="s">
        <v>49</v>
      </c>
      <c r="AG1054" s="6" t="s">
        <v>49</v>
      </c>
      <c r="AH1054" s="6" t="s">
        <v>183</v>
      </c>
      <c r="AI1054" s="20" t="s">
        <v>55</v>
      </c>
      <c r="AJ1054" s="20" t="s">
        <v>49</v>
      </c>
      <c r="AK1054" s="20" t="s">
        <v>49</v>
      </c>
      <c r="AL1054" s="20" t="s">
        <v>49</v>
      </c>
      <c r="AM1054" s="20" t="s">
        <v>49</v>
      </c>
      <c r="AN1054" s="20" t="s">
        <v>49</v>
      </c>
      <c r="AO1054" s="20" t="s">
        <v>49</v>
      </c>
      <c r="AP1054" s="20">
        <v>0</v>
      </c>
      <c r="AQ1054" s="20" t="s">
        <v>49</v>
      </c>
      <c r="AR1054" s="6" t="s">
        <v>49</v>
      </c>
      <c r="AS1054" s="20">
        <v>4.3999999999999997E-2</v>
      </c>
      <c r="AT1054" s="20" t="s">
        <v>49</v>
      </c>
      <c r="AU1054" s="20" t="s">
        <v>49</v>
      </c>
      <c r="AV1054" s="20" t="s">
        <v>49</v>
      </c>
      <c r="AW1054" s="31" t="s">
        <v>49</v>
      </c>
    </row>
    <row r="1055" spans="1:49">
      <c r="A1055" s="6">
        <v>80</v>
      </c>
      <c r="B1055" s="6" t="s">
        <v>38</v>
      </c>
      <c r="C1055" s="6" t="s">
        <v>49</v>
      </c>
      <c r="D1055" s="6" t="s">
        <v>352</v>
      </c>
      <c r="E1055" s="6" t="s">
        <v>302</v>
      </c>
      <c r="F1055" s="6">
        <v>2002</v>
      </c>
      <c r="G1055" s="6" t="s">
        <v>110</v>
      </c>
      <c r="H1055" s="6" t="s">
        <v>353</v>
      </c>
      <c r="I1055" s="6" t="s">
        <v>354</v>
      </c>
      <c r="J1055" s="3" t="s">
        <v>355</v>
      </c>
      <c r="K1055" s="6" t="s">
        <v>114</v>
      </c>
      <c r="L1055" s="6" t="s">
        <v>46</v>
      </c>
      <c r="M1055" s="6" t="s">
        <v>115</v>
      </c>
      <c r="N1055" s="6" t="s">
        <v>116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251</v>
      </c>
      <c r="V1055" s="6" t="s">
        <v>364</v>
      </c>
      <c r="W1055" s="25">
        <v>35.483333000000002</v>
      </c>
      <c r="X1055" s="25">
        <v>23.716667000000001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240</v>
      </c>
      <c r="AE1055" s="6" t="s">
        <v>358</v>
      </c>
      <c r="AF1055" s="6" t="s">
        <v>49</v>
      </c>
      <c r="AG1055" s="6" t="s">
        <v>49</v>
      </c>
      <c r="AH1055" s="6" t="s">
        <v>183</v>
      </c>
      <c r="AI1055" s="20" t="s">
        <v>55</v>
      </c>
      <c r="AJ1055" s="20" t="s">
        <v>49</v>
      </c>
      <c r="AK1055" s="20" t="s">
        <v>49</v>
      </c>
      <c r="AL1055" s="20" t="s">
        <v>49</v>
      </c>
      <c r="AM1055" s="20" t="s">
        <v>49</v>
      </c>
      <c r="AN1055" s="20" t="s">
        <v>49</v>
      </c>
      <c r="AO1055" s="20" t="s">
        <v>49</v>
      </c>
      <c r="AP1055" s="20">
        <v>0</v>
      </c>
      <c r="AQ1055" s="20" t="s">
        <v>49</v>
      </c>
      <c r="AR1055" s="6" t="s">
        <v>49</v>
      </c>
      <c r="AS1055" s="20">
        <v>10.032</v>
      </c>
      <c r="AT1055" s="20" t="s">
        <v>49</v>
      </c>
      <c r="AU1055" s="20" t="s">
        <v>49</v>
      </c>
      <c r="AV1055" s="20" t="s">
        <v>49</v>
      </c>
      <c r="AW1055" s="31" t="s">
        <v>49</v>
      </c>
    </row>
    <row r="1056" spans="1:49">
      <c r="A1056" s="6">
        <v>80</v>
      </c>
      <c r="B1056" s="6" t="s">
        <v>38</v>
      </c>
      <c r="C1056" s="6" t="s">
        <v>49</v>
      </c>
      <c r="D1056" s="6" t="s">
        <v>352</v>
      </c>
      <c r="E1056" s="6" t="s">
        <v>302</v>
      </c>
      <c r="F1056" s="6">
        <v>2002</v>
      </c>
      <c r="G1056" s="6" t="s">
        <v>110</v>
      </c>
      <c r="H1056" s="6" t="s">
        <v>353</v>
      </c>
      <c r="I1056" s="6" t="s">
        <v>354</v>
      </c>
      <c r="J1056" s="3" t="s">
        <v>355</v>
      </c>
      <c r="K1056" s="6" t="s">
        <v>114</v>
      </c>
      <c r="L1056" s="6" t="s">
        <v>46</v>
      </c>
      <c r="M1056" s="6" t="s">
        <v>115</v>
      </c>
      <c r="N1056" s="6" t="s">
        <v>116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251</v>
      </c>
      <c r="V1056" s="6" t="s">
        <v>364</v>
      </c>
      <c r="W1056" s="25">
        <v>35.483333000000002</v>
      </c>
      <c r="X1056" s="25">
        <v>23.716667000000001</v>
      </c>
      <c r="Y1056" s="6" t="s">
        <v>48</v>
      </c>
      <c r="Z1056" s="6" t="s">
        <v>49</v>
      </c>
      <c r="AA1056" s="6" t="s">
        <v>49</v>
      </c>
      <c r="AB1056" s="6" t="s">
        <v>49</v>
      </c>
      <c r="AC1056" s="6" t="s">
        <v>49</v>
      </c>
      <c r="AD1056" s="6" t="s">
        <v>240</v>
      </c>
      <c r="AE1056" s="6" t="s">
        <v>359</v>
      </c>
      <c r="AF1056" s="6" t="s">
        <v>49</v>
      </c>
      <c r="AG1056" s="6" t="s">
        <v>49</v>
      </c>
      <c r="AH1056" s="6" t="s">
        <v>183</v>
      </c>
      <c r="AI1056" s="20" t="s">
        <v>55</v>
      </c>
      <c r="AJ1056" s="20" t="s">
        <v>49</v>
      </c>
      <c r="AK1056" s="20" t="s">
        <v>49</v>
      </c>
      <c r="AL1056" s="20" t="s">
        <v>49</v>
      </c>
      <c r="AM1056" s="20" t="s">
        <v>49</v>
      </c>
      <c r="AN1056" s="20" t="s">
        <v>49</v>
      </c>
      <c r="AO1056" s="20" t="s">
        <v>49</v>
      </c>
      <c r="AP1056" s="20">
        <v>0</v>
      </c>
      <c r="AQ1056" s="20" t="s">
        <v>49</v>
      </c>
      <c r="AR1056" s="6" t="s">
        <v>49</v>
      </c>
      <c r="AS1056" s="20">
        <v>0.39600000000000002</v>
      </c>
      <c r="AT1056" s="20" t="s">
        <v>49</v>
      </c>
      <c r="AU1056" s="20" t="s">
        <v>49</v>
      </c>
      <c r="AV1056" s="20" t="s">
        <v>49</v>
      </c>
      <c r="AW1056" s="31" t="s">
        <v>49</v>
      </c>
    </row>
    <row r="1057" spans="1:49">
      <c r="A1057" s="6">
        <v>80</v>
      </c>
      <c r="B1057" s="6" t="s">
        <v>38</v>
      </c>
      <c r="C1057" s="6" t="s">
        <v>49</v>
      </c>
      <c r="D1057" s="6" t="s">
        <v>352</v>
      </c>
      <c r="E1057" s="6" t="s">
        <v>302</v>
      </c>
      <c r="F1057" s="6">
        <v>2002</v>
      </c>
      <c r="G1057" s="6" t="s">
        <v>110</v>
      </c>
      <c r="H1057" s="6" t="s">
        <v>353</v>
      </c>
      <c r="I1057" s="6" t="s">
        <v>354</v>
      </c>
      <c r="J1057" s="3" t="s">
        <v>355</v>
      </c>
      <c r="K1057" s="6" t="s">
        <v>114</v>
      </c>
      <c r="L1057" s="6" t="s">
        <v>46</v>
      </c>
      <c r="M1057" s="6" t="s">
        <v>115</v>
      </c>
      <c r="N1057" s="6" t="s">
        <v>116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251</v>
      </c>
      <c r="V1057" s="6" t="s">
        <v>364</v>
      </c>
      <c r="W1057" s="25">
        <v>35.483333000000002</v>
      </c>
      <c r="X1057" s="25">
        <v>23.716667000000001</v>
      </c>
      <c r="Y1057" s="6" t="s">
        <v>48</v>
      </c>
      <c r="Z1057" s="6" t="s">
        <v>49</v>
      </c>
      <c r="AA1057" s="6" t="s">
        <v>49</v>
      </c>
      <c r="AB1057" s="6" t="s">
        <v>49</v>
      </c>
      <c r="AC1057" s="6" t="s">
        <v>49</v>
      </c>
      <c r="AD1057" s="6" t="s">
        <v>240</v>
      </c>
      <c r="AE1057" s="6" t="s">
        <v>347</v>
      </c>
      <c r="AF1057" s="6" t="s">
        <v>49</v>
      </c>
      <c r="AG1057" s="6" t="s">
        <v>49</v>
      </c>
      <c r="AH1057" s="6" t="s">
        <v>183</v>
      </c>
      <c r="AI1057" s="20" t="s">
        <v>55</v>
      </c>
      <c r="AJ1057" s="20" t="s">
        <v>49</v>
      </c>
      <c r="AK1057" s="20" t="s">
        <v>49</v>
      </c>
      <c r="AL1057" s="20" t="s">
        <v>49</v>
      </c>
      <c r="AM1057" s="20" t="s">
        <v>49</v>
      </c>
      <c r="AN1057" s="20" t="s">
        <v>49</v>
      </c>
      <c r="AO1057" s="20" t="s">
        <v>49</v>
      </c>
      <c r="AP1057" s="20">
        <v>0</v>
      </c>
      <c r="AQ1057" s="20" t="s">
        <v>49</v>
      </c>
      <c r="AR1057" s="6" t="s">
        <v>49</v>
      </c>
      <c r="AS1057" s="20">
        <v>13.167</v>
      </c>
      <c r="AT1057" s="20" t="s">
        <v>49</v>
      </c>
      <c r="AU1057" s="20" t="s">
        <v>49</v>
      </c>
      <c r="AV1057" s="20" t="s">
        <v>49</v>
      </c>
      <c r="AW1057" s="31" t="s">
        <v>49</v>
      </c>
    </row>
    <row r="1058" spans="1:49">
      <c r="A1058" s="6">
        <v>80</v>
      </c>
      <c r="B1058" s="6" t="s">
        <v>38</v>
      </c>
      <c r="C1058" s="6" t="s">
        <v>49</v>
      </c>
      <c r="D1058" s="6" t="s">
        <v>352</v>
      </c>
      <c r="E1058" s="6" t="s">
        <v>302</v>
      </c>
      <c r="F1058" s="6">
        <v>2002</v>
      </c>
      <c r="G1058" s="6" t="s">
        <v>110</v>
      </c>
      <c r="H1058" s="6" t="s">
        <v>353</v>
      </c>
      <c r="I1058" s="6" t="s">
        <v>354</v>
      </c>
      <c r="J1058" s="3" t="s">
        <v>355</v>
      </c>
      <c r="K1058" s="6" t="s">
        <v>114</v>
      </c>
      <c r="L1058" s="6" t="s">
        <v>46</v>
      </c>
      <c r="M1058" s="6" t="s">
        <v>115</v>
      </c>
      <c r="N1058" s="6" t="s">
        <v>116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251</v>
      </c>
      <c r="V1058" s="6" t="s">
        <v>364</v>
      </c>
      <c r="W1058" s="25">
        <v>35.483333000000002</v>
      </c>
      <c r="X1058" s="25">
        <v>23.716667000000001</v>
      </c>
      <c r="Y1058" s="6" t="s">
        <v>48</v>
      </c>
      <c r="Z1058" s="6" t="s">
        <v>49</v>
      </c>
      <c r="AA1058" s="6" t="s">
        <v>49</v>
      </c>
      <c r="AB1058" s="6" t="s">
        <v>49</v>
      </c>
      <c r="AC1058" s="6" t="s">
        <v>49</v>
      </c>
      <c r="AD1058" s="6" t="s">
        <v>240</v>
      </c>
      <c r="AE1058" s="6" t="s">
        <v>367</v>
      </c>
      <c r="AF1058" s="6" t="s">
        <v>49</v>
      </c>
      <c r="AG1058" s="6" t="s">
        <v>49</v>
      </c>
      <c r="AH1058" s="6" t="s">
        <v>183</v>
      </c>
      <c r="AI1058" s="20" t="s">
        <v>55</v>
      </c>
      <c r="AJ1058" s="20" t="s">
        <v>49</v>
      </c>
      <c r="AK1058" s="20" t="s">
        <v>49</v>
      </c>
      <c r="AL1058" s="20" t="s">
        <v>49</v>
      </c>
      <c r="AM1058" s="20" t="s">
        <v>49</v>
      </c>
      <c r="AN1058" s="20" t="s">
        <v>49</v>
      </c>
      <c r="AO1058" s="20" t="s">
        <v>49</v>
      </c>
      <c r="AP1058" s="20">
        <v>0</v>
      </c>
      <c r="AQ1058" s="20" t="s">
        <v>49</v>
      </c>
      <c r="AR1058" s="6" t="s">
        <v>49</v>
      </c>
      <c r="AS1058" s="20">
        <v>0.86399999999999999</v>
      </c>
      <c r="AT1058" s="20" t="s">
        <v>49</v>
      </c>
      <c r="AU1058" s="20" t="s">
        <v>49</v>
      </c>
      <c r="AV1058" s="20" t="s">
        <v>49</v>
      </c>
      <c r="AW1058" s="31" t="s">
        <v>49</v>
      </c>
    </row>
    <row r="1059" spans="1:49">
      <c r="A1059" s="6">
        <v>80</v>
      </c>
      <c r="B1059" s="6" t="s">
        <v>38</v>
      </c>
      <c r="C1059" s="6" t="s">
        <v>49</v>
      </c>
      <c r="D1059" s="6" t="s">
        <v>352</v>
      </c>
      <c r="E1059" s="6" t="s">
        <v>302</v>
      </c>
      <c r="F1059" s="6">
        <v>2002</v>
      </c>
      <c r="G1059" s="6" t="s">
        <v>110</v>
      </c>
      <c r="H1059" s="6" t="s">
        <v>353</v>
      </c>
      <c r="I1059" s="6" t="s">
        <v>354</v>
      </c>
      <c r="J1059" s="3" t="s">
        <v>355</v>
      </c>
      <c r="K1059" s="6" t="s">
        <v>114</v>
      </c>
      <c r="L1059" s="6" t="s">
        <v>46</v>
      </c>
      <c r="M1059" s="6" t="s">
        <v>115</v>
      </c>
      <c r="N1059" s="6" t="s">
        <v>116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251</v>
      </c>
      <c r="V1059" s="6" t="s">
        <v>364</v>
      </c>
      <c r="W1059" s="25">
        <v>35.483333000000002</v>
      </c>
      <c r="X1059" s="25">
        <v>23.716667000000001</v>
      </c>
      <c r="Y1059" s="6" t="s">
        <v>48</v>
      </c>
      <c r="Z1059" s="6" t="s">
        <v>49</v>
      </c>
      <c r="AA1059" s="6" t="s">
        <v>49</v>
      </c>
      <c r="AB1059" s="6" t="s">
        <v>49</v>
      </c>
      <c r="AC1059" s="6" t="s">
        <v>49</v>
      </c>
      <c r="AD1059" s="6" t="s">
        <v>240</v>
      </c>
      <c r="AE1059" s="6" t="s">
        <v>213</v>
      </c>
      <c r="AF1059" s="6" t="s">
        <v>49</v>
      </c>
      <c r="AG1059" s="6" t="s">
        <v>49</v>
      </c>
      <c r="AH1059" s="6" t="s">
        <v>183</v>
      </c>
      <c r="AI1059" s="20" t="s">
        <v>55</v>
      </c>
      <c r="AJ1059" s="20" t="s">
        <v>49</v>
      </c>
      <c r="AK1059" s="20" t="s">
        <v>49</v>
      </c>
      <c r="AL1059" s="20" t="s">
        <v>49</v>
      </c>
      <c r="AM1059" s="20" t="s">
        <v>49</v>
      </c>
      <c r="AN1059" s="20" t="s">
        <v>49</v>
      </c>
      <c r="AO1059" s="20" t="s">
        <v>49</v>
      </c>
      <c r="AP1059" s="20">
        <v>0</v>
      </c>
      <c r="AQ1059" s="20" t="s">
        <v>49</v>
      </c>
      <c r="AR1059" s="6" t="s">
        <v>49</v>
      </c>
      <c r="AS1059" s="20">
        <v>-7.0000000000000007E-2</v>
      </c>
      <c r="AT1059" s="20" t="s">
        <v>49</v>
      </c>
      <c r="AU1059" s="20" t="s">
        <v>49</v>
      </c>
      <c r="AV1059" s="20" t="s">
        <v>49</v>
      </c>
      <c r="AW1059" s="31" t="s">
        <v>49</v>
      </c>
    </row>
    <row r="1060" spans="1:49">
      <c r="A1060" s="6">
        <v>80</v>
      </c>
      <c r="B1060" s="6" t="s">
        <v>38</v>
      </c>
      <c r="C1060" s="6" t="s">
        <v>49</v>
      </c>
      <c r="D1060" s="6" t="s">
        <v>352</v>
      </c>
      <c r="E1060" s="6" t="s">
        <v>302</v>
      </c>
      <c r="F1060" s="6">
        <v>2002</v>
      </c>
      <c r="G1060" s="6" t="s">
        <v>110</v>
      </c>
      <c r="H1060" s="6" t="s">
        <v>353</v>
      </c>
      <c r="I1060" s="6" t="s">
        <v>354</v>
      </c>
      <c r="J1060" s="3" t="s">
        <v>355</v>
      </c>
      <c r="K1060" s="6" t="s">
        <v>114</v>
      </c>
      <c r="L1060" s="6" t="s">
        <v>46</v>
      </c>
      <c r="M1060" s="6" t="s">
        <v>115</v>
      </c>
      <c r="N1060" s="6" t="s">
        <v>116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251</v>
      </c>
      <c r="V1060" s="6" t="s">
        <v>364</v>
      </c>
      <c r="W1060" s="25">
        <v>35.483333000000002</v>
      </c>
      <c r="X1060" s="25">
        <v>23.716667000000001</v>
      </c>
      <c r="Y1060" s="6" t="s">
        <v>48</v>
      </c>
      <c r="Z1060" s="6" t="s">
        <v>49</v>
      </c>
      <c r="AA1060" s="6" t="s">
        <v>49</v>
      </c>
      <c r="AB1060" s="6" t="s">
        <v>49</v>
      </c>
      <c r="AC1060" s="6" t="s">
        <v>49</v>
      </c>
      <c r="AD1060" s="6" t="s">
        <v>357</v>
      </c>
      <c r="AE1060" s="6" t="s">
        <v>358</v>
      </c>
      <c r="AF1060" s="6" t="s">
        <v>49</v>
      </c>
      <c r="AG1060" s="6" t="s">
        <v>49</v>
      </c>
      <c r="AH1060" s="6" t="s">
        <v>183</v>
      </c>
      <c r="AI1060" s="20" t="s">
        <v>55</v>
      </c>
      <c r="AJ1060" s="20" t="s">
        <v>49</v>
      </c>
      <c r="AK1060" s="20" t="s">
        <v>49</v>
      </c>
      <c r="AL1060" s="20" t="s">
        <v>49</v>
      </c>
      <c r="AM1060" s="20" t="s">
        <v>49</v>
      </c>
      <c r="AN1060" s="20" t="s">
        <v>49</v>
      </c>
      <c r="AO1060" s="20" t="s">
        <v>49</v>
      </c>
      <c r="AP1060" s="20">
        <v>0</v>
      </c>
      <c r="AQ1060" s="20" t="s">
        <v>49</v>
      </c>
      <c r="AR1060" s="6" t="s">
        <v>49</v>
      </c>
      <c r="AS1060" s="6">
        <v>8.8219999999999992</v>
      </c>
      <c r="AT1060" s="20" t="s">
        <v>49</v>
      </c>
      <c r="AU1060" s="20" t="s">
        <v>49</v>
      </c>
      <c r="AV1060" s="20" t="s">
        <v>49</v>
      </c>
      <c r="AW1060" s="31" t="s">
        <v>49</v>
      </c>
    </row>
    <row r="1061" spans="1:49">
      <c r="A1061" s="6">
        <v>80</v>
      </c>
      <c r="B1061" s="6" t="s">
        <v>38</v>
      </c>
      <c r="C1061" s="6" t="s">
        <v>49</v>
      </c>
      <c r="D1061" s="6" t="s">
        <v>352</v>
      </c>
      <c r="E1061" s="6" t="s">
        <v>302</v>
      </c>
      <c r="F1061" s="6">
        <v>2002</v>
      </c>
      <c r="G1061" s="6" t="s">
        <v>110</v>
      </c>
      <c r="H1061" s="6" t="s">
        <v>353</v>
      </c>
      <c r="I1061" s="6" t="s">
        <v>354</v>
      </c>
      <c r="J1061" s="3" t="s">
        <v>355</v>
      </c>
      <c r="K1061" s="6" t="s">
        <v>114</v>
      </c>
      <c r="L1061" s="6" t="s">
        <v>46</v>
      </c>
      <c r="M1061" s="6" t="s">
        <v>115</v>
      </c>
      <c r="N1061" s="6" t="s">
        <v>116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251</v>
      </c>
      <c r="V1061" s="6" t="s">
        <v>364</v>
      </c>
      <c r="W1061" s="25">
        <v>35.483333000000002</v>
      </c>
      <c r="X1061" s="25">
        <v>23.716667000000001</v>
      </c>
      <c r="Y1061" s="6" t="s">
        <v>48</v>
      </c>
      <c r="Z1061" s="6" t="s">
        <v>49</v>
      </c>
      <c r="AA1061" s="6" t="s">
        <v>49</v>
      </c>
      <c r="AB1061" s="6" t="s">
        <v>49</v>
      </c>
      <c r="AC1061" s="6" t="s">
        <v>49</v>
      </c>
      <c r="AD1061" s="6" t="s">
        <v>357</v>
      </c>
      <c r="AE1061" s="6" t="s">
        <v>359</v>
      </c>
      <c r="AF1061" s="6" t="s">
        <v>49</v>
      </c>
      <c r="AG1061" s="6" t="s">
        <v>49</v>
      </c>
      <c r="AH1061" s="6" t="s">
        <v>183</v>
      </c>
      <c r="AI1061" s="20" t="s">
        <v>55</v>
      </c>
      <c r="AJ1061" s="20" t="s">
        <v>49</v>
      </c>
      <c r="AK1061" s="20" t="s">
        <v>49</v>
      </c>
      <c r="AL1061" s="20" t="s">
        <v>49</v>
      </c>
      <c r="AM1061" s="20" t="s">
        <v>49</v>
      </c>
      <c r="AN1061" s="20" t="s">
        <v>49</v>
      </c>
      <c r="AO1061" s="20" t="s">
        <v>49</v>
      </c>
      <c r="AP1061" s="20">
        <v>0</v>
      </c>
      <c r="AQ1061" s="20" t="s">
        <v>49</v>
      </c>
      <c r="AR1061" s="6" t="s">
        <v>49</v>
      </c>
      <c r="AS1061" s="6">
        <v>0.52500000000000002</v>
      </c>
      <c r="AT1061" s="20" t="s">
        <v>49</v>
      </c>
      <c r="AU1061" s="20" t="s">
        <v>49</v>
      </c>
      <c r="AV1061" s="20" t="s">
        <v>49</v>
      </c>
      <c r="AW1061" s="31" t="s">
        <v>49</v>
      </c>
    </row>
    <row r="1062" spans="1:49">
      <c r="A1062" s="6">
        <v>80</v>
      </c>
      <c r="B1062" s="6" t="s">
        <v>38</v>
      </c>
      <c r="C1062" s="6" t="s">
        <v>49</v>
      </c>
      <c r="D1062" s="6" t="s">
        <v>352</v>
      </c>
      <c r="E1062" s="6" t="s">
        <v>302</v>
      </c>
      <c r="F1062" s="6">
        <v>2002</v>
      </c>
      <c r="G1062" s="6" t="s">
        <v>110</v>
      </c>
      <c r="H1062" s="6" t="s">
        <v>353</v>
      </c>
      <c r="I1062" s="6" t="s">
        <v>354</v>
      </c>
      <c r="J1062" s="3" t="s">
        <v>355</v>
      </c>
      <c r="K1062" s="6" t="s">
        <v>114</v>
      </c>
      <c r="L1062" s="6" t="s">
        <v>46</v>
      </c>
      <c r="M1062" s="6" t="s">
        <v>115</v>
      </c>
      <c r="N1062" s="6" t="s">
        <v>116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251</v>
      </c>
      <c r="V1062" s="6" t="s">
        <v>364</v>
      </c>
      <c r="W1062" s="25">
        <v>35.483333000000002</v>
      </c>
      <c r="X1062" s="25">
        <v>23.716667000000001</v>
      </c>
      <c r="Y1062" s="6" t="s">
        <v>48</v>
      </c>
      <c r="Z1062" s="6" t="s">
        <v>49</v>
      </c>
      <c r="AA1062" s="6" t="s">
        <v>49</v>
      </c>
      <c r="AB1062" s="6" t="s">
        <v>49</v>
      </c>
      <c r="AC1062" s="6" t="s">
        <v>49</v>
      </c>
      <c r="AD1062" s="6" t="s">
        <v>357</v>
      </c>
      <c r="AE1062" s="6" t="s">
        <v>347</v>
      </c>
      <c r="AF1062" s="6" t="s">
        <v>49</v>
      </c>
      <c r="AG1062" s="6" t="s">
        <v>49</v>
      </c>
      <c r="AH1062" s="6" t="s">
        <v>183</v>
      </c>
      <c r="AI1062" s="20" t="s">
        <v>55</v>
      </c>
      <c r="AJ1062" s="20" t="s">
        <v>49</v>
      </c>
      <c r="AK1062" s="20" t="s">
        <v>49</v>
      </c>
      <c r="AL1062" s="20" t="s">
        <v>49</v>
      </c>
      <c r="AM1062" s="20" t="s">
        <v>49</v>
      </c>
      <c r="AN1062" s="20" t="s">
        <v>49</v>
      </c>
      <c r="AO1062" s="20" t="s">
        <v>49</v>
      </c>
      <c r="AP1062" s="20">
        <v>0</v>
      </c>
      <c r="AQ1062" s="20" t="s">
        <v>49</v>
      </c>
      <c r="AR1062" s="6" t="s">
        <v>49</v>
      </c>
      <c r="AS1062" s="6">
        <v>12.307</v>
      </c>
      <c r="AT1062" s="20" t="s">
        <v>49</v>
      </c>
      <c r="AU1062" s="20" t="s">
        <v>49</v>
      </c>
      <c r="AV1062" s="20" t="s">
        <v>49</v>
      </c>
      <c r="AW1062" s="31" t="s">
        <v>49</v>
      </c>
    </row>
    <row r="1063" spans="1:49">
      <c r="A1063" s="6">
        <v>80</v>
      </c>
      <c r="B1063" s="6" t="s">
        <v>38</v>
      </c>
      <c r="C1063" s="6" t="s">
        <v>49</v>
      </c>
      <c r="D1063" s="6" t="s">
        <v>352</v>
      </c>
      <c r="E1063" s="6" t="s">
        <v>302</v>
      </c>
      <c r="F1063" s="6">
        <v>2002</v>
      </c>
      <c r="G1063" s="6" t="s">
        <v>110</v>
      </c>
      <c r="H1063" s="6" t="s">
        <v>353</v>
      </c>
      <c r="I1063" s="6" t="s">
        <v>354</v>
      </c>
      <c r="J1063" s="3" t="s">
        <v>355</v>
      </c>
      <c r="K1063" s="6" t="s">
        <v>114</v>
      </c>
      <c r="L1063" s="6" t="s">
        <v>46</v>
      </c>
      <c r="M1063" s="6" t="s">
        <v>115</v>
      </c>
      <c r="N1063" s="6" t="s">
        <v>116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251</v>
      </c>
      <c r="V1063" s="6" t="s">
        <v>364</v>
      </c>
      <c r="W1063" s="25">
        <v>35.483333000000002</v>
      </c>
      <c r="X1063" s="25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357</v>
      </c>
      <c r="AE1063" s="6" t="s">
        <v>367</v>
      </c>
      <c r="AF1063" s="6" t="s">
        <v>49</v>
      </c>
      <c r="AG1063" s="6" t="s">
        <v>49</v>
      </c>
      <c r="AH1063" s="6" t="s">
        <v>183</v>
      </c>
      <c r="AI1063" s="20" t="s">
        <v>55</v>
      </c>
      <c r="AJ1063" s="20" t="s">
        <v>49</v>
      </c>
      <c r="AK1063" s="20" t="s">
        <v>49</v>
      </c>
      <c r="AL1063" s="20" t="s">
        <v>49</v>
      </c>
      <c r="AM1063" s="20" t="s">
        <v>49</v>
      </c>
      <c r="AN1063" s="20" t="s">
        <v>49</v>
      </c>
      <c r="AO1063" s="20" t="s">
        <v>49</v>
      </c>
      <c r="AP1063" s="20">
        <v>0</v>
      </c>
      <c r="AQ1063" s="20" t="s">
        <v>49</v>
      </c>
      <c r="AR1063" s="6" t="s">
        <v>49</v>
      </c>
      <c r="AS1063" s="6">
        <v>0.48499999999999999</v>
      </c>
      <c r="AT1063" s="20" t="s">
        <v>49</v>
      </c>
      <c r="AU1063" s="20" t="s">
        <v>49</v>
      </c>
      <c r="AV1063" s="20" t="s">
        <v>49</v>
      </c>
      <c r="AW1063" s="31" t="s">
        <v>49</v>
      </c>
    </row>
    <row r="1064" spans="1:49">
      <c r="A1064" s="6">
        <v>80</v>
      </c>
      <c r="B1064" s="6" t="s">
        <v>38</v>
      </c>
      <c r="C1064" s="6" t="s">
        <v>49</v>
      </c>
      <c r="D1064" s="6" t="s">
        <v>352</v>
      </c>
      <c r="E1064" s="6" t="s">
        <v>302</v>
      </c>
      <c r="F1064" s="6">
        <v>2002</v>
      </c>
      <c r="G1064" s="6" t="s">
        <v>110</v>
      </c>
      <c r="H1064" s="6" t="s">
        <v>353</v>
      </c>
      <c r="I1064" s="6" t="s">
        <v>354</v>
      </c>
      <c r="J1064" s="3" t="s">
        <v>355</v>
      </c>
      <c r="K1064" s="6" t="s">
        <v>114</v>
      </c>
      <c r="L1064" s="6" t="s">
        <v>46</v>
      </c>
      <c r="M1064" s="6" t="s">
        <v>115</v>
      </c>
      <c r="N1064" s="6" t="s">
        <v>116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251</v>
      </c>
      <c r="V1064" s="6" t="s">
        <v>364</v>
      </c>
      <c r="W1064" s="25">
        <v>35.483333000000002</v>
      </c>
      <c r="X1064" s="25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357</v>
      </c>
      <c r="AE1064" s="6" t="s">
        <v>213</v>
      </c>
      <c r="AF1064" s="6" t="s">
        <v>49</v>
      </c>
      <c r="AG1064" s="6" t="s">
        <v>49</v>
      </c>
      <c r="AH1064" s="6" t="s">
        <v>183</v>
      </c>
      <c r="AI1064" s="20" t="s">
        <v>55</v>
      </c>
      <c r="AJ1064" s="20" t="s">
        <v>49</v>
      </c>
      <c r="AK1064" s="20" t="s">
        <v>49</v>
      </c>
      <c r="AL1064" s="20" t="s">
        <v>49</v>
      </c>
      <c r="AM1064" s="20" t="s">
        <v>49</v>
      </c>
      <c r="AN1064" s="20" t="s">
        <v>49</v>
      </c>
      <c r="AO1064" s="20" t="s">
        <v>49</v>
      </c>
      <c r="AP1064" s="20">
        <v>0</v>
      </c>
      <c r="AQ1064" s="20" t="s">
        <v>49</v>
      </c>
      <c r="AR1064" s="6" t="s">
        <v>49</v>
      </c>
      <c r="AS1064" s="6">
        <v>-0.114</v>
      </c>
      <c r="AT1064" s="20" t="s">
        <v>49</v>
      </c>
      <c r="AU1064" s="20" t="s">
        <v>49</v>
      </c>
      <c r="AV1064" s="20" t="s">
        <v>49</v>
      </c>
      <c r="AW1064" s="31" t="s">
        <v>49</v>
      </c>
    </row>
    <row r="1065" spans="1:49">
      <c r="A1065" s="6">
        <v>80</v>
      </c>
      <c r="B1065" s="6" t="s">
        <v>38</v>
      </c>
      <c r="C1065" s="6" t="s">
        <v>49</v>
      </c>
      <c r="D1065" s="6" t="s">
        <v>352</v>
      </c>
      <c r="E1065" s="6" t="s">
        <v>302</v>
      </c>
      <c r="F1065" s="6">
        <v>2002</v>
      </c>
      <c r="G1065" s="6" t="s">
        <v>110</v>
      </c>
      <c r="H1065" s="6" t="s">
        <v>353</v>
      </c>
      <c r="I1065" s="6" t="s">
        <v>354</v>
      </c>
      <c r="J1065" s="3" t="s">
        <v>355</v>
      </c>
      <c r="K1065" s="6" t="s">
        <v>114</v>
      </c>
      <c r="L1065" s="6" t="s">
        <v>46</v>
      </c>
      <c r="M1065" s="6" t="s">
        <v>115</v>
      </c>
      <c r="N1065" s="6" t="s">
        <v>116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251</v>
      </c>
      <c r="V1065" s="6" t="s">
        <v>364</v>
      </c>
      <c r="W1065" s="25">
        <v>35.483333000000002</v>
      </c>
      <c r="X1065" s="25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358</v>
      </c>
      <c r="AE1065" s="6" t="s">
        <v>359</v>
      </c>
      <c r="AF1065" s="6" t="s">
        <v>49</v>
      </c>
      <c r="AG1065" s="6" t="s">
        <v>49</v>
      </c>
      <c r="AH1065" s="6" t="s">
        <v>183</v>
      </c>
      <c r="AI1065" s="20" t="s">
        <v>55</v>
      </c>
      <c r="AJ1065" s="20" t="s">
        <v>49</v>
      </c>
      <c r="AK1065" s="20" t="s">
        <v>49</v>
      </c>
      <c r="AL1065" s="20" t="s">
        <v>49</v>
      </c>
      <c r="AM1065" s="20" t="s">
        <v>49</v>
      </c>
      <c r="AN1065" s="20" t="s">
        <v>49</v>
      </c>
      <c r="AO1065" s="20" t="s">
        <v>49</v>
      </c>
      <c r="AP1065" s="20">
        <v>0</v>
      </c>
      <c r="AQ1065" s="20" t="s">
        <v>49</v>
      </c>
      <c r="AR1065" s="6" t="s">
        <v>49</v>
      </c>
      <c r="AS1065" s="6">
        <v>8.7780000000000005</v>
      </c>
      <c r="AT1065" s="20" t="s">
        <v>49</v>
      </c>
      <c r="AU1065" s="20" t="s">
        <v>49</v>
      </c>
      <c r="AV1065" s="20" t="s">
        <v>49</v>
      </c>
      <c r="AW1065" s="31" t="s">
        <v>49</v>
      </c>
    </row>
    <row r="1066" spans="1:49">
      <c r="A1066" s="6">
        <v>80</v>
      </c>
      <c r="B1066" s="6" t="s">
        <v>38</v>
      </c>
      <c r="C1066" s="6" t="s">
        <v>49</v>
      </c>
      <c r="D1066" s="6" t="s">
        <v>352</v>
      </c>
      <c r="E1066" s="6" t="s">
        <v>302</v>
      </c>
      <c r="F1066" s="6">
        <v>2002</v>
      </c>
      <c r="G1066" s="6" t="s">
        <v>110</v>
      </c>
      <c r="H1066" s="6" t="s">
        <v>353</v>
      </c>
      <c r="I1066" s="6" t="s">
        <v>354</v>
      </c>
      <c r="J1066" s="3" t="s">
        <v>355</v>
      </c>
      <c r="K1066" s="6" t="s">
        <v>114</v>
      </c>
      <c r="L1066" s="6" t="s">
        <v>46</v>
      </c>
      <c r="M1066" s="6" t="s">
        <v>115</v>
      </c>
      <c r="N1066" s="6" t="s">
        <v>116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251</v>
      </c>
      <c r="V1066" s="6" t="s">
        <v>364</v>
      </c>
      <c r="W1066" s="25">
        <v>35.483333000000002</v>
      </c>
      <c r="X1066" s="25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358</v>
      </c>
      <c r="AE1066" s="6" t="s">
        <v>347</v>
      </c>
      <c r="AF1066" s="6" t="s">
        <v>49</v>
      </c>
      <c r="AG1066" s="6" t="s">
        <v>49</v>
      </c>
      <c r="AH1066" s="6" t="s">
        <v>183</v>
      </c>
      <c r="AI1066" s="20" t="s">
        <v>55</v>
      </c>
      <c r="AJ1066" s="20" t="s">
        <v>49</v>
      </c>
      <c r="AK1066" s="20" t="s">
        <v>49</v>
      </c>
      <c r="AL1066" s="20" t="s">
        <v>49</v>
      </c>
      <c r="AM1066" s="20" t="s">
        <v>49</v>
      </c>
      <c r="AN1066" s="20" t="s">
        <v>49</v>
      </c>
      <c r="AO1066" s="20" t="s">
        <v>49</v>
      </c>
      <c r="AP1066" s="20">
        <v>0</v>
      </c>
      <c r="AQ1066" s="20" t="s">
        <v>49</v>
      </c>
      <c r="AR1066" s="6" t="s">
        <v>49</v>
      </c>
      <c r="AS1066" s="6">
        <v>81.84</v>
      </c>
      <c r="AT1066" s="20" t="s">
        <v>49</v>
      </c>
      <c r="AU1066" s="20" t="s">
        <v>49</v>
      </c>
      <c r="AV1066" s="20" t="s">
        <v>49</v>
      </c>
      <c r="AW1066" s="31" t="s">
        <v>49</v>
      </c>
    </row>
    <row r="1067" spans="1:49">
      <c r="A1067" s="6">
        <v>80</v>
      </c>
      <c r="B1067" s="6" t="s">
        <v>38</v>
      </c>
      <c r="C1067" s="6" t="s">
        <v>49</v>
      </c>
      <c r="D1067" s="6" t="s">
        <v>352</v>
      </c>
      <c r="E1067" s="6" t="s">
        <v>302</v>
      </c>
      <c r="F1067" s="6">
        <v>2002</v>
      </c>
      <c r="G1067" s="6" t="s">
        <v>110</v>
      </c>
      <c r="H1067" s="6" t="s">
        <v>353</v>
      </c>
      <c r="I1067" s="6" t="s">
        <v>354</v>
      </c>
      <c r="J1067" s="3" t="s">
        <v>355</v>
      </c>
      <c r="K1067" s="6" t="s">
        <v>114</v>
      </c>
      <c r="L1067" s="6" t="s">
        <v>46</v>
      </c>
      <c r="M1067" s="6" t="s">
        <v>115</v>
      </c>
      <c r="N1067" s="6" t="s">
        <v>116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251</v>
      </c>
      <c r="V1067" s="6" t="s">
        <v>364</v>
      </c>
      <c r="W1067" s="25">
        <v>35.483333000000002</v>
      </c>
      <c r="X1067" s="25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358</v>
      </c>
      <c r="AE1067" s="6" t="s">
        <v>367</v>
      </c>
      <c r="AF1067" s="6" t="s">
        <v>49</v>
      </c>
      <c r="AG1067" s="6" t="s">
        <v>49</v>
      </c>
      <c r="AH1067" s="6" t="s">
        <v>183</v>
      </c>
      <c r="AI1067" s="20" t="s">
        <v>55</v>
      </c>
      <c r="AJ1067" s="20" t="s">
        <v>49</v>
      </c>
      <c r="AK1067" s="20" t="s">
        <v>49</v>
      </c>
      <c r="AL1067" s="20" t="s">
        <v>49</v>
      </c>
      <c r="AM1067" s="20" t="s">
        <v>49</v>
      </c>
      <c r="AN1067" s="20" t="s">
        <v>49</v>
      </c>
      <c r="AO1067" s="20" t="s">
        <v>49</v>
      </c>
      <c r="AP1067" s="20">
        <v>0</v>
      </c>
      <c r="AQ1067" s="20" t="s">
        <v>49</v>
      </c>
      <c r="AR1067" s="6" t="s">
        <v>49</v>
      </c>
      <c r="AS1067" s="6">
        <v>4.0990000000000002</v>
      </c>
      <c r="AT1067" s="20" t="s">
        <v>49</v>
      </c>
      <c r="AU1067" s="20" t="s">
        <v>49</v>
      </c>
      <c r="AV1067" s="20" t="s">
        <v>49</v>
      </c>
      <c r="AW1067" s="31" t="s">
        <v>49</v>
      </c>
    </row>
    <row r="1068" spans="1:49">
      <c r="A1068" s="6">
        <v>80</v>
      </c>
      <c r="B1068" s="6" t="s">
        <v>38</v>
      </c>
      <c r="C1068" s="6" t="s">
        <v>49</v>
      </c>
      <c r="D1068" s="6" t="s">
        <v>352</v>
      </c>
      <c r="E1068" s="6" t="s">
        <v>302</v>
      </c>
      <c r="F1068" s="6">
        <v>2002</v>
      </c>
      <c r="G1068" s="6" t="s">
        <v>110</v>
      </c>
      <c r="H1068" s="6" t="s">
        <v>353</v>
      </c>
      <c r="I1068" s="6" t="s">
        <v>354</v>
      </c>
      <c r="J1068" s="3" t="s">
        <v>355</v>
      </c>
      <c r="K1068" s="6" t="s">
        <v>114</v>
      </c>
      <c r="L1068" s="6" t="s">
        <v>46</v>
      </c>
      <c r="M1068" s="6" t="s">
        <v>115</v>
      </c>
      <c r="N1068" s="6" t="s">
        <v>116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251</v>
      </c>
      <c r="V1068" s="6" t="s">
        <v>364</v>
      </c>
      <c r="W1068" s="25">
        <v>35.483333000000002</v>
      </c>
      <c r="X1068" s="25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358</v>
      </c>
      <c r="AE1068" s="6" t="s">
        <v>213</v>
      </c>
      <c r="AF1068" s="6" t="s">
        <v>49</v>
      </c>
      <c r="AG1068" s="6" t="s">
        <v>49</v>
      </c>
      <c r="AH1068" s="6" t="s">
        <v>183</v>
      </c>
      <c r="AI1068" s="20" t="s">
        <v>55</v>
      </c>
      <c r="AJ1068" s="20" t="s">
        <v>49</v>
      </c>
      <c r="AK1068" s="20" t="s">
        <v>49</v>
      </c>
      <c r="AL1068" s="20" t="s">
        <v>49</v>
      </c>
      <c r="AM1068" s="20" t="s">
        <v>49</v>
      </c>
      <c r="AN1068" s="20" t="s">
        <v>49</v>
      </c>
      <c r="AO1068" s="20" t="s">
        <v>49</v>
      </c>
      <c r="AP1068" s="20">
        <v>0</v>
      </c>
      <c r="AQ1068" s="20" t="s">
        <v>49</v>
      </c>
      <c r="AR1068" s="6" t="s">
        <v>49</v>
      </c>
      <c r="AS1068" s="6">
        <v>3.4990000000000001</v>
      </c>
      <c r="AT1068" s="20" t="s">
        <v>49</v>
      </c>
      <c r="AU1068" s="20" t="s">
        <v>49</v>
      </c>
      <c r="AV1068" s="20" t="s">
        <v>49</v>
      </c>
      <c r="AW1068" s="31" t="s">
        <v>49</v>
      </c>
    </row>
    <row r="1069" spans="1:49">
      <c r="A1069" s="6">
        <v>80</v>
      </c>
      <c r="B1069" s="6" t="s">
        <v>38</v>
      </c>
      <c r="C1069" s="6" t="s">
        <v>49</v>
      </c>
      <c r="D1069" s="6" t="s">
        <v>352</v>
      </c>
      <c r="E1069" s="6" t="s">
        <v>302</v>
      </c>
      <c r="F1069" s="6">
        <v>2002</v>
      </c>
      <c r="G1069" s="6" t="s">
        <v>110</v>
      </c>
      <c r="H1069" s="6" t="s">
        <v>353</v>
      </c>
      <c r="I1069" s="6" t="s">
        <v>354</v>
      </c>
      <c r="J1069" s="3" t="s">
        <v>355</v>
      </c>
      <c r="K1069" s="6" t="s">
        <v>114</v>
      </c>
      <c r="L1069" s="6" t="s">
        <v>46</v>
      </c>
      <c r="M1069" s="6" t="s">
        <v>115</v>
      </c>
      <c r="N1069" s="6" t="s">
        <v>116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251</v>
      </c>
      <c r="V1069" s="6" t="s">
        <v>364</v>
      </c>
      <c r="W1069" s="25">
        <v>35.483333000000002</v>
      </c>
      <c r="X1069" s="25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359</v>
      </c>
      <c r="AE1069" s="6" t="s">
        <v>347</v>
      </c>
      <c r="AF1069" s="6" t="s">
        <v>49</v>
      </c>
      <c r="AG1069" s="6" t="s">
        <v>49</v>
      </c>
      <c r="AH1069" s="6" t="s">
        <v>183</v>
      </c>
      <c r="AI1069" s="20" t="s">
        <v>55</v>
      </c>
      <c r="AJ1069" s="20" t="s">
        <v>49</v>
      </c>
      <c r="AK1069" s="20" t="s">
        <v>49</v>
      </c>
      <c r="AL1069" s="20" t="s">
        <v>49</v>
      </c>
      <c r="AM1069" s="20" t="s">
        <v>49</v>
      </c>
      <c r="AN1069" s="20" t="s">
        <v>49</v>
      </c>
      <c r="AO1069" s="20" t="s">
        <v>49</v>
      </c>
      <c r="AP1069" s="20">
        <v>0</v>
      </c>
      <c r="AQ1069" s="20" t="s">
        <v>49</v>
      </c>
      <c r="AR1069" s="6" t="s">
        <v>49</v>
      </c>
      <c r="AS1069" s="6">
        <v>-12.864000000000001</v>
      </c>
      <c r="AT1069" s="20" t="s">
        <v>49</v>
      </c>
      <c r="AU1069" s="20" t="s">
        <v>49</v>
      </c>
      <c r="AV1069" s="20" t="s">
        <v>49</v>
      </c>
      <c r="AW1069" s="31" t="s">
        <v>49</v>
      </c>
    </row>
    <row r="1070" spans="1:49">
      <c r="A1070" s="6">
        <v>80</v>
      </c>
      <c r="B1070" s="6" t="s">
        <v>38</v>
      </c>
      <c r="C1070" s="6" t="s">
        <v>49</v>
      </c>
      <c r="D1070" s="6" t="s">
        <v>352</v>
      </c>
      <c r="E1070" s="6" t="s">
        <v>302</v>
      </c>
      <c r="F1070" s="6">
        <v>2002</v>
      </c>
      <c r="G1070" s="6" t="s">
        <v>110</v>
      </c>
      <c r="H1070" s="6" t="s">
        <v>353</v>
      </c>
      <c r="I1070" s="6" t="s">
        <v>354</v>
      </c>
      <c r="J1070" s="3" t="s">
        <v>355</v>
      </c>
      <c r="K1070" s="6" t="s">
        <v>114</v>
      </c>
      <c r="L1070" s="6" t="s">
        <v>46</v>
      </c>
      <c r="M1070" s="6" t="s">
        <v>115</v>
      </c>
      <c r="N1070" s="6" t="s">
        <v>116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251</v>
      </c>
      <c r="V1070" s="6" t="s">
        <v>364</v>
      </c>
      <c r="W1070" s="25">
        <v>35.483333000000002</v>
      </c>
      <c r="X1070" s="25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359</v>
      </c>
      <c r="AE1070" s="6" t="s">
        <v>367</v>
      </c>
      <c r="AF1070" s="6" t="s">
        <v>49</v>
      </c>
      <c r="AG1070" s="6" t="s">
        <v>49</v>
      </c>
      <c r="AH1070" s="6" t="s">
        <v>183</v>
      </c>
      <c r="AI1070" s="20" t="s">
        <v>55</v>
      </c>
      <c r="AJ1070" s="20" t="s">
        <v>49</v>
      </c>
      <c r="AK1070" s="20" t="s">
        <v>49</v>
      </c>
      <c r="AL1070" s="20" t="s">
        <v>49</v>
      </c>
      <c r="AM1070" s="20" t="s">
        <v>49</v>
      </c>
      <c r="AN1070" s="20" t="s">
        <v>49</v>
      </c>
      <c r="AO1070" s="20" t="s">
        <v>49</v>
      </c>
      <c r="AP1070" s="20">
        <v>0</v>
      </c>
      <c r="AQ1070" s="20" t="s">
        <v>49</v>
      </c>
      <c r="AR1070" s="6" t="s">
        <v>49</v>
      </c>
      <c r="AS1070" s="6">
        <v>1.603</v>
      </c>
      <c r="AT1070" s="20" t="s">
        <v>49</v>
      </c>
      <c r="AU1070" s="20" t="s">
        <v>49</v>
      </c>
      <c r="AV1070" s="20" t="s">
        <v>49</v>
      </c>
      <c r="AW1070" s="31" t="s">
        <v>49</v>
      </c>
    </row>
    <row r="1071" spans="1:49">
      <c r="A1071" s="6">
        <v>80</v>
      </c>
      <c r="B1071" s="6" t="s">
        <v>38</v>
      </c>
      <c r="C1071" s="6" t="s">
        <v>49</v>
      </c>
      <c r="D1071" s="6" t="s">
        <v>352</v>
      </c>
      <c r="E1071" s="6" t="s">
        <v>302</v>
      </c>
      <c r="F1071" s="6">
        <v>2002</v>
      </c>
      <c r="G1071" s="6" t="s">
        <v>110</v>
      </c>
      <c r="H1071" s="6" t="s">
        <v>353</v>
      </c>
      <c r="I1071" s="6" t="s">
        <v>354</v>
      </c>
      <c r="J1071" s="3" t="s">
        <v>355</v>
      </c>
      <c r="K1071" s="6" t="s">
        <v>114</v>
      </c>
      <c r="L1071" s="6" t="s">
        <v>46</v>
      </c>
      <c r="M1071" s="6" t="s">
        <v>115</v>
      </c>
      <c r="N1071" s="6" t="s">
        <v>116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251</v>
      </c>
      <c r="V1071" s="6" t="s">
        <v>364</v>
      </c>
      <c r="W1071" s="25">
        <v>35.483333000000002</v>
      </c>
      <c r="X1071" s="25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359</v>
      </c>
      <c r="AE1071" s="6" t="s">
        <v>213</v>
      </c>
      <c r="AF1071" s="6" t="s">
        <v>49</v>
      </c>
      <c r="AG1071" s="6" t="s">
        <v>49</v>
      </c>
      <c r="AH1071" s="6" t="s">
        <v>183</v>
      </c>
      <c r="AI1071" s="20" t="s">
        <v>55</v>
      </c>
      <c r="AJ1071" s="20" t="s">
        <v>49</v>
      </c>
      <c r="AK1071" s="20" t="s">
        <v>49</v>
      </c>
      <c r="AL1071" s="20" t="s">
        <v>49</v>
      </c>
      <c r="AM1071" s="20" t="s">
        <v>49</v>
      </c>
      <c r="AN1071" s="20" t="s">
        <v>49</v>
      </c>
      <c r="AO1071" s="20" t="s">
        <v>49</v>
      </c>
      <c r="AP1071" s="20">
        <v>0</v>
      </c>
      <c r="AQ1071" s="20" t="s">
        <v>49</v>
      </c>
      <c r="AR1071" s="6" t="s">
        <v>49</v>
      </c>
      <c r="AS1071" s="6">
        <v>-0.97199999999999998</v>
      </c>
      <c r="AT1071" s="20" t="s">
        <v>49</v>
      </c>
      <c r="AU1071" s="20" t="s">
        <v>49</v>
      </c>
      <c r="AV1071" s="20" t="s">
        <v>49</v>
      </c>
      <c r="AW1071" s="31" t="s">
        <v>49</v>
      </c>
    </row>
    <row r="1072" spans="1:49">
      <c r="A1072" s="6">
        <v>80</v>
      </c>
      <c r="B1072" s="6" t="s">
        <v>38</v>
      </c>
      <c r="C1072" s="6" t="s">
        <v>49</v>
      </c>
      <c r="D1072" s="6" t="s">
        <v>352</v>
      </c>
      <c r="E1072" s="6" t="s">
        <v>302</v>
      </c>
      <c r="F1072" s="6">
        <v>2002</v>
      </c>
      <c r="G1072" s="6" t="s">
        <v>110</v>
      </c>
      <c r="H1072" s="6" t="s">
        <v>353</v>
      </c>
      <c r="I1072" s="6" t="s">
        <v>354</v>
      </c>
      <c r="J1072" s="3" t="s">
        <v>355</v>
      </c>
      <c r="K1072" s="6" t="s">
        <v>114</v>
      </c>
      <c r="L1072" s="6" t="s">
        <v>46</v>
      </c>
      <c r="M1072" s="6" t="s">
        <v>115</v>
      </c>
      <c r="N1072" s="6" t="s">
        <v>116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251</v>
      </c>
      <c r="V1072" s="6" t="s">
        <v>364</v>
      </c>
      <c r="W1072" s="25">
        <v>35.483333000000002</v>
      </c>
      <c r="X1072" s="25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347</v>
      </c>
      <c r="AE1072" s="6" t="s">
        <v>367</v>
      </c>
      <c r="AF1072" s="6" t="s">
        <v>49</v>
      </c>
      <c r="AG1072" s="6" t="s">
        <v>49</v>
      </c>
      <c r="AH1072" s="6" t="s">
        <v>183</v>
      </c>
      <c r="AI1072" s="20" t="s">
        <v>55</v>
      </c>
      <c r="AJ1072" s="20" t="s">
        <v>49</v>
      </c>
      <c r="AK1072" s="20" t="s">
        <v>49</v>
      </c>
      <c r="AL1072" s="20" t="s">
        <v>49</v>
      </c>
      <c r="AM1072" s="20" t="s">
        <v>49</v>
      </c>
      <c r="AN1072" s="20" t="s">
        <v>49</v>
      </c>
      <c r="AO1072" s="20" t="s">
        <v>49</v>
      </c>
      <c r="AP1072" s="20">
        <v>0</v>
      </c>
      <c r="AQ1072" s="20" t="s">
        <v>49</v>
      </c>
      <c r="AR1072" s="6" t="s">
        <v>49</v>
      </c>
      <c r="AS1072" s="6">
        <v>8.8740000000000006</v>
      </c>
      <c r="AT1072" s="20" t="s">
        <v>49</v>
      </c>
      <c r="AU1072" s="20" t="s">
        <v>49</v>
      </c>
      <c r="AV1072" s="20" t="s">
        <v>49</v>
      </c>
      <c r="AW1072" s="31" t="s">
        <v>49</v>
      </c>
    </row>
    <row r="1073" spans="1:49">
      <c r="A1073" s="6">
        <v>80</v>
      </c>
      <c r="B1073" s="6" t="s">
        <v>38</v>
      </c>
      <c r="C1073" s="6" t="s">
        <v>49</v>
      </c>
      <c r="D1073" s="6" t="s">
        <v>352</v>
      </c>
      <c r="E1073" s="6" t="s">
        <v>302</v>
      </c>
      <c r="F1073" s="6">
        <v>2002</v>
      </c>
      <c r="G1073" s="6" t="s">
        <v>110</v>
      </c>
      <c r="H1073" s="6" t="s">
        <v>353</v>
      </c>
      <c r="I1073" s="6" t="s">
        <v>354</v>
      </c>
      <c r="J1073" s="3" t="s">
        <v>355</v>
      </c>
      <c r="K1073" s="6" t="s">
        <v>114</v>
      </c>
      <c r="L1073" s="6" t="s">
        <v>46</v>
      </c>
      <c r="M1073" s="6" t="s">
        <v>115</v>
      </c>
      <c r="N1073" s="6" t="s">
        <v>116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251</v>
      </c>
      <c r="V1073" s="6" t="s">
        <v>364</v>
      </c>
      <c r="W1073" s="25">
        <v>35.483333000000002</v>
      </c>
      <c r="X1073" s="25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347</v>
      </c>
      <c r="AE1073" s="6" t="s">
        <v>213</v>
      </c>
      <c r="AF1073" s="6" t="s">
        <v>49</v>
      </c>
      <c r="AG1073" s="6" t="s">
        <v>49</v>
      </c>
      <c r="AH1073" s="6" t="s">
        <v>183</v>
      </c>
      <c r="AI1073" s="20" t="s">
        <v>55</v>
      </c>
      <c r="AJ1073" s="20" t="s">
        <v>49</v>
      </c>
      <c r="AK1073" s="20" t="s">
        <v>49</v>
      </c>
      <c r="AL1073" s="20" t="s">
        <v>49</v>
      </c>
      <c r="AM1073" s="20" t="s">
        <v>49</v>
      </c>
      <c r="AN1073" s="20" t="s">
        <v>49</v>
      </c>
      <c r="AO1073" s="20" t="s">
        <v>49</v>
      </c>
      <c r="AP1073" s="20">
        <v>0</v>
      </c>
      <c r="AQ1073" s="20" t="s">
        <v>49</v>
      </c>
      <c r="AR1073" s="6" t="s">
        <v>49</v>
      </c>
      <c r="AS1073" s="6">
        <v>20.689</v>
      </c>
      <c r="AT1073" s="20" t="s">
        <v>49</v>
      </c>
      <c r="AU1073" s="20" t="s">
        <v>49</v>
      </c>
      <c r="AV1073" s="20" t="s">
        <v>49</v>
      </c>
      <c r="AW1073" s="31" t="s">
        <v>49</v>
      </c>
    </row>
    <row r="1074" spans="1:49">
      <c r="A1074" s="6">
        <v>80</v>
      </c>
      <c r="B1074" s="6" t="s">
        <v>38</v>
      </c>
      <c r="C1074" s="6" t="s">
        <v>49</v>
      </c>
      <c r="D1074" s="6" t="s">
        <v>352</v>
      </c>
      <c r="E1074" s="6" t="s">
        <v>302</v>
      </c>
      <c r="F1074" s="6">
        <v>2002</v>
      </c>
      <c r="G1074" s="6" t="s">
        <v>110</v>
      </c>
      <c r="H1074" s="6" t="s">
        <v>353</v>
      </c>
      <c r="I1074" s="6" t="s">
        <v>354</v>
      </c>
      <c r="J1074" s="3" t="s">
        <v>355</v>
      </c>
      <c r="K1074" s="6" t="s">
        <v>114</v>
      </c>
      <c r="L1074" s="6" t="s">
        <v>46</v>
      </c>
      <c r="M1074" s="6" t="s">
        <v>115</v>
      </c>
      <c r="N1074" s="6" t="s">
        <v>116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251</v>
      </c>
      <c r="V1074" s="6" t="s">
        <v>364</v>
      </c>
      <c r="W1074" s="25">
        <v>35.483333000000002</v>
      </c>
      <c r="X1074" s="25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367</v>
      </c>
      <c r="AE1074" s="6" t="s">
        <v>213</v>
      </c>
      <c r="AF1074" s="6" t="s">
        <v>49</v>
      </c>
      <c r="AG1074" s="6" t="s">
        <v>49</v>
      </c>
      <c r="AH1074" s="6" t="s">
        <v>183</v>
      </c>
      <c r="AI1074" s="20" t="s">
        <v>55</v>
      </c>
      <c r="AJ1074" s="20" t="s">
        <v>49</v>
      </c>
      <c r="AK1074" s="20" t="s">
        <v>49</v>
      </c>
      <c r="AL1074" s="20" t="s">
        <v>49</v>
      </c>
      <c r="AM1074" s="20" t="s">
        <v>49</v>
      </c>
      <c r="AN1074" s="20" t="s">
        <v>49</v>
      </c>
      <c r="AO1074" s="20" t="s">
        <v>49</v>
      </c>
      <c r="AP1074" s="20">
        <v>0</v>
      </c>
      <c r="AQ1074" s="20" t="s">
        <v>49</v>
      </c>
      <c r="AR1074" s="6" t="s">
        <v>49</v>
      </c>
      <c r="AS1074" s="6">
        <v>-0.184</v>
      </c>
      <c r="AT1074" s="20" t="s">
        <v>49</v>
      </c>
      <c r="AU1074" s="20" t="s">
        <v>49</v>
      </c>
      <c r="AV1074" s="20" t="s">
        <v>49</v>
      </c>
      <c r="AW1074" s="31" t="s">
        <v>49</v>
      </c>
    </row>
    <row r="1075" spans="1:49">
      <c r="A1075" s="6">
        <v>80</v>
      </c>
      <c r="B1075" s="6" t="s">
        <v>38</v>
      </c>
      <c r="C1075" s="6" t="s">
        <v>49</v>
      </c>
      <c r="D1075" s="6" t="s">
        <v>352</v>
      </c>
      <c r="E1075" s="6" t="s">
        <v>302</v>
      </c>
      <c r="F1075" s="6">
        <v>2002</v>
      </c>
      <c r="G1075" s="6" t="s">
        <v>110</v>
      </c>
      <c r="H1075" s="6" t="s">
        <v>353</v>
      </c>
      <c r="I1075" s="6" t="s">
        <v>354</v>
      </c>
      <c r="J1075" s="3" t="s">
        <v>355</v>
      </c>
      <c r="K1075" s="6" t="s">
        <v>114</v>
      </c>
      <c r="L1075" s="6" t="s">
        <v>46</v>
      </c>
      <c r="M1075" s="6" t="s">
        <v>115</v>
      </c>
      <c r="N1075" s="6" t="s">
        <v>116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251</v>
      </c>
      <c r="V1075" s="6" t="s">
        <v>365</v>
      </c>
      <c r="W1075" s="25">
        <v>35.233333000000002</v>
      </c>
      <c r="X1075" s="25">
        <v>25.45</v>
      </c>
      <c r="Y1075" s="6" t="s">
        <v>48</v>
      </c>
      <c r="Z1075" s="6" t="s">
        <v>49</v>
      </c>
      <c r="AA1075" s="6" t="s">
        <v>127</v>
      </c>
      <c r="AB1075" s="6" t="s">
        <v>239</v>
      </c>
      <c r="AC1075" s="6" t="s">
        <v>240</v>
      </c>
      <c r="AD1075" s="6" t="s">
        <v>240</v>
      </c>
      <c r="AE1075" s="6" t="s">
        <v>240</v>
      </c>
      <c r="AF1075" s="6" t="s">
        <v>60</v>
      </c>
      <c r="AG1075" s="6" t="s">
        <v>61</v>
      </c>
      <c r="AH1075" s="6" t="s">
        <v>183</v>
      </c>
      <c r="AI1075" s="20" t="s">
        <v>55</v>
      </c>
      <c r="AJ1075" s="20">
        <v>34</v>
      </c>
      <c r="AK1075" s="20">
        <f>AJ1075*2*4</f>
        <v>272</v>
      </c>
      <c r="AL1075" s="20">
        <f>AS1075/AN1075</f>
        <v>0.36858332317232489</v>
      </c>
      <c r="AM1075" s="19">
        <v>19.978429999999999</v>
      </c>
      <c r="AN1075" s="19">
        <v>5.7408999999999999</v>
      </c>
      <c r="AO1075" s="20" t="s">
        <v>49</v>
      </c>
      <c r="AP1075" s="20">
        <v>0</v>
      </c>
      <c r="AQ1075" s="20" t="s">
        <v>49</v>
      </c>
      <c r="AR1075" s="6" t="s">
        <v>49</v>
      </c>
      <c r="AS1075" s="20">
        <v>2.1160000000000001</v>
      </c>
      <c r="AT1075" s="20">
        <f>AS1075/(AM1075^2)*100</f>
        <v>0.53014290159653354</v>
      </c>
      <c r="AU1075" s="20">
        <v>0</v>
      </c>
      <c r="AV1075" s="4">
        <f>AT1075*(1-AL1075)/AL1075</f>
        <v>0.90818289413859854</v>
      </c>
      <c r="AW1075" s="31" t="s">
        <v>366</v>
      </c>
    </row>
    <row r="1076" spans="1:49">
      <c r="A1076" s="6">
        <v>80</v>
      </c>
      <c r="B1076" s="6" t="s">
        <v>38</v>
      </c>
      <c r="C1076" s="6" t="s">
        <v>49</v>
      </c>
      <c r="D1076" s="6" t="s">
        <v>352</v>
      </c>
      <c r="E1076" s="6" t="s">
        <v>302</v>
      </c>
      <c r="F1076" s="6">
        <v>2002</v>
      </c>
      <c r="G1076" s="6" t="s">
        <v>110</v>
      </c>
      <c r="H1076" s="6" t="s">
        <v>353</v>
      </c>
      <c r="I1076" s="6" t="s">
        <v>354</v>
      </c>
      <c r="J1076" s="3" t="s">
        <v>355</v>
      </c>
      <c r="K1076" s="6" t="s">
        <v>114</v>
      </c>
      <c r="L1076" s="6" t="s">
        <v>46</v>
      </c>
      <c r="M1076" s="6" t="s">
        <v>115</v>
      </c>
      <c r="N1076" s="6" t="s">
        <v>116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251</v>
      </c>
      <c r="V1076" s="6" t="s">
        <v>365</v>
      </c>
      <c r="W1076" s="25">
        <v>35.233333000000002</v>
      </c>
      <c r="X1076" s="25">
        <v>25.45</v>
      </c>
      <c r="Y1076" s="6" t="s">
        <v>48</v>
      </c>
      <c r="Z1076" s="6" t="s">
        <v>49</v>
      </c>
      <c r="AA1076" s="6" t="s">
        <v>127</v>
      </c>
      <c r="AB1076" s="6" t="s">
        <v>292</v>
      </c>
      <c r="AC1076" s="6" t="s">
        <v>360</v>
      </c>
      <c r="AD1076" s="6" t="s">
        <v>357</v>
      </c>
      <c r="AE1076" s="6" t="s">
        <v>357</v>
      </c>
      <c r="AF1076" s="6" t="s">
        <v>60</v>
      </c>
      <c r="AG1076" s="6" t="s">
        <v>60</v>
      </c>
      <c r="AH1076" s="6" t="s">
        <v>183</v>
      </c>
      <c r="AI1076" s="20" t="s">
        <v>55</v>
      </c>
      <c r="AJ1076" s="20">
        <v>34</v>
      </c>
      <c r="AK1076" s="20">
        <f>AJ1076*2*4</f>
        <v>272</v>
      </c>
      <c r="AL1076" s="20">
        <f t="shared" ref="AL1076:AL1081" si="89">AS1076/AN1076</f>
        <v>0.26151867450129873</v>
      </c>
      <c r="AM1076" s="19">
        <v>14.275499999999999</v>
      </c>
      <c r="AN1076" s="19">
        <v>7.9306000000000001</v>
      </c>
      <c r="AO1076" s="20" t="s">
        <v>49</v>
      </c>
      <c r="AP1076" s="20">
        <v>0</v>
      </c>
      <c r="AQ1076" s="20" t="s">
        <v>49</v>
      </c>
      <c r="AR1076" s="6" t="s">
        <v>49</v>
      </c>
      <c r="AS1076" s="20">
        <v>2.0739999999999998</v>
      </c>
      <c r="AT1076" s="20">
        <f t="shared" ref="AT1076:AT1081" si="90">AS1076/(AM1076^2)*100</f>
        <v>1.0177148118997619</v>
      </c>
      <c r="AU1076" s="20">
        <v>0</v>
      </c>
      <c r="AV1076" s="4">
        <f t="shared" ref="AV1076:AV1081" si="91">AT1076*(1-AL1076)/AL1076</f>
        <v>2.8738421250588941</v>
      </c>
      <c r="AW1076" s="31" t="s">
        <v>366</v>
      </c>
    </row>
    <row r="1077" spans="1:49">
      <c r="A1077" s="6">
        <v>80</v>
      </c>
      <c r="B1077" s="6" t="s">
        <v>38</v>
      </c>
      <c r="C1077" s="6" t="s">
        <v>49</v>
      </c>
      <c r="D1077" s="6" t="s">
        <v>352</v>
      </c>
      <c r="E1077" s="6" t="s">
        <v>302</v>
      </c>
      <c r="F1077" s="6">
        <v>2002</v>
      </c>
      <c r="G1077" s="6" t="s">
        <v>110</v>
      </c>
      <c r="H1077" s="6" t="s">
        <v>353</v>
      </c>
      <c r="I1077" s="6" t="s">
        <v>354</v>
      </c>
      <c r="J1077" s="3" t="s">
        <v>355</v>
      </c>
      <c r="K1077" s="6" t="s">
        <v>114</v>
      </c>
      <c r="L1077" s="6" t="s">
        <v>46</v>
      </c>
      <c r="M1077" s="6" t="s">
        <v>115</v>
      </c>
      <c r="N1077" s="6" t="s">
        <v>116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251</v>
      </c>
      <c r="V1077" s="6" t="s">
        <v>365</v>
      </c>
      <c r="W1077" s="25">
        <v>35.233333000000002</v>
      </c>
      <c r="X1077" s="25">
        <v>25.45</v>
      </c>
      <c r="Y1077" s="6" t="s">
        <v>48</v>
      </c>
      <c r="Z1077" s="6" t="s">
        <v>49</v>
      </c>
      <c r="AA1077" s="6" t="s">
        <v>127</v>
      </c>
      <c r="AB1077" s="6" t="s">
        <v>241</v>
      </c>
      <c r="AC1077" s="6" t="s">
        <v>361</v>
      </c>
      <c r="AD1077" s="6" t="s">
        <v>358</v>
      </c>
      <c r="AE1077" s="6" t="s">
        <v>358</v>
      </c>
      <c r="AF1077" s="6" t="s">
        <v>60</v>
      </c>
      <c r="AG1077" s="6" t="s">
        <v>53</v>
      </c>
      <c r="AH1077" s="6" t="s">
        <v>183</v>
      </c>
      <c r="AI1077" s="20" t="s">
        <v>55</v>
      </c>
      <c r="AJ1077" s="20">
        <v>34</v>
      </c>
      <c r="AK1077" s="20">
        <f t="shared" ref="AK1077:AK1081" si="92">AJ1077*2*4</f>
        <v>272</v>
      </c>
      <c r="AL1077" s="20">
        <f t="shared" si="89"/>
        <v>0.45468970380818052</v>
      </c>
      <c r="AM1077" s="19">
        <v>54.379199999999997</v>
      </c>
      <c r="AN1077" s="19">
        <v>28.36</v>
      </c>
      <c r="AO1077" s="20" t="s">
        <v>49</v>
      </c>
      <c r="AP1077" s="20">
        <v>0</v>
      </c>
      <c r="AQ1077" s="20" t="s">
        <v>49</v>
      </c>
      <c r="AR1077" s="6" t="s">
        <v>49</v>
      </c>
      <c r="AS1077" s="20">
        <v>12.895</v>
      </c>
      <c r="AT1077" s="20">
        <f t="shared" si="90"/>
        <v>0.43606950626971969</v>
      </c>
      <c r="AU1077" s="20">
        <v>0</v>
      </c>
      <c r="AV1077" s="4">
        <f t="shared" si="91"/>
        <v>0.52297905501831832</v>
      </c>
      <c r="AW1077" s="31" t="s">
        <v>366</v>
      </c>
    </row>
    <row r="1078" spans="1:49">
      <c r="A1078" s="6">
        <v>80</v>
      </c>
      <c r="B1078" s="6" t="s">
        <v>38</v>
      </c>
      <c r="C1078" s="6" t="s">
        <v>49</v>
      </c>
      <c r="D1078" s="6" t="s">
        <v>352</v>
      </c>
      <c r="E1078" s="6" t="s">
        <v>302</v>
      </c>
      <c r="F1078" s="6">
        <v>2002</v>
      </c>
      <c r="G1078" s="6" t="s">
        <v>110</v>
      </c>
      <c r="H1078" s="6" t="s">
        <v>353</v>
      </c>
      <c r="I1078" s="6" t="s">
        <v>354</v>
      </c>
      <c r="J1078" s="3" t="s">
        <v>355</v>
      </c>
      <c r="K1078" s="6" t="s">
        <v>114</v>
      </c>
      <c r="L1078" s="6" t="s">
        <v>46</v>
      </c>
      <c r="M1078" s="6" t="s">
        <v>115</v>
      </c>
      <c r="N1078" s="6" t="s">
        <v>116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251</v>
      </c>
      <c r="V1078" s="6" t="s">
        <v>365</v>
      </c>
      <c r="W1078" s="25">
        <v>35.233333000000002</v>
      </c>
      <c r="X1078" s="25">
        <v>25.45</v>
      </c>
      <c r="Y1078" s="6" t="s">
        <v>48</v>
      </c>
      <c r="Z1078" s="6" t="s">
        <v>49</v>
      </c>
      <c r="AA1078" s="6" t="s">
        <v>127</v>
      </c>
      <c r="AB1078" s="6" t="s">
        <v>241</v>
      </c>
      <c r="AC1078" s="6" t="s">
        <v>361</v>
      </c>
      <c r="AD1078" s="6" t="s">
        <v>359</v>
      </c>
      <c r="AE1078" s="6" t="s">
        <v>359</v>
      </c>
      <c r="AF1078" s="6" t="s">
        <v>60</v>
      </c>
      <c r="AG1078" s="6" t="s">
        <v>60</v>
      </c>
      <c r="AH1078" s="6" t="s">
        <v>183</v>
      </c>
      <c r="AI1078" s="20" t="s">
        <v>55</v>
      </c>
      <c r="AJ1078" s="20">
        <v>34</v>
      </c>
      <c r="AK1078" s="20">
        <f t="shared" si="92"/>
        <v>272</v>
      </c>
      <c r="AL1078" s="20">
        <f t="shared" si="89"/>
        <v>0.13870492090070727</v>
      </c>
      <c r="AM1078" s="19">
        <v>3.6404999999999998</v>
      </c>
      <c r="AN1078" s="19">
        <v>0.80025999999999997</v>
      </c>
      <c r="AO1078" s="20" t="s">
        <v>49</v>
      </c>
      <c r="AP1078" s="20">
        <v>0</v>
      </c>
      <c r="AQ1078" s="20" t="s">
        <v>49</v>
      </c>
      <c r="AR1078" s="6" t="s">
        <v>49</v>
      </c>
      <c r="AS1078" s="20">
        <v>0.111</v>
      </c>
      <c r="AT1078" s="20">
        <f t="shared" si="90"/>
        <v>0.83753103321280253</v>
      </c>
      <c r="AU1078" s="20">
        <v>0</v>
      </c>
      <c r="AV1078" s="4">
        <f t="shared" si="91"/>
        <v>5.2006904500203266</v>
      </c>
      <c r="AW1078" s="31" t="s">
        <v>366</v>
      </c>
    </row>
    <row r="1079" spans="1:49">
      <c r="A1079" s="6">
        <v>80</v>
      </c>
      <c r="B1079" s="6" t="s">
        <v>38</v>
      </c>
      <c r="C1079" s="6" t="s">
        <v>49</v>
      </c>
      <c r="D1079" s="6" t="s">
        <v>352</v>
      </c>
      <c r="E1079" s="6" t="s">
        <v>302</v>
      </c>
      <c r="F1079" s="6">
        <v>2002</v>
      </c>
      <c r="G1079" s="6" t="s">
        <v>110</v>
      </c>
      <c r="H1079" s="6" t="s">
        <v>353</v>
      </c>
      <c r="I1079" s="6" t="s">
        <v>354</v>
      </c>
      <c r="J1079" s="3" t="s">
        <v>355</v>
      </c>
      <c r="K1079" s="6" t="s">
        <v>114</v>
      </c>
      <c r="L1079" s="6" t="s">
        <v>46</v>
      </c>
      <c r="M1079" s="6" t="s">
        <v>115</v>
      </c>
      <c r="N1079" s="6" t="s">
        <v>116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251</v>
      </c>
      <c r="V1079" s="6" t="s">
        <v>365</v>
      </c>
      <c r="W1079" s="25">
        <v>35.233333000000002</v>
      </c>
      <c r="X1079" s="25">
        <v>25.45</v>
      </c>
      <c r="Y1079" s="6" t="s">
        <v>48</v>
      </c>
      <c r="Z1079" s="6" t="s">
        <v>49</v>
      </c>
      <c r="AA1079" s="6" t="s">
        <v>94</v>
      </c>
      <c r="AB1079" s="6" t="s">
        <v>349</v>
      </c>
      <c r="AC1079" s="6" t="s">
        <v>349</v>
      </c>
      <c r="AD1079" s="6" t="s">
        <v>347</v>
      </c>
      <c r="AE1079" s="6" t="s">
        <v>347</v>
      </c>
      <c r="AF1079" s="6" t="s">
        <v>60</v>
      </c>
      <c r="AG1079" s="6" t="s">
        <v>53</v>
      </c>
      <c r="AH1079" s="6" t="s">
        <v>183</v>
      </c>
      <c r="AI1079" s="20" t="s">
        <v>55</v>
      </c>
      <c r="AJ1079" s="20">
        <v>34</v>
      </c>
      <c r="AK1079" s="20">
        <f t="shared" si="92"/>
        <v>272</v>
      </c>
      <c r="AL1079" s="20">
        <f t="shared" si="89"/>
        <v>0.54015911449325482</v>
      </c>
      <c r="AM1079" s="19">
        <v>187.4059</v>
      </c>
      <c r="AN1079" s="19">
        <v>578.20000000000005</v>
      </c>
      <c r="AO1079" s="20" t="s">
        <v>49</v>
      </c>
      <c r="AP1079" s="20">
        <v>0</v>
      </c>
      <c r="AQ1079" s="20" t="s">
        <v>49</v>
      </c>
      <c r="AR1079" s="6" t="s">
        <v>49</v>
      </c>
      <c r="AS1079" s="20">
        <v>312.32</v>
      </c>
      <c r="AT1079" s="20">
        <f t="shared" si="90"/>
        <v>0.88926925410115709</v>
      </c>
      <c r="AU1079" s="20">
        <v>0</v>
      </c>
      <c r="AV1079" s="4">
        <f t="shared" si="91"/>
        <v>0.75704056506280659</v>
      </c>
      <c r="AW1079" s="31" t="s">
        <v>366</v>
      </c>
    </row>
    <row r="1080" spans="1:49">
      <c r="A1080" s="6">
        <v>80</v>
      </c>
      <c r="B1080" s="6" t="s">
        <v>38</v>
      </c>
      <c r="C1080" s="6" t="s">
        <v>49</v>
      </c>
      <c r="D1080" s="6" t="s">
        <v>352</v>
      </c>
      <c r="E1080" s="6" t="s">
        <v>302</v>
      </c>
      <c r="F1080" s="6">
        <v>2002</v>
      </c>
      <c r="G1080" s="6" t="s">
        <v>110</v>
      </c>
      <c r="H1080" s="6" t="s">
        <v>353</v>
      </c>
      <c r="I1080" s="6" t="s">
        <v>354</v>
      </c>
      <c r="J1080" s="3" t="s">
        <v>355</v>
      </c>
      <c r="K1080" s="6" t="s">
        <v>114</v>
      </c>
      <c r="L1080" s="6" t="s">
        <v>46</v>
      </c>
      <c r="M1080" s="6" t="s">
        <v>115</v>
      </c>
      <c r="N1080" s="6" t="s">
        <v>116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251</v>
      </c>
      <c r="V1080" s="6" t="s">
        <v>365</v>
      </c>
      <c r="W1080" s="25">
        <v>35.233333000000002</v>
      </c>
      <c r="X1080" s="25">
        <v>25.45</v>
      </c>
      <c r="Y1080" s="6" t="s">
        <v>48</v>
      </c>
      <c r="Z1080" s="6" t="s">
        <v>49</v>
      </c>
      <c r="AA1080" s="6" t="s">
        <v>50</v>
      </c>
      <c r="AB1080" s="6" t="s">
        <v>51</v>
      </c>
      <c r="AC1080" s="6" t="s">
        <v>350</v>
      </c>
      <c r="AD1080" s="6" t="s">
        <v>367</v>
      </c>
      <c r="AE1080" s="6" t="s">
        <v>367</v>
      </c>
      <c r="AF1080" s="6" t="s">
        <v>60</v>
      </c>
      <c r="AG1080" s="6" t="s">
        <v>53</v>
      </c>
      <c r="AH1080" s="6" t="s">
        <v>183</v>
      </c>
      <c r="AI1080" s="20" t="s">
        <v>55</v>
      </c>
      <c r="AJ1080" s="20">
        <v>34</v>
      </c>
      <c r="AK1080" s="20">
        <f t="shared" si="92"/>
        <v>272</v>
      </c>
      <c r="AL1080" s="20">
        <f t="shared" si="89"/>
        <v>0.36249828036868897</v>
      </c>
      <c r="AM1080" s="19">
        <v>3.3635999999999999</v>
      </c>
      <c r="AN1080" s="19">
        <v>1.4538</v>
      </c>
      <c r="AO1080" s="20" t="s">
        <v>49</v>
      </c>
      <c r="AP1080" s="20">
        <v>0</v>
      </c>
      <c r="AQ1080" s="20" t="s">
        <v>49</v>
      </c>
      <c r="AR1080" s="6" t="s">
        <v>49</v>
      </c>
      <c r="AS1080" s="20">
        <v>0.52700000000000002</v>
      </c>
      <c r="AT1080" s="20">
        <f t="shared" si="90"/>
        <v>4.6580262065963707</v>
      </c>
      <c r="AU1080" s="20">
        <v>0</v>
      </c>
      <c r="AV1080" s="4">
        <f t="shared" si="91"/>
        <v>8.1917622168377928</v>
      </c>
      <c r="AW1080" s="31" t="s">
        <v>366</v>
      </c>
    </row>
    <row r="1081" spans="1:49">
      <c r="A1081" s="6">
        <v>80</v>
      </c>
      <c r="B1081" s="6" t="s">
        <v>38</v>
      </c>
      <c r="C1081" s="6" t="s">
        <v>49</v>
      </c>
      <c r="D1081" s="6" t="s">
        <v>352</v>
      </c>
      <c r="E1081" s="6" t="s">
        <v>302</v>
      </c>
      <c r="F1081" s="6">
        <v>2002</v>
      </c>
      <c r="G1081" s="6" t="s">
        <v>110</v>
      </c>
      <c r="H1081" s="6" t="s">
        <v>353</v>
      </c>
      <c r="I1081" s="6" t="s">
        <v>354</v>
      </c>
      <c r="J1081" s="3" t="s">
        <v>355</v>
      </c>
      <c r="K1081" s="6" t="s">
        <v>114</v>
      </c>
      <c r="L1081" s="6" t="s">
        <v>46</v>
      </c>
      <c r="M1081" s="6" t="s">
        <v>115</v>
      </c>
      <c r="N1081" s="6" t="s">
        <v>116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251</v>
      </c>
      <c r="V1081" s="6" t="s">
        <v>365</v>
      </c>
      <c r="W1081" s="25">
        <v>35.233333000000002</v>
      </c>
      <c r="X1081" s="25">
        <v>25.45</v>
      </c>
      <c r="Y1081" s="6" t="s">
        <v>48</v>
      </c>
      <c r="Z1081" s="6" t="s">
        <v>49</v>
      </c>
      <c r="AA1081" s="6" t="s">
        <v>50</v>
      </c>
      <c r="AB1081" s="6" t="s">
        <v>66</v>
      </c>
      <c r="AC1081" s="6" t="s">
        <v>124</v>
      </c>
      <c r="AD1081" s="6" t="s">
        <v>213</v>
      </c>
      <c r="AE1081" s="6" t="s">
        <v>213</v>
      </c>
      <c r="AF1081" s="6" t="s">
        <v>60</v>
      </c>
      <c r="AG1081" s="6" t="s">
        <v>61</v>
      </c>
      <c r="AH1081" s="6" t="s">
        <v>183</v>
      </c>
      <c r="AI1081" s="20" t="s">
        <v>55</v>
      </c>
      <c r="AJ1081" s="20">
        <v>34</v>
      </c>
      <c r="AK1081" s="20">
        <f t="shared" si="92"/>
        <v>272</v>
      </c>
      <c r="AL1081" s="20">
        <f t="shared" si="89"/>
        <v>0.22245376400104194</v>
      </c>
      <c r="AM1081" s="19">
        <v>20.4739</v>
      </c>
      <c r="AN1081" s="19">
        <v>1.9195</v>
      </c>
      <c r="AO1081" s="20" t="s">
        <v>49</v>
      </c>
      <c r="AP1081" s="20">
        <v>0</v>
      </c>
      <c r="AQ1081" s="20" t="s">
        <v>49</v>
      </c>
      <c r="AR1081" s="6" t="s">
        <v>49</v>
      </c>
      <c r="AS1081" s="20">
        <v>0.42699999999999999</v>
      </c>
      <c r="AT1081" s="20">
        <f t="shared" si="90"/>
        <v>0.10186540577987381</v>
      </c>
      <c r="AU1081" s="20">
        <v>0</v>
      </c>
      <c r="AV1081" s="4">
        <f t="shared" si="91"/>
        <v>0.35605179889101091</v>
      </c>
      <c r="AW1081" s="31" t="s">
        <v>366</v>
      </c>
    </row>
    <row r="1082" spans="1:49">
      <c r="A1082" s="6">
        <v>80</v>
      </c>
      <c r="B1082" s="6" t="s">
        <v>38</v>
      </c>
      <c r="C1082" s="6" t="s">
        <v>49</v>
      </c>
      <c r="D1082" s="6" t="s">
        <v>352</v>
      </c>
      <c r="E1082" s="6" t="s">
        <v>302</v>
      </c>
      <c r="F1082" s="6">
        <v>2002</v>
      </c>
      <c r="G1082" s="6" t="s">
        <v>110</v>
      </c>
      <c r="H1082" s="6" t="s">
        <v>353</v>
      </c>
      <c r="I1082" s="6" t="s">
        <v>354</v>
      </c>
      <c r="J1082" s="3" t="s">
        <v>355</v>
      </c>
      <c r="K1082" s="6" t="s">
        <v>114</v>
      </c>
      <c r="L1082" s="6" t="s">
        <v>46</v>
      </c>
      <c r="M1082" s="6" t="s">
        <v>115</v>
      </c>
      <c r="N1082" s="6" t="s">
        <v>116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251</v>
      </c>
      <c r="V1082" s="6" t="s">
        <v>365</v>
      </c>
      <c r="W1082" s="25">
        <v>35.233333000000002</v>
      </c>
      <c r="X1082" s="25">
        <v>25.45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240</v>
      </c>
      <c r="AE1082" s="6" t="s">
        <v>357</v>
      </c>
      <c r="AF1082" s="6" t="s">
        <v>49</v>
      </c>
      <c r="AG1082" s="6" t="s">
        <v>49</v>
      </c>
      <c r="AH1082" s="6" t="s">
        <v>183</v>
      </c>
      <c r="AI1082" s="20" t="s">
        <v>55</v>
      </c>
      <c r="AJ1082" s="20" t="s">
        <v>49</v>
      </c>
      <c r="AK1082" s="20" t="s">
        <v>49</v>
      </c>
      <c r="AL1082" s="20" t="s">
        <v>49</v>
      </c>
      <c r="AM1082" s="20" t="s">
        <v>49</v>
      </c>
      <c r="AN1082" s="20" t="s">
        <v>49</v>
      </c>
      <c r="AO1082" s="20" t="s">
        <v>49</v>
      </c>
      <c r="AP1082" s="20">
        <v>0</v>
      </c>
      <c r="AQ1082" s="20" t="s">
        <v>49</v>
      </c>
      <c r="AR1082" s="6" t="s">
        <v>49</v>
      </c>
      <c r="AS1082" s="20">
        <v>1.3129999999999999</v>
      </c>
      <c r="AT1082" s="20" t="s">
        <v>49</v>
      </c>
      <c r="AU1082" s="20" t="s">
        <v>49</v>
      </c>
      <c r="AV1082" s="20" t="s">
        <v>49</v>
      </c>
      <c r="AW1082" s="31" t="s">
        <v>49</v>
      </c>
    </row>
    <row r="1083" spans="1:49">
      <c r="A1083" s="6">
        <v>80</v>
      </c>
      <c r="B1083" s="6" t="s">
        <v>38</v>
      </c>
      <c r="C1083" s="6" t="s">
        <v>49</v>
      </c>
      <c r="D1083" s="6" t="s">
        <v>352</v>
      </c>
      <c r="E1083" s="6" t="s">
        <v>302</v>
      </c>
      <c r="F1083" s="6">
        <v>2002</v>
      </c>
      <c r="G1083" s="6" t="s">
        <v>110</v>
      </c>
      <c r="H1083" s="6" t="s">
        <v>353</v>
      </c>
      <c r="I1083" s="6" t="s">
        <v>354</v>
      </c>
      <c r="J1083" s="3" t="s">
        <v>355</v>
      </c>
      <c r="K1083" s="6" t="s">
        <v>114</v>
      </c>
      <c r="L1083" s="6" t="s">
        <v>46</v>
      </c>
      <c r="M1083" s="6" t="s">
        <v>115</v>
      </c>
      <c r="N1083" s="6" t="s">
        <v>116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251</v>
      </c>
      <c r="V1083" s="6" t="s">
        <v>365</v>
      </c>
      <c r="W1083" s="25">
        <v>35.233333000000002</v>
      </c>
      <c r="X1083" s="25">
        <v>25.45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240</v>
      </c>
      <c r="AE1083" s="6" t="s">
        <v>358</v>
      </c>
      <c r="AF1083" s="6" t="s">
        <v>49</v>
      </c>
      <c r="AG1083" s="6" t="s">
        <v>49</v>
      </c>
      <c r="AH1083" s="6" t="s">
        <v>183</v>
      </c>
      <c r="AI1083" s="20" t="s">
        <v>55</v>
      </c>
      <c r="AJ1083" s="20" t="s">
        <v>49</v>
      </c>
      <c r="AK1083" s="20" t="s">
        <v>49</v>
      </c>
      <c r="AL1083" s="20" t="s">
        <v>49</v>
      </c>
      <c r="AM1083" s="20" t="s">
        <v>49</v>
      </c>
      <c r="AN1083" s="20" t="s">
        <v>49</v>
      </c>
      <c r="AO1083" s="20" t="s">
        <v>49</v>
      </c>
      <c r="AP1083" s="20">
        <v>0</v>
      </c>
      <c r="AQ1083" s="20" t="s">
        <v>49</v>
      </c>
      <c r="AR1083" s="6" t="s">
        <v>49</v>
      </c>
      <c r="AS1083" s="20">
        <v>-4.2279999999999998</v>
      </c>
      <c r="AT1083" s="20" t="s">
        <v>49</v>
      </c>
      <c r="AU1083" s="20" t="s">
        <v>49</v>
      </c>
      <c r="AV1083" s="20" t="s">
        <v>49</v>
      </c>
      <c r="AW1083" s="31" t="s">
        <v>49</v>
      </c>
    </row>
    <row r="1084" spans="1:49">
      <c r="A1084" s="6">
        <v>80</v>
      </c>
      <c r="B1084" s="6" t="s">
        <v>38</v>
      </c>
      <c r="C1084" s="6" t="s">
        <v>49</v>
      </c>
      <c r="D1084" s="6" t="s">
        <v>352</v>
      </c>
      <c r="E1084" s="6" t="s">
        <v>302</v>
      </c>
      <c r="F1084" s="6">
        <v>2002</v>
      </c>
      <c r="G1084" s="6" t="s">
        <v>110</v>
      </c>
      <c r="H1084" s="6" t="s">
        <v>353</v>
      </c>
      <c r="I1084" s="6" t="s">
        <v>354</v>
      </c>
      <c r="J1084" s="3" t="s">
        <v>355</v>
      </c>
      <c r="K1084" s="6" t="s">
        <v>114</v>
      </c>
      <c r="L1084" s="6" t="s">
        <v>46</v>
      </c>
      <c r="M1084" s="6" t="s">
        <v>115</v>
      </c>
      <c r="N1084" s="6" t="s">
        <v>116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251</v>
      </c>
      <c r="V1084" s="6" t="s">
        <v>365</v>
      </c>
      <c r="W1084" s="25">
        <v>35.233333000000002</v>
      </c>
      <c r="X1084" s="25">
        <v>25.45</v>
      </c>
      <c r="Y1084" s="6" t="s">
        <v>48</v>
      </c>
      <c r="Z1084" s="6" t="s">
        <v>49</v>
      </c>
      <c r="AA1084" s="6" t="s">
        <v>49</v>
      </c>
      <c r="AB1084" s="6" t="s">
        <v>49</v>
      </c>
      <c r="AC1084" s="6" t="s">
        <v>49</v>
      </c>
      <c r="AD1084" s="6" t="s">
        <v>240</v>
      </c>
      <c r="AE1084" s="6" t="s">
        <v>359</v>
      </c>
      <c r="AF1084" s="6" t="s">
        <v>49</v>
      </c>
      <c r="AG1084" s="6" t="s">
        <v>49</v>
      </c>
      <c r="AH1084" s="6" t="s">
        <v>183</v>
      </c>
      <c r="AI1084" s="20" t="s">
        <v>55</v>
      </c>
      <c r="AJ1084" s="20" t="s">
        <v>49</v>
      </c>
      <c r="AK1084" s="20" t="s">
        <v>49</v>
      </c>
      <c r="AL1084" s="20" t="s">
        <v>49</v>
      </c>
      <c r="AM1084" s="20" t="s">
        <v>49</v>
      </c>
      <c r="AN1084" s="20" t="s">
        <v>49</v>
      </c>
      <c r="AO1084" s="20" t="s">
        <v>49</v>
      </c>
      <c r="AP1084" s="20">
        <v>0</v>
      </c>
      <c r="AQ1084" s="20" t="s">
        <v>49</v>
      </c>
      <c r="AR1084" s="6" t="s">
        <v>49</v>
      </c>
      <c r="AS1084" s="20">
        <v>0.112</v>
      </c>
      <c r="AT1084" s="20" t="s">
        <v>49</v>
      </c>
      <c r="AU1084" s="20" t="s">
        <v>49</v>
      </c>
      <c r="AV1084" s="20" t="s">
        <v>49</v>
      </c>
      <c r="AW1084" s="31" t="s">
        <v>49</v>
      </c>
    </row>
    <row r="1085" spans="1:49">
      <c r="A1085" s="6">
        <v>80</v>
      </c>
      <c r="B1085" s="6" t="s">
        <v>38</v>
      </c>
      <c r="C1085" s="6" t="s">
        <v>49</v>
      </c>
      <c r="D1085" s="6" t="s">
        <v>352</v>
      </c>
      <c r="E1085" s="6" t="s">
        <v>302</v>
      </c>
      <c r="F1085" s="6">
        <v>2002</v>
      </c>
      <c r="G1085" s="6" t="s">
        <v>110</v>
      </c>
      <c r="H1085" s="6" t="s">
        <v>353</v>
      </c>
      <c r="I1085" s="6" t="s">
        <v>354</v>
      </c>
      <c r="J1085" s="3" t="s">
        <v>355</v>
      </c>
      <c r="K1085" s="6" t="s">
        <v>114</v>
      </c>
      <c r="L1085" s="6" t="s">
        <v>46</v>
      </c>
      <c r="M1085" s="6" t="s">
        <v>115</v>
      </c>
      <c r="N1085" s="6" t="s">
        <v>116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251</v>
      </c>
      <c r="V1085" s="6" t="s">
        <v>365</v>
      </c>
      <c r="W1085" s="25">
        <v>35.233333000000002</v>
      </c>
      <c r="X1085" s="25">
        <v>25.45</v>
      </c>
      <c r="Y1085" s="6" t="s">
        <v>48</v>
      </c>
      <c r="Z1085" s="6" t="s">
        <v>49</v>
      </c>
      <c r="AA1085" s="6" t="s">
        <v>49</v>
      </c>
      <c r="AB1085" s="6" t="s">
        <v>49</v>
      </c>
      <c r="AC1085" s="6" t="s">
        <v>49</v>
      </c>
      <c r="AD1085" s="6" t="s">
        <v>240</v>
      </c>
      <c r="AE1085" s="6" t="s">
        <v>347</v>
      </c>
      <c r="AF1085" s="6" t="s">
        <v>49</v>
      </c>
      <c r="AG1085" s="6" t="s">
        <v>49</v>
      </c>
      <c r="AH1085" s="6" t="s">
        <v>183</v>
      </c>
      <c r="AI1085" s="20" t="s">
        <v>55</v>
      </c>
      <c r="AJ1085" s="20" t="s">
        <v>49</v>
      </c>
      <c r="AK1085" s="20" t="s">
        <v>49</v>
      </c>
      <c r="AL1085" s="20" t="s">
        <v>49</v>
      </c>
      <c r="AM1085" s="20" t="s">
        <v>49</v>
      </c>
      <c r="AN1085" s="20" t="s">
        <v>49</v>
      </c>
      <c r="AO1085" s="20" t="s">
        <v>49</v>
      </c>
      <c r="AP1085" s="20">
        <v>0</v>
      </c>
      <c r="AQ1085" s="20" t="s">
        <v>49</v>
      </c>
      <c r="AR1085" s="6" t="s">
        <v>49</v>
      </c>
      <c r="AS1085" s="20">
        <v>-3.0470000000000002</v>
      </c>
      <c r="AT1085" s="20" t="s">
        <v>49</v>
      </c>
      <c r="AU1085" s="20" t="s">
        <v>49</v>
      </c>
      <c r="AV1085" s="20" t="s">
        <v>49</v>
      </c>
      <c r="AW1085" s="31" t="s">
        <v>49</v>
      </c>
    </row>
    <row r="1086" spans="1:49">
      <c r="A1086" s="6">
        <v>80</v>
      </c>
      <c r="B1086" s="6" t="s">
        <v>38</v>
      </c>
      <c r="C1086" s="6" t="s">
        <v>49</v>
      </c>
      <c r="D1086" s="6" t="s">
        <v>352</v>
      </c>
      <c r="E1086" s="6" t="s">
        <v>302</v>
      </c>
      <c r="F1086" s="6">
        <v>2002</v>
      </c>
      <c r="G1086" s="6" t="s">
        <v>110</v>
      </c>
      <c r="H1086" s="6" t="s">
        <v>353</v>
      </c>
      <c r="I1086" s="6" t="s">
        <v>354</v>
      </c>
      <c r="J1086" s="3" t="s">
        <v>355</v>
      </c>
      <c r="K1086" s="6" t="s">
        <v>114</v>
      </c>
      <c r="L1086" s="6" t="s">
        <v>46</v>
      </c>
      <c r="M1086" s="6" t="s">
        <v>115</v>
      </c>
      <c r="N1086" s="6" t="s">
        <v>116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251</v>
      </c>
      <c r="V1086" s="6" t="s">
        <v>365</v>
      </c>
      <c r="W1086" s="25">
        <v>35.233333000000002</v>
      </c>
      <c r="X1086" s="25">
        <v>25.45</v>
      </c>
      <c r="Y1086" s="6" t="s">
        <v>48</v>
      </c>
      <c r="Z1086" s="6" t="s">
        <v>49</v>
      </c>
      <c r="AA1086" s="6" t="s">
        <v>49</v>
      </c>
      <c r="AB1086" s="6" t="s">
        <v>49</v>
      </c>
      <c r="AC1086" s="6" t="s">
        <v>49</v>
      </c>
      <c r="AD1086" s="6" t="s">
        <v>240</v>
      </c>
      <c r="AE1086" s="6" t="s">
        <v>367</v>
      </c>
      <c r="AF1086" s="6" t="s">
        <v>49</v>
      </c>
      <c r="AG1086" s="6" t="s">
        <v>49</v>
      </c>
      <c r="AH1086" s="6" t="s">
        <v>183</v>
      </c>
      <c r="AI1086" s="20" t="s">
        <v>55</v>
      </c>
      <c r="AJ1086" s="20" t="s">
        <v>49</v>
      </c>
      <c r="AK1086" s="20" t="s">
        <v>49</v>
      </c>
      <c r="AL1086" s="20" t="s">
        <v>49</v>
      </c>
      <c r="AM1086" s="20" t="s">
        <v>49</v>
      </c>
      <c r="AN1086" s="20" t="s">
        <v>49</v>
      </c>
      <c r="AO1086" s="20" t="s">
        <v>49</v>
      </c>
      <c r="AP1086" s="20">
        <v>0</v>
      </c>
      <c r="AQ1086" s="20" t="s">
        <v>49</v>
      </c>
      <c r="AR1086" s="6" t="s">
        <v>49</v>
      </c>
      <c r="AS1086" s="20">
        <v>-0.59099999999999997</v>
      </c>
      <c r="AT1086" s="20" t="s">
        <v>49</v>
      </c>
      <c r="AU1086" s="20" t="s">
        <v>49</v>
      </c>
      <c r="AV1086" s="20" t="s">
        <v>49</v>
      </c>
      <c r="AW1086" s="31" t="s">
        <v>49</v>
      </c>
    </row>
    <row r="1087" spans="1:49">
      <c r="A1087" s="6">
        <v>80</v>
      </c>
      <c r="B1087" s="6" t="s">
        <v>38</v>
      </c>
      <c r="C1087" s="6" t="s">
        <v>49</v>
      </c>
      <c r="D1087" s="6" t="s">
        <v>352</v>
      </c>
      <c r="E1087" s="6" t="s">
        <v>302</v>
      </c>
      <c r="F1087" s="6">
        <v>2002</v>
      </c>
      <c r="G1087" s="6" t="s">
        <v>110</v>
      </c>
      <c r="H1087" s="6" t="s">
        <v>353</v>
      </c>
      <c r="I1087" s="6" t="s">
        <v>354</v>
      </c>
      <c r="J1087" s="3" t="s">
        <v>355</v>
      </c>
      <c r="K1087" s="6" t="s">
        <v>114</v>
      </c>
      <c r="L1087" s="6" t="s">
        <v>46</v>
      </c>
      <c r="M1087" s="6" t="s">
        <v>115</v>
      </c>
      <c r="N1087" s="6" t="s">
        <v>116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251</v>
      </c>
      <c r="V1087" s="6" t="s">
        <v>365</v>
      </c>
      <c r="W1087" s="25">
        <v>35.233333000000002</v>
      </c>
      <c r="X1087" s="25">
        <v>25.45</v>
      </c>
      <c r="Y1087" s="6" t="s">
        <v>48</v>
      </c>
      <c r="Z1087" s="6" t="s">
        <v>49</v>
      </c>
      <c r="AA1087" s="6" t="s">
        <v>49</v>
      </c>
      <c r="AB1087" s="6" t="s">
        <v>49</v>
      </c>
      <c r="AC1087" s="6" t="s">
        <v>49</v>
      </c>
      <c r="AD1087" s="6" t="s">
        <v>240</v>
      </c>
      <c r="AE1087" s="6" t="s">
        <v>213</v>
      </c>
      <c r="AF1087" s="6" t="s">
        <v>49</v>
      </c>
      <c r="AG1087" s="6" t="s">
        <v>49</v>
      </c>
      <c r="AH1087" s="6" t="s">
        <v>183</v>
      </c>
      <c r="AI1087" s="20" t="s">
        <v>55</v>
      </c>
      <c r="AJ1087" s="20" t="s">
        <v>49</v>
      </c>
      <c r="AK1087" s="20" t="s">
        <v>49</v>
      </c>
      <c r="AL1087" s="20" t="s">
        <v>49</v>
      </c>
      <c r="AM1087" s="20" t="s">
        <v>49</v>
      </c>
      <c r="AN1087" s="20" t="s">
        <v>49</v>
      </c>
      <c r="AO1087" s="20" t="s">
        <v>49</v>
      </c>
      <c r="AP1087" s="20">
        <v>0</v>
      </c>
      <c r="AQ1087" s="20" t="s">
        <v>49</v>
      </c>
      <c r="AR1087" s="6" t="s">
        <v>49</v>
      </c>
      <c r="AS1087" s="20">
        <v>0.19500000000000001</v>
      </c>
      <c r="AT1087" s="20" t="s">
        <v>49</v>
      </c>
      <c r="AU1087" s="20" t="s">
        <v>49</v>
      </c>
      <c r="AV1087" s="20" t="s">
        <v>49</v>
      </c>
      <c r="AW1087" s="31" t="s">
        <v>49</v>
      </c>
    </row>
    <row r="1088" spans="1:49">
      <c r="A1088" s="6">
        <v>80</v>
      </c>
      <c r="B1088" s="6" t="s">
        <v>38</v>
      </c>
      <c r="C1088" s="6" t="s">
        <v>49</v>
      </c>
      <c r="D1088" s="6" t="s">
        <v>352</v>
      </c>
      <c r="E1088" s="6" t="s">
        <v>302</v>
      </c>
      <c r="F1088" s="6">
        <v>2002</v>
      </c>
      <c r="G1088" s="6" t="s">
        <v>110</v>
      </c>
      <c r="H1088" s="6" t="s">
        <v>353</v>
      </c>
      <c r="I1088" s="6" t="s">
        <v>354</v>
      </c>
      <c r="J1088" s="3" t="s">
        <v>355</v>
      </c>
      <c r="K1088" s="6" t="s">
        <v>114</v>
      </c>
      <c r="L1088" s="6" t="s">
        <v>46</v>
      </c>
      <c r="M1088" s="6" t="s">
        <v>115</v>
      </c>
      <c r="N1088" s="6" t="s">
        <v>116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251</v>
      </c>
      <c r="V1088" s="6" t="s">
        <v>365</v>
      </c>
      <c r="W1088" s="25">
        <v>35.233333000000002</v>
      </c>
      <c r="X1088" s="25">
        <v>25.45</v>
      </c>
      <c r="Y1088" s="6" t="s">
        <v>48</v>
      </c>
      <c r="Z1088" s="6" t="s">
        <v>49</v>
      </c>
      <c r="AA1088" s="6" t="s">
        <v>49</v>
      </c>
      <c r="AB1088" s="6" t="s">
        <v>49</v>
      </c>
      <c r="AC1088" s="6" t="s">
        <v>49</v>
      </c>
      <c r="AD1088" s="6" t="s">
        <v>357</v>
      </c>
      <c r="AE1088" s="6" t="s">
        <v>358</v>
      </c>
      <c r="AF1088" s="6" t="s">
        <v>49</v>
      </c>
      <c r="AG1088" s="6" t="s">
        <v>49</v>
      </c>
      <c r="AH1088" s="6" t="s">
        <v>183</v>
      </c>
      <c r="AI1088" s="20" t="s">
        <v>55</v>
      </c>
      <c r="AJ1088" s="20" t="s">
        <v>49</v>
      </c>
      <c r="AK1088" s="20" t="s">
        <v>49</v>
      </c>
      <c r="AL1088" s="20" t="s">
        <v>49</v>
      </c>
      <c r="AM1088" s="20" t="s">
        <v>49</v>
      </c>
      <c r="AN1088" s="20" t="s">
        <v>49</v>
      </c>
      <c r="AO1088" s="20" t="s">
        <v>49</v>
      </c>
      <c r="AP1088" s="20">
        <v>0</v>
      </c>
      <c r="AQ1088" s="20" t="s">
        <v>49</v>
      </c>
      <c r="AR1088" s="6" t="s">
        <v>49</v>
      </c>
      <c r="AS1088" s="6">
        <v>-5.891</v>
      </c>
      <c r="AT1088" s="20" t="s">
        <v>49</v>
      </c>
      <c r="AU1088" s="20" t="s">
        <v>49</v>
      </c>
      <c r="AV1088" s="20" t="s">
        <v>49</v>
      </c>
      <c r="AW1088" s="31" t="s">
        <v>49</v>
      </c>
    </row>
    <row r="1089" spans="1:49">
      <c r="A1089" s="6">
        <v>80</v>
      </c>
      <c r="B1089" s="6" t="s">
        <v>38</v>
      </c>
      <c r="C1089" s="6" t="s">
        <v>49</v>
      </c>
      <c r="D1089" s="6" t="s">
        <v>352</v>
      </c>
      <c r="E1089" s="6" t="s">
        <v>302</v>
      </c>
      <c r="F1089" s="6">
        <v>2002</v>
      </c>
      <c r="G1089" s="6" t="s">
        <v>110</v>
      </c>
      <c r="H1089" s="6" t="s">
        <v>353</v>
      </c>
      <c r="I1089" s="6" t="s">
        <v>354</v>
      </c>
      <c r="J1089" s="3" t="s">
        <v>355</v>
      </c>
      <c r="K1089" s="6" t="s">
        <v>114</v>
      </c>
      <c r="L1089" s="6" t="s">
        <v>46</v>
      </c>
      <c r="M1089" s="6" t="s">
        <v>115</v>
      </c>
      <c r="N1089" s="6" t="s">
        <v>116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251</v>
      </c>
      <c r="V1089" s="6" t="s">
        <v>365</v>
      </c>
      <c r="W1089" s="25">
        <v>35.233333000000002</v>
      </c>
      <c r="X1089" s="25">
        <v>25.45</v>
      </c>
      <c r="Y1089" s="6" t="s">
        <v>48</v>
      </c>
      <c r="Z1089" s="6" t="s">
        <v>49</v>
      </c>
      <c r="AA1089" s="6" t="s">
        <v>49</v>
      </c>
      <c r="AB1089" s="6" t="s">
        <v>49</v>
      </c>
      <c r="AC1089" s="6" t="s">
        <v>49</v>
      </c>
      <c r="AD1089" s="6" t="s">
        <v>357</v>
      </c>
      <c r="AE1089" s="6" t="s">
        <v>359</v>
      </c>
      <c r="AF1089" s="6" t="s">
        <v>49</v>
      </c>
      <c r="AG1089" s="6" t="s">
        <v>49</v>
      </c>
      <c r="AH1089" s="6" t="s">
        <v>183</v>
      </c>
      <c r="AI1089" s="20" t="s">
        <v>55</v>
      </c>
      <c r="AJ1089" s="20" t="s">
        <v>49</v>
      </c>
      <c r="AK1089" s="20" t="s">
        <v>49</v>
      </c>
      <c r="AL1089" s="20" t="s">
        <v>49</v>
      </c>
      <c r="AM1089" s="20" t="s">
        <v>49</v>
      </c>
      <c r="AN1089" s="20" t="s">
        <v>49</v>
      </c>
      <c r="AO1089" s="20" t="s">
        <v>49</v>
      </c>
      <c r="AP1089" s="20">
        <v>0</v>
      </c>
      <c r="AQ1089" s="20" t="s">
        <v>49</v>
      </c>
      <c r="AR1089" s="6" t="s">
        <v>49</v>
      </c>
      <c r="AS1089" s="6">
        <v>0.65800000000000003</v>
      </c>
      <c r="AT1089" s="20" t="s">
        <v>49</v>
      </c>
      <c r="AU1089" s="20" t="s">
        <v>49</v>
      </c>
      <c r="AV1089" s="20" t="s">
        <v>49</v>
      </c>
      <c r="AW1089" s="31" t="s">
        <v>49</v>
      </c>
    </row>
    <row r="1090" spans="1:49">
      <c r="A1090" s="6">
        <v>80</v>
      </c>
      <c r="B1090" s="6" t="s">
        <v>38</v>
      </c>
      <c r="C1090" s="6" t="s">
        <v>49</v>
      </c>
      <c r="D1090" s="6" t="s">
        <v>352</v>
      </c>
      <c r="E1090" s="6" t="s">
        <v>302</v>
      </c>
      <c r="F1090" s="6">
        <v>2002</v>
      </c>
      <c r="G1090" s="6" t="s">
        <v>110</v>
      </c>
      <c r="H1090" s="6" t="s">
        <v>353</v>
      </c>
      <c r="I1090" s="6" t="s">
        <v>354</v>
      </c>
      <c r="J1090" s="3" t="s">
        <v>355</v>
      </c>
      <c r="K1090" s="6" t="s">
        <v>114</v>
      </c>
      <c r="L1090" s="6" t="s">
        <v>46</v>
      </c>
      <c r="M1090" s="6" t="s">
        <v>115</v>
      </c>
      <c r="N1090" s="6" t="s">
        <v>116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251</v>
      </c>
      <c r="V1090" s="6" t="s">
        <v>365</v>
      </c>
      <c r="W1090" s="25">
        <v>35.233333000000002</v>
      </c>
      <c r="X1090" s="25">
        <v>25.45</v>
      </c>
      <c r="Y1090" s="6" t="s">
        <v>48</v>
      </c>
      <c r="Z1090" s="6" t="s">
        <v>49</v>
      </c>
      <c r="AA1090" s="6" t="s">
        <v>49</v>
      </c>
      <c r="AB1090" s="6" t="s">
        <v>49</v>
      </c>
      <c r="AC1090" s="6" t="s">
        <v>49</v>
      </c>
      <c r="AD1090" s="6" t="s">
        <v>357</v>
      </c>
      <c r="AE1090" s="6" t="s">
        <v>347</v>
      </c>
      <c r="AF1090" s="6" t="s">
        <v>49</v>
      </c>
      <c r="AG1090" s="6" t="s">
        <v>49</v>
      </c>
      <c r="AH1090" s="6" t="s">
        <v>183</v>
      </c>
      <c r="AI1090" s="20" t="s">
        <v>55</v>
      </c>
      <c r="AJ1090" s="20" t="s">
        <v>49</v>
      </c>
      <c r="AK1090" s="20" t="s">
        <v>49</v>
      </c>
      <c r="AL1090" s="20" t="s">
        <v>49</v>
      </c>
      <c r="AM1090" s="20" t="s">
        <v>49</v>
      </c>
      <c r="AN1090" s="20" t="s">
        <v>49</v>
      </c>
      <c r="AO1090" s="20" t="s">
        <v>49</v>
      </c>
      <c r="AP1090" s="20">
        <v>0</v>
      </c>
      <c r="AQ1090" s="20" t="s">
        <v>49</v>
      </c>
      <c r="AR1090" s="6" t="s">
        <v>49</v>
      </c>
      <c r="AS1090" s="6">
        <v>-13.036</v>
      </c>
      <c r="AT1090" s="20" t="s">
        <v>49</v>
      </c>
      <c r="AU1090" s="20" t="s">
        <v>49</v>
      </c>
      <c r="AV1090" s="20" t="s">
        <v>49</v>
      </c>
      <c r="AW1090" s="31" t="s">
        <v>49</v>
      </c>
    </row>
    <row r="1091" spans="1:49">
      <c r="A1091" s="6">
        <v>80</v>
      </c>
      <c r="B1091" s="6" t="s">
        <v>38</v>
      </c>
      <c r="C1091" s="6" t="s">
        <v>49</v>
      </c>
      <c r="D1091" s="6" t="s">
        <v>352</v>
      </c>
      <c r="E1091" s="6" t="s">
        <v>302</v>
      </c>
      <c r="F1091" s="6">
        <v>2002</v>
      </c>
      <c r="G1091" s="6" t="s">
        <v>110</v>
      </c>
      <c r="H1091" s="6" t="s">
        <v>353</v>
      </c>
      <c r="I1091" s="6" t="s">
        <v>354</v>
      </c>
      <c r="J1091" s="3" t="s">
        <v>355</v>
      </c>
      <c r="K1091" s="6" t="s">
        <v>114</v>
      </c>
      <c r="L1091" s="6" t="s">
        <v>46</v>
      </c>
      <c r="M1091" s="6" t="s">
        <v>115</v>
      </c>
      <c r="N1091" s="6" t="s">
        <v>116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251</v>
      </c>
      <c r="V1091" s="6" t="s">
        <v>365</v>
      </c>
      <c r="W1091" s="25">
        <v>35.233333000000002</v>
      </c>
      <c r="X1091" s="25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357</v>
      </c>
      <c r="AE1091" s="6" t="s">
        <v>367</v>
      </c>
      <c r="AF1091" s="6" t="s">
        <v>49</v>
      </c>
      <c r="AG1091" s="6" t="s">
        <v>49</v>
      </c>
      <c r="AH1091" s="6" t="s">
        <v>183</v>
      </c>
      <c r="AI1091" s="20" t="s">
        <v>55</v>
      </c>
      <c r="AJ1091" s="20" t="s">
        <v>49</v>
      </c>
      <c r="AK1091" s="20" t="s">
        <v>49</v>
      </c>
      <c r="AL1091" s="20" t="s">
        <v>49</v>
      </c>
      <c r="AM1091" s="20" t="s">
        <v>49</v>
      </c>
      <c r="AN1091" s="20" t="s">
        <v>49</v>
      </c>
      <c r="AO1091" s="20" t="s">
        <v>49</v>
      </c>
      <c r="AP1091" s="20">
        <v>0</v>
      </c>
      <c r="AQ1091" s="20" t="s">
        <v>49</v>
      </c>
      <c r="AR1091" s="6" t="s">
        <v>49</v>
      </c>
      <c r="AS1091" s="6">
        <v>-0.22700000000000001</v>
      </c>
      <c r="AT1091" s="20" t="s">
        <v>49</v>
      </c>
      <c r="AU1091" s="20" t="s">
        <v>49</v>
      </c>
      <c r="AV1091" s="20" t="s">
        <v>49</v>
      </c>
      <c r="AW1091" s="31" t="s">
        <v>49</v>
      </c>
    </row>
    <row r="1092" spans="1:49">
      <c r="A1092" s="6">
        <v>80</v>
      </c>
      <c r="B1092" s="6" t="s">
        <v>38</v>
      </c>
      <c r="C1092" s="6" t="s">
        <v>49</v>
      </c>
      <c r="D1092" s="6" t="s">
        <v>352</v>
      </c>
      <c r="E1092" s="6" t="s">
        <v>302</v>
      </c>
      <c r="F1092" s="6">
        <v>2002</v>
      </c>
      <c r="G1092" s="6" t="s">
        <v>110</v>
      </c>
      <c r="H1092" s="6" t="s">
        <v>353</v>
      </c>
      <c r="I1092" s="6" t="s">
        <v>354</v>
      </c>
      <c r="J1092" s="3" t="s">
        <v>355</v>
      </c>
      <c r="K1092" s="6" t="s">
        <v>114</v>
      </c>
      <c r="L1092" s="6" t="s">
        <v>46</v>
      </c>
      <c r="M1092" s="6" t="s">
        <v>115</v>
      </c>
      <c r="N1092" s="6" t="s">
        <v>116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251</v>
      </c>
      <c r="V1092" s="6" t="s">
        <v>365</v>
      </c>
      <c r="W1092" s="25">
        <v>35.233333000000002</v>
      </c>
      <c r="X1092" s="25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357</v>
      </c>
      <c r="AE1092" s="6" t="s">
        <v>213</v>
      </c>
      <c r="AF1092" s="6" t="s">
        <v>49</v>
      </c>
      <c r="AG1092" s="6" t="s">
        <v>49</v>
      </c>
      <c r="AH1092" s="6" t="s">
        <v>183</v>
      </c>
      <c r="AI1092" s="20" t="s">
        <v>55</v>
      </c>
      <c r="AJ1092" s="20" t="s">
        <v>49</v>
      </c>
      <c r="AK1092" s="20" t="s">
        <v>49</v>
      </c>
      <c r="AL1092" s="20" t="s">
        <v>49</v>
      </c>
      <c r="AM1092" s="20" t="s">
        <v>49</v>
      </c>
      <c r="AN1092" s="20" t="s">
        <v>49</v>
      </c>
      <c r="AO1092" s="20" t="s">
        <v>49</v>
      </c>
      <c r="AP1092" s="20">
        <v>0</v>
      </c>
      <c r="AQ1092" s="20" t="s">
        <v>49</v>
      </c>
      <c r="AR1092" s="6" t="s">
        <v>49</v>
      </c>
      <c r="AS1092" s="6">
        <v>0.76200000000000001</v>
      </c>
      <c r="AT1092" s="20" t="s">
        <v>49</v>
      </c>
      <c r="AU1092" s="20" t="s">
        <v>49</v>
      </c>
      <c r="AV1092" s="20" t="s">
        <v>49</v>
      </c>
      <c r="AW1092" s="31" t="s">
        <v>49</v>
      </c>
    </row>
    <row r="1093" spans="1:49">
      <c r="A1093" s="6">
        <v>80</v>
      </c>
      <c r="B1093" s="6" t="s">
        <v>38</v>
      </c>
      <c r="C1093" s="6" t="s">
        <v>49</v>
      </c>
      <c r="D1093" s="6" t="s">
        <v>352</v>
      </c>
      <c r="E1093" s="6" t="s">
        <v>302</v>
      </c>
      <c r="F1093" s="6">
        <v>2002</v>
      </c>
      <c r="G1093" s="6" t="s">
        <v>110</v>
      </c>
      <c r="H1093" s="6" t="s">
        <v>353</v>
      </c>
      <c r="I1093" s="6" t="s">
        <v>354</v>
      </c>
      <c r="J1093" s="3" t="s">
        <v>355</v>
      </c>
      <c r="K1093" s="6" t="s">
        <v>114</v>
      </c>
      <c r="L1093" s="6" t="s">
        <v>46</v>
      </c>
      <c r="M1093" s="6" t="s">
        <v>115</v>
      </c>
      <c r="N1093" s="6" t="s">
        <v>116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251</v>
      </c>
      <c r="V1093" s="6" t="s">
        <v>365</v>
      </c>
      <c r="W1093" s="25">
        <v>35.233333000000002</v>
      </c>
      <c r="X1093" s="25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358</v>
      </c>
      <c r="AE1093" s="6" t="s">
        <v>359</v>
      </c>
      <c r="AF1093" s="6" t="s">
        <v>49</v>
      </c>
      <c r="AG1093" s="6" t="s">
        <v>49</v>
      </c>
      <c r="AH1093" s="6" t="s">
        <v>183</v>
      </c>
      <c r="AI1093" s="20" t="s">
        <v>55</v>
      </c>
      <c r="AJ1093" s="20" t="s">
        <v>49</v>
      </c>
      <c r="AK1093" s="20" t="s">
        <v>49</v>
      </c>
      <c r="AL1093" s="20" t="s">
        <v>49</v>
      </c>
      <c r="AM1093" s="20" t="s">
        <v>49</v>
      </c>
      <c r="AN1093" s="20" t="s">
        <v>49</v>
      </c>
      <c r="AO1093" s="20" t="s">
        <v>49</v>
      </c>
      <c r="AP1093" s="20">
        <v>0</v>
      </c>
      <c r="AQ1093" s="20" t="s">
        <v>49</v>
      </c>
      <c r="AR1093" s="6" t="s">
        <v>49</v>
      </c>
      <c r="AS1093" s="6">
        <v>-0.44500000000000001</v>
      </c>
      <c r="AT1093" s="20" t="s">
        <v>49</v>
      </c>
      <c r="AU1093" s="20" t="s">
        <v>49</v>
      </c>
      <c r="AV1093" s="20" t="s">
        <v>49</v>
      </c>
      <c r="AW1093" s="31" t="s">
        <v>49</v>
      </c>
    </row>
    <row r="1094" spans="1:49">
      <c r="A1094" s="6">
        <v>80</v>
      </c>
      <c r="B1094" s="6" t="s">
        <v>38</v>
      </c>
      <c r="C1094" s="6" t="s">
        <v>49</v>
      </c>
      <c r="D1094" s="6" t="s">
        <v>352</v>
      </c>
      <c r="E1094" s="6" t="s">
        <v>302</v>
      </c>
      <c r="F1094" s="6">
        <v>2002</v>
      </c>
      <c r="G1094" s="6" t="s">
        <v>110</v>
      </c>
      <c r="H1094" s="6" t="s">
        <v>353</v>
      </c>
      <c r="I1094" s="6" t="s">
        <v>354</v>
      </c>
      <c r="J1094" s="3" t="s">
        <v>355</v>
      </c>
      <c r="K1094" s="6" t="s">
        <v>114</v>
      </c>
      <c r="L1094" s="6" t="s">
        <v>46</v>
      </c>
      <c r="M1094" s="6" t="s">
        <v>115</v>
      </c>
      <c r="N1094" s="6" t="s">
        <v>116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251</v>
      </c>
      <c r="V1094" s="6" t="s">
        <v>365</v>
      </c>
      <c r="W1094" s="25">
        <v>35.233333000000002</v>
      </c>
      <c r="X1094" s="25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358</v>
      </c>
      <c r="AE1094" s="6" t="s">
        <v>347</v>
      </c>
      <c r="AF1094" s="6" t="s">
        <v>49</v>
      </c>
      <c r="AG1094" s="6" t="s">
        <v>49</v>
      </c>
      <c r="AH1094" s="6" t="s">
        <v>183</v>
      </c>
      <c r="AI1094" s="20" t="s">
        <v>55</v>
      </c>
      <c r="AJ1094" s="20" t="s">
        <v>49</v>
      </c>
      <c r="AK1094" s="20" t="s">
        <v>49</v>
      </c>
      <c r="AL1094" s="20" t="s">
        <v>49</v>
      </c>
      <c r="AM1094" s="20" t="s">
        <v>49</v>
      </c>
      <c r="AN1094" s="20" t="s">
        <v>49</v>
      </c>
      <c r="AO1094" s="20" t="s">
        <v>49</v>
      </c>
      <c r="AP1094" s="20">
        <v>0</v>
      </c>
      <c r="AQ1094" s="20" t="s">
        <v>49</v>
      </c>
      <c r="AR1094" s="6" t="s">
        <v>49</v>
      </c>
      <c r="AS1094" s="6">
        <v>-0.70699999999999996</v>
      </c>
      <c r="AT1094" s="20" t="s">
        <v>49</v>
      </c>
      <c r="AU1094" s="20" t="s">
        <v>49</v>
      </c>
      <c r="AV1094" s="20" t="s">
        <v>49</v>
      </c>
      <c r="AW1094" s="31" t="s">
        <v>49</v>
      </c>
    </row>
    <row r="1095" spans="1:49">
      <c r="A1095" s="6">
        <v>80</v>
      </c>
      <c r="B1095" s="6" t="s">
        <v>38</v>
      </c>
      <c r="C1095" s="6" t="s">
        <v>49</v>
      </c>
      <c r="D1095" s="6" t="s">
        <v>352</v>
      </c>
      <c r="E1095" s="6" t="s">
        <v>302</v>
      </c>
      <c r="F1095" s="6">
        <v>2002</v>
      </c>
      <c r="G1095" s="6" t="s">
        <v>110</v>
      </c>
      <c r="H1095" s="6" t="s">
        <v>353</v>
      </c>
      <c r="I1095" s="6" t="s">
        <v>354</v>
      </c>
      <c r="J1095" s="3" t="s">
        <v>355</v>
      </c>
      <c r="K1095" s="6" t="s">
        <v>114</v>
      </c>
      <c r="L1095" s="6" t="s">
        <v>46</v>
      </c>
      <c r="M1095" s="6" t="s">
        <v>115</v>
      </c>
      <c r="N1095" s="6" t="s">
        <v>116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251</v>
      </c>
      <c r="V1095" s="6" t="s">
        <v>365</v>
      </c>
      <c r="W1095" s="25">
        <v>35.233333000000002</v>
      </c>
      <c r="X1095" s="25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358</v>
      </c>
      <c r="AE1095" s="6" t="s">
        <v>367</v>
      </c>
      <c r="AF1095" s="6" t="s">
        <v>49</v>
      </c>
      <c r="AG1095" s="6" t="s">
        <v>49</v>
      </c>
      <c r="AH1095" s="6" t="s">
        <v>183</v>
      </c>
      <c r="AI1095" s="20" t="s">
        <v>55</v>
      </c>
      <c r="AJ1095" s="20" t="s">
        <v>49</v>
      </c>
      <c r="AK1095" s="20" t="s">
        <v>49</v>
      </c>
      <c r="AL1095" s="20" t="s">
        <v>49</v>
      </c>
      <c r="AM1095" s="20" t="s">
        <v>49</v>
      </c>
      <c r="AN1095" s="20" t="s">
        <v>49</v>
      </c>
      <c r="AO1095" s="20" t="s">
        <v>49</v>
      </c>
      <c r="AP1095" s="20">
        <v>0</v>
      </c>
      <c r="AQ1095" s="20" t="s">
        <v>49</v>
      </c>
      <c r="AR1095" s="6" t="s">
        <v>49</v>
      </c>
      <c r="AS1095" s="6">
        <v>1.012</v>
      </c>
      <c r="AT1095" s="20" t="s">
        <v>49</v>
      </c>
      <c r="AU1095" s="20" t="s">
        <v>49</v>
      </c>
      <c r="AV1095" s="20" t="s">
        <v>49</v>
      </c>
      <c r="AW1095" s="31" t="s">
        <v>49</v>
      </c>
    </row>
    <row r="1096" spans="1:49">
      <c r="A1096" s="6">
        <v>80</v>
      </c>
      <c r="B1096" s="6" t="s">
        <v>38</v>
      </c>
      <c r="C1096" s="6" t="s">
        <v>49</v>
      </c>
      <c r="D1096" s="6" t="s">
        <v>352</v>
      </c>
      <c r="E1096" s="6" t="s">
        <v>302</v>
      </c>
      <c r="F1096" s="6">
        <v>2002</v>
      </c>
      <c r="G1096" s="6" t="s">
        <v>110</v>
      </c>
      <c r="H1096" s="6" t="s">
        <v>353</v>
      </c>
      <c r="I1096" s="6" t="s">
        <v>354</v>
      </c>
      <c r="J1096" s="3" t="s">
        <v>355</v>
      </c>
      <c r="K1096" s="6" t="s">
        <v>114</v>
      </c>
      <c r="L1096" s="6" t="s">
        <v>46</v>
      </c>
      <c r="M1096" s="6" t="s">
        <v>115</v>
      </c>
      <c r="N1096" s="6" t="s">
        <v>116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251</v>
      </c>
      <c r="V1096" s="6" t="s">
        <v>365</v>
      </c>
      <c r="W1096" s="25">
        <v>35.233333000000002</v>
      </c>
      <c r="X1096" s="25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358</v>
      </c>
      <c r="AE1096" s="6" t="s">
        <v>213</v>
      </c>
      <c r="AF1096" s="6" t="s">
        <v>49</v>
      </c>
      <c r="AG1096" s="6" t="s">
        <v>49</v>
      </c>
      <c r="AH1096" s="6" t="s">
        <v>183</v>
      </c>
      <c r="AI1096" s="20" t="s">
        <v>55</v>
      </c>
      <c r="AJ1096" s="20" t="s">
        <v>49</v>
      </c>
      <c r="AK1096" s="20" t="s">
        <v>49</v>
      </c>
      <c r="AL1096" s="20" t="s">
        <v>49</v>
      </c>
      <c r="AM1096" s="20" t="s">
        <v>49</v>
      </c>
      <c r="AN1096" s="20" t="s">
        <v>49</v>
      </c>
      <c r="AO1096" s="20" t="s">
        <v>49</v>
      </c>
      <c r="AP1096" s="20">
        <v>0</v>
      </c>
      <c r="AQ1096" s="20" t="s">
        <v>49</v>
      </c>
      <c r="AR1096" s="6" t="s">
        <v>49</v>
      </c>
      <c r="AS1096" s="6">
        <v>-1.1910000000000001</v>
      </c>
      <c r="AT1096" s="20" t="s">
        <v>49</v>
      </c>
      <c r="AU1096" s="20" t="s">
        <v>49</v>
      </c>
      <c r="AV1096" s="20" t="s">
        <v>49</v>
      </c>
      <c r="AW1096" s="31" t="s">
        <v>49</v>
      </c>
    </row>
    <row r="1097" spans="1:49">
      <c r="A1097" s="6">
        <v>80</v>
      </c>
      <c r="B1097" s="6" t="s">
        <v>38</v>
      </c>
      <c r="C1097" s="6" t="s">
        <v>49</v>
      </c>
      <c r="D1097" s="6" t="s">
        <v>352</v>
      </c>
      <c r="E1097" s="6" t="s">
        <v>302</v>
      </c>
      <c r="F1097" s="6">
        <v>2002</v>
      </c>
      <c r="G1097" s="6" t="s">
        <v>110</v>
      </c>
      <c r="H1097" s="6" t="s">
        <v>353</v>
      </c>
      <c r="I1097" s="6" t="s">
        <v>354</v>
      </c>
      <c r="J1097" s="3" t="s">
        <v>355</v>
      </c>
      <c r="K1097" s="6" t="s">
        <v>114</v>
      </c>
      <c r="L1097" s="6" t="s">
        <v>46</v>
      </c>
      <c r="M1097" s="6" t="s">
        <v>115</v>
      </c>
      <c r="N1097" s="6" t="s">
        <v>116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251</v>
      </c>
      <c r="V1097" s="6" t="s">
        <v>365</v>
      </c>
      <c r="W1097" s="25">
        <v>35.233333000000002</v>
      </c>
      <c r="X1097" s="25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359</v>
      </c>
      <c r="AE1097" s="6" t="s">
        <v>347</v>
      </c>
      <c r="AF1097" s="6" t="s">
        <v>49</v>
      </c>
      <c r="AG1097" s="6" t="s">
        <v>49</v>
      </c>
      <c r="AH1097" s="6" t="s">
        <v>183</v>
      </c>
      <c r="AI1097" s="20" t="s">
        <v>55</v>
      </c>
      <c r="AJ1097" s="20" t="s">
        <v>49</v>
      </c>
      <c r="AK1097" s="20" t="s">
        <v>49</v>
      </c>
      <c r="AL1097" s="20" t="s">
        <v>49</v>
      </c>
      <c r="AM1097" s="20" t="s">
        <v>49</v>
      </c>
      <c r="AN1097" s="20" t="s">
        <v>49</v>
      </c>
      <c r="AO1097" s="20" t="s">
        <v>49</v>
      </c>
      <c r="AP1097" s="20">
        <v>0</v>
      </c>
      <c r="AQ1097" s="20" t="s">
        <v>49</v>
      </c>
      <c r="AR1097" s="6" t="s">
        <v>49</v>
      </c>
      <c r="AS1097" s="6">
        <v>-2.0110000000000001</v>
      </c>
      <c r="AT1097" s="20" t="s">
        <v>49</v>
      </c>
      <c r="AU1097" s="20" t="s">
        <v>49</v>
      </c>
      <c r="AV1097" s="20" t="s">
        <v>49</v>
      </c>
      <c r="AW1097" s="31" t="s">
        <v>49</v>
      </c>
    </row>
    <row r="1098" spans="1:49">
      <c r="A1098" s="6">
        <v>80</v>
      </c>
      <c r="B1098" s="6" t="s">
        <v>38</v>
      </c>
      <c r="C1098" s="6" t="s">
        <v>49</v>
      </c>
      <c r="D1098" s="6" t="s">
        <v>352</v>
      </c>
      <c r="E1098" s="6" t="s">
        <v>302</v>
      </c>
      <c r="F1098" s="6">
        <v>2002</v>
      </c>
      <c r="G1098" s="6" t="s">
        <v>110</v>
      </c>
      <c r="H1098" s="6" t="s">
        <v>353</v>
      </c>
      <c r="I1098" s="6" t="s">
        <v>354</v>
      </c>
      <c r="J1098" s="3" t="s">
        <v>355</v>
      </c>
      <c r="K1098" s="6" t="s">
        <v>114</v>
      </c>
      <c r="L1098" s="6" t="s">
        <v>46</v>
      </c>
      <c r="M1098" s="6" t="s">
        <v>115</v>
      </c>
      <c r="N1098" s="6" t="s">
        <v>116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251</v>
      </c>
      <c r="V1098" s="6" t="s">
        <v>365</v>
      </c>
      <c r="W1098" s="25">
        <v>35.233333000000002</v>
      </c>
      <c r="X1098" s="25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359</v>
      </c>
      <c r="AE1098" s="6" t="s">
        <v>367</v>
      </c>
      <c r="AF1098" s="6" t="s">
        <v>49</v>
      </c>
      <c r="AG1098" s="6" t="s">
        <v>49</v>
      </c>
      <c r="AH1098" s="6" t="s">
        <v>183</v>
      </c>
      <c r="AI1098" s="20" t="s">
        <v>55</v>
      </c>
      <c r="AJ1098" s="20" t="s">
        <v>49</v>
      </c>
      <c r="AK1098" s="20" t="s">
        <v>49</v>
      </c>
      <c r="AL1098" s="20" t="s">
        <v>49</v>
      </c>
      <c r="AM1098" s="20" t="s">
        <v>49</v>
      </c>
      <c r="AN1098" s="20" t="s">
        <v>49</v>
      </c>
      <c r="AO1098" s="20" t="s">
        <v>49</v>
      </c>
      <c r="AP1098" s="20">
        <v>0</v>
      </c>
      <c r="AQ1098" s="20" t="s">
        <v>49</v>
      </c>
      <c r="AR1098" s="6" t="s">
        <v>49</v>
      </c>
      <c r="AS1098" s="6">
        <v>-6.7000000000000004E-2</v>
      </c>
      <c r="AT1098" s="20" t="s">
        <v>49</v>
      </c>
      <c r="AU1098" s="20" t="s">
        <v>49</v>
      </c>
      <c r="AV1098" s="20" t="s">
        <v>49</v>
      </c>
      <c r="AW1098" s="31" t="s">
        <v>49</v>
      </c>
    </row>
    <row r="1099" spans="1:49">
      <c r="A1099" s="6">
        <v>80</v>
      </c>
      <c r="B1099" s="6" t="s">
        <v>38</v>
      </c>
      <c r="C1099" s="6" t="s">
        <v>49</v>
      </c>
      <c r="D1099" s="6" t="s">
        <v>352</v>
      </c>
      <c r="E1099" s="6" t="s">
        <v>302</v>
      </c>
      <c r="F1099" s="6">
        <v>2002</v>
      </c>
      <c r="G1099" s="6" t="s">
        <v>110</v>
      </c>
      <c r="H1099" s="6" t="s">
        <v>353</v>
      </c>
      <c r="I1099" s="6" t="s">
        <v>354</v>
      </c>
      <c r="J1099" s="3" t="s">
        <v>355</v>
      </c>
      <c r="K1099" s="6" t="s">
        <v>114</v>
      </c>
      <c r="L1099" s="6" t="s">
        <v>46</v>
      </c>
      <c r="M1099" s="6" t="s">
        <v>115</v>
      </c>
      <c r="N1099" s="6" t="s">
        <v>116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251</v>
      </c>
      <c r="V1099" s="6" t="s">
        <v>365</v>
      </c>
      <c r="W1099" s="25">
        <v>35.233333000000002</v>
      </c>
      <c r="X1099" s="25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359</v>
      </c>
      <c r="AE1099" s="6" t="s">
        <v>213</v>
      </c>
      <c r="AF1099" s="6" t="s">
        <v>49</v>
      </c>
      <c r="AG1099" s="6" t="s">
        <v>49</v>
      </c>
      <c r="AH1099" s="6" t="s">
        <v>183</v>
      </c>
      <c r="AI1099" s="20" t="s">
        <v>55</v>
      </c>
      <c r="AJ1099" s="20" t="s">
        <v>49</v>
      </c>
      <c r="AK1099" s="20" t="s">
        <v>49</v>
      </c>
      <c r="AL1099" s="20" t="s">
        <v>49</v>
      </c>
      <c r="AM1099" s="20" t="s">
        <v>49</v>
      </c>
      <c r="AN1099" s="20" t="s">
        <v>49</v>
      </c>
      <c r="AO1099" s="20" t="s">
        <v>49</v>
      </c>
      <c r="AP1099" s="20">
        <v>0</v>
      </c>
      <c r="AQ1099" s="20" t="s">
        <v>49</v>
      </c>
      <c r="AR1099" s="6" t="s">
        <v>49</v>
      </c>
      <c r="AS1099" s="6">
        <v>-1.7000000000000001E-2</v>
      </c>
      <c r="AT1099" s="20" t="s">
        <v>49</v>
      </c>
      <c r="AU1099" s="20" t="s">
        <v>49</v>
      </c>
      <c r="AV1099" s="20" t="s">
        <v>49</v>
      </c>
      <c r="AW1099" s="31" t="s">
        <v>49</v>
      </c>
    </row>
    <row r="1100" spans="1:49">
      <c r="A1100" s="6">
        <v>80</v>
      </c>
      <c r="B1100" s="6" t="s">
        <v>38</v>
      </c>
      <c r="C1100" s="6" t="s">
        <v>49</v>
      </c>
      <c r="D1100" s="6" t="s">
        <v>352</v>
      </c>
      <c r="E1100" s="6" t="s">
        <v>302</v>
      </c>
      <c r="F1100" s="6">
        <v>2002</v>
      </c>
      <c r="G1100" s="6" t="s">
        <v>110</v>
      </c>
      <c r="H1100" s="6" t="s">
        <v>353</v>
      </c>
      <c r="I1100" s="6" t="s">
        <v>354</v>
      </c>
      <c r="J1100" s="3" t="s">
        <v>355</v>
      </c>
      <c r="K1100" s="6" t="s">
        <v>114</v>
      </c>
      <c r="L1100" s="6" t="s">
        <v>46</v>
      </c>
      <c r="M1100" s="6" t="s">
        <v>115</v>
      </c>
      <c r="N1100" s="6" t="s">
        <v>116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251</v>
      </c>
      <c r="V1100" s="6" t="s">
        <v>365</v>
      </c>
      <c r="W1100" s="25">
        <v>35.233333000000002</v>
      </c>
      <c r="X1100" s="25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347</v>
      </c>
      <c r="AE1100" s="6" t="s">
        <v>367</v>
      </c>
      <c r="AF1100" s="6" t="s">
        <v>49</v>
      </c>
      <c r="AG1100" s="6" t="s">
        <v>49</v>
      </c>
      <c r="AH1100" s="6" t="s">
        <v>183</v>
      </c>
      <c r="AI1100" s="20" t="s">
        <v>55</v>
      </c>
      <c r="AJ1100" s="20" t="s">
        <v>49</v>
      </c>
      <c r="AK1100" s="20" t="s">
        <v>49</v>
      </c>
      <c r="AL1100" s="20" t="s">
        <v>49</v>
      </c>
      <c r="AM1100" s="20" t="s">
        <v>49</v>
      </c>
      <c r="AN1100" s="20" t="s">
        <v>49</v>
      </c>
      <c r="AO1100" s="20" t="s">
        <v>49</v>
      </c>
      <c r="AP1100" s="20">
        <v>0</v>
      </c>
      <c r="AQ1100" s="20" t="s">
        <v>49</v>
      </c>
      <c r="AR1100" s="6" t="s">
        <v>49</v>
      </c>
      <c r="AS1100" s="6">
        <v>-2.7229999999999999</v>
      </c>
      <c r="AT1100" s="20" t="s">
        <v>49</v>
      </c>
      <c r="AU1100" s="20" t="s">
        <v>49</v>
      </c>
      <c r="AV1100" s="20" t="s">
        <v>49</v>
      </c>
      <c r="AW1100" s="31" t="s">
        <v>49</v>
      </c>
    </row>
    <row r="1101" spans="1:49">
      <c r="A1101" s="6">
        <v>80</v>
      </c>
      <c r="B1101" s="6" t="s">
        <v>38</v>
      </c>
      <c r="C1101" s="6" t="s">
        <v>49</v>
      </c>
      <c r="D1101" s="6" t="s">
        <v>352</v>
      </c>
      <c r="E1101" s="6" t="s">
        <v>302</v>
      </c>
      <c r="F1101" s="6">
        <v>2002</v>
      </c>
      <c r="G1101" s="6" t="s">
        <v>110</v>
      </c>
      <c r="H1101" s="6" t="s">
        <v>353</v>
      </c>
      <c r="I1101" s="6" t="s">
        <v>354</v>
      </c>
      <c r="J1101" s="3" t="s">
        <v>355</v>
      </c>
      <c r="K1101" s="6" t="s">
        <v>114</v>
      </c>
      <c r="L1101" s="6" t="s">
        <v>46</v>
      </c>
      <c r="M1101" s="6" t="s">
        <v>115</v>
      </c>
      <c r="N1101" s="6" t="s">
        <v>116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251</v>
      </c>
      <c r="V1101" s="6" t="s">
        <v>365</v>
      </c>
      <c r="W1101" s="25">
        <v>35.233333000000002</v>
      </c>
      <c r="X1101" s="25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347</v>
      </c>
      <c r="AE1101" s="6" t="s">
        <v>213</v>
      </c>
      <c r="AF1101" s="6" t="s">
        <v>49</v>
      </c>
      <c r="AG1101" s="6" t="s">
        <v>49</v>
      </c>
      <c r="AH1101" s="6" t="s">
        <v>183</v>
      </c>
      <c r="AI1101" s="20" t="s">
        <v>55</v>
      </c>
      <c r="AJ1101" s="20" t="s">
        <v>49</v>
      </c>
      <c r="AK1101" s="20" t="s">
        <v>49</v>
      </c>
      <c r="AL1101" s="20" t="s">
        <v>49</v>
      </c>
      <c r="AM1101" s="20" t="s">
        <v>49</v>
      </c>
      <c r="AN1101" s="20" t="s">
        <v>49</v>
      </c>
      <c r="AO1101" s="20" t="s">
        <v>49</v>
      </c>
      <c r="AP1101" s="20">
        <v>0</v>
      </c>
      <c r="AQ1101" s="20" t="s">
        <v>49</v>
      </c>
      <c r="AR1101" s="6" t="s">
        <v>49</v>
      </c>
      <c r="AS1101" s="6">
        <v>3.6080000000000001</v>
      </c>
      <c r="AT1101" s="20" t="s">
        <v>49</v>
      </c>
      <c r="AU1101" s="20" t="s">
        <v>49</v>
      </c>
      <c r="AV1101" s="20" t="s">
        <v>49</v>
      </c>
      <c r="AW1101" s="31" t="s">
        <v>49</v>
      </c>
    </row>
    <row r="1102" spans="1:49">
      <c r="A1102" s="6">
        <v>80</v>
      </c>
      <c r="B1102" s="6" t="s">
        <v>38</v>
      </c>
      <c r="C1102" s="6" t="s">
        <v>49</v>
      </c>
      <c r="D1102" s="6" t="s">
        <v>352</v>
      </c>
      <c r="E1102" s="6" t="s">
        <v>302</v>
      </c>
      <c r="F1102" s="6">
        <v>2002</v>
      </c>
      <c r="G1102" s="6" t="s">
        <v>110</v>
      </c>
      <c r="H1102" s="6" t="s">
        <v>353</v>
      </c>
      <c r="I1102" s="6" t="s">
        <v>354</v>
      </c>
      <c r="J1102" s="3" t="s">
        <v>355</v>
      </c>
      <c r="K1102" s="6" t="s">
        <v>114</v>
      </c>
      <c r="L1102" s="6" t="s">
        <v>46</v>
      </c>
      <c r="M1102" s="6" t="s">
        <v>115</v>
      </c>
      <c r="N1102" s="6" t="s">
        <v>116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251</v>
      </c>
      <c r="V1102" s="6" t="s">
        <v>365</v>
      </c>
      <c r="W1102" s="25">
        <v>35.233333000000002</v>
      </c>
      <c r="X1102" s="25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367</v>
      </c>
      <c r="AE1102" s="6" t="s">
        <v>213</v>
      </c>
      <c r="AF1102" s="6" t="s">
        <v>49</v>
      </c>
      <c r="AG1102" s="6" t="s">
        <v>49</v>
      </c>
      <c r="AH1102" s="6" t="s">
        <v>183</v>
      </c>
      <c r="AI1102" s="20" t="s">
        <v>55</v>
      </c>
      <c r="AJ1102" s="20" t="s">
        <v>49</v>
      </c>
      <c r="AK1102" s="20" t="s">
        <v>49</v>
      </c>
      <c r="AL1102" s="20" t="s">
        <v>49</v>
      </c>
      <c r="AM1102" s="20" t="s">
        <v>49</v>
      </c>
      <c r="AN1102" s="20" t="s">
        <v>49</v>
      </c>
      <c r="AO1102" s="20" t="s">
        <v>49</v>
      </c>
      <c r="AP1102" s="20">
        <v>0</v>
      </c>
      <c r="AQ1102" s="20" t="s">
        <v>49</v>
      </c>
      <c r="AR1102" s="6" t="s">
        <v>49</v>
      </c>
      <c r="AS1102" s="6">
        <v>6.9000000000000006E-2</v>
      </c>
      <c r="AT1102" s="20" t="s">
        <v>49</v>
      </c>
      <c r="AU1102" s="20" t="s">
        <v>49</v>
      </c>
      <c r="AV1102" s="20" t="s">
        <v>49</v>
      </c>
      <c r="AW1102" s="31" t="s">
        <v>49</v>
      </c>
    </row>
    <row r="1103" spans="1:49" ht="14.4" customHeight="1">
      <c r="A1103" s="6" t="s">
        <v>368</v>
      </c>
      <c r="B1103" s="6" t="s">
        <v>38</v>
      </c>
      <c r="C1103" s="6" t="s">
        <v>49</v>
      </c>
      <c r="D1103" s="3" t="s">
        <v>377</v>
      </c>
      <c r="E1103" s="3" t="s">
        <v>378</v>
      </c>
      <c r="F1103" s="3">
        <v>1998</v>
      </c>
      <c r="G1103" s="3" t="s">
        <v>369</v>
      </c>
      <c r="H1103" s="3" t="s">
        <v>370</v>
      </c>
      <c r="I1103" s="3" t="s">
        <v>371</v>
      </c>
      <c r="J1103" s="3" t="s">
        <v>372</v>
      </c>
      <c r="K1103" s="3" t="s">
        <v>45</v>
      </c>
      <c r="L1103" s="3" t="s">
        <v>46</v>
      </c>
      <c r="M1103" s="1" t="s">
        <v>12</v>
      </c>
      <c r="N1103" s="1" t="s">
        <v>76</v>
      </c>
      <c r="O1103" s="1" t="s">
        <v>49</v>
      </c>
      <c r="P1103" s="1" t="s">
        <v>49</v>
      </c>
      <c r="Q1103" s="1" t="s">
        <v>49</v>
      </c>
      <c r="R1103" s="1">
        <v>0.5</v>
      </c>
      <c r="S1103" s="1" t="s">
        <v>373</v>
      </c>
      <c r="T1103" s="1" t="s">
        <v>374</v>
      </c>
      <c r="U1103" s="1" t="s">
        <v>251</v>
      </c>
      <c r="V1103" s="3" t="s">
        <v>375</v>
      </c>
      <c r="W1103" s="3">
        <v>33.74</v>
      </c>
      <c r="X1103" s="3">
        <v>-116.73</v>
      </c>
      <c r="Y1103" s="3" t="s">
        <v>376</v>
      </c>
      <c r="Z1103" s="6" t="s">
        <v>49</v>
      </c>
      <c r="AA1103" s="6" t="s">
        <v>50</v>
      </c>
      <c r="AB1103" s="6" t="s">
        <v>66</v>
      </c>
      <c r="AC1103" s="6" t="s">
        <v>67</v>
      </c>
      <c r="AD1103" s="6" t="s">
        <v>90</v>
      </c>
      <c r="AE1103" s="6" t="s">
        <v>90</v>
      </c>
      <c r="AF1103" s="6" t="s">
        <v>60</v>
      </c>
      <c r="AG1103" s="6" t="s">
        <v>61</v>
      </c>
      <c r="AH1103" s="6" t="s">
        <v>183</v>
      </c>
      <c r="AI1103" s="6" t="s">
        <v>55</v>
      </c>
      <c r="AJ1103" s="6">
        <v>55</v>
      </c>
      <c r="AK1103" s="6">
        <f>(137+179)/2</f>
        <v>158</v>
      </c>
      <c r="AL1103" s="6">
        <v>0.68</v>
      </c>
      <c r="AM1103" s="6">
        <v>25</v>
      </c>
      <c r="AN1103" s="6">
        <f>AS1103/AL1103</f>
        <v>1.7794117647058822</v>
      </c>
      <c r="AO1103" s="20" t="s">
        <v>49</v>
      </c>
      <c r="AP1103" s="20">
        <v>0</v>
      </c>
      <c r="AQ1103" s="20" t="s">
        <v>49</v>
      </c>
      <c r="AR1103" s="6" t="s">
        <v>49</v>
      </c>
      <c r="AS1103" s="6">
        <v>1.21</v>
      </c>
      <c r="AT1103" s="20">
        <f t="shared" ref="AT1103:AT1106" si="93">AS1103/(AM1103^2)*100</f>
        <v>0.19359999999999999</v>
      </c>
      <c r="AU1103" s="6">
        <v>0</v>
      </c>
      <c r="AV1103" s="4">
        <f t="shared" ref="AV1103:AV1106" si="94">AT1103*(1-AL1103)/AL1103</f>
        <v>9.1105882352941148E-2</v>
      </c>
      <c r="AW1103" s="31" t="s">
        <v>49</v>
      </c>
    </row>
    <row r="1104" spans="1:49">
      <c r="A1104" s="6" t="s">
        <v>368</v>
      </c>
      <c r="B1104" s="6" t="s">
        <v>38</v>
      </c>
      <c r="C1104" s="6" t="s">
        <v>49</v>
      </c>
      <c r="D1104" s="3" t="s">
        <v>377</v>
      </c>
      <c r="E1104" s="3" t="s">
        <v>378</v>
      </c>
      <c r="F1104" s="3">
        <v>1998</v>
      </c>
      <c r="G1104" s="3" t="s">
        <v>369</v>
      </c>
      <c r="H1104" s="3" t="s">
        <v>370</v>
      </c>
      <c r="I1104" s="3" t="s">
        <v>371</v>
      </c>
      <c r="J1104" s="3" t="s">
        <v>372</v>
      </c>
      <c r="K1104" s="3" t="s">
        <v>45</v>
      </c>
      <c r="L1104" s="3" t="s">
        <v>46</v>
      </c>
      <c r="M1104" s="1" t="s">
        <v>12</v>
      </c>
      <c r="N1104" s="1" t="s">
        <v>76</v>
      </c>
      <c r="O1104" s="1" t="s">
        <v>49</v>
      </c>
      <c r="P1104" s="1" t="s">
        <v>49</v>
      </c>
      <c r="Q1104" s="1" t="s">
        <v>49</v>
      </c>
      <c r="R1104" s="1">
        <v>0.5</v>
      </c>
      <c r="S1104" s="1" t="s">
        <v>373</v>
      </c>
      <c r="T1104" s="1" t="s">
        <v>374</v>
      </c>
      <c r="U1104" s="1" t="s">
        <v>251</v>
      </c>
      <c r="V1104" s="3" t="s">
        <v>375</v>
      </c>
      <c r="W1104" s="3">
        <v>33.74</v>
      </c>
      <c r="X1104" s="3">
        <v>-116.73</v>
      </c>
      <c r="Y1104" s="3" t="s">
        <v>376</v>
      </c>
      <c r="Z1104" s="6" t="s">
        <v>49</v>
      </c>
      <c r="AA1104" s="6" t="s">
        <v>50</v>
      </c>
      <c r="AB1104" s="6" t="s">
        <v>66</v>
      </c>
      <c r="AC1104" s="6" t="s">
        <v>67</v>
      </c>
      <c r="AD1104" s="6" t="s">
        <v>89</v>
      </c>
      <c r="AE1104" s="6" t="s">
        <v>89</v>
      </c>
      <c r="AF1104" s="6" t="s">
        <v>60</v>
      </c>
      <c r="AG1104" s="6" t="s">
        <v>61</v>
      </c>
      <c r="AH1104" s="6" t="s">
        <v>183</v>
      </c>
      <c r="AI1104" s="6" t="s">
        <v>55</v>
      </c>
      <c r="AJ1104" s="6">
        <v>55</v>
      </c>
      <c r="AK1104" s="6">
        <f>(137+179)/2</f>
        <v>158</v>
      </c>
      <c r="AL1104" s="6">
        <v>0.48</v>
      </c>
      <c r="AM1104" s="6">
        <v>4.9000000000000004</v>
      </c>
      <c r="AN1104" s="6">
        <f t="shared" ref="AN1104:AN1108" si="95">AS1104/AL1104</f>
        <v>0.22916666666666669</v>
      </c>
      <c r="AO1104" s="20" t="s">
        <v>49</v>
      </c>
      <c r="AP1104" s="20">
        <v>0</v>
      </c>
      <c r="AQ1104" s="20" t="s">
        <v>49</v>
      </c>
      <c r="AR1104" s="6" t="s">
        <v>49</v>
      </c>
      <c r="AS1104" s="6">
        <v>0.11</v>
      </c>
      <c r="AT1104" s="20">
        <f t="shared" si="93"/>
        <v>0.4581424406497292</v>
      </c>
      <c r="AU1104" s="6">
        <v>0</v>
      </c>
      <c r="AV1104" s="4">
        <f t="shared" si="94"/>
        <v>0.49632097737053998</v>
      </c>
      <c r="AW1104" s="31" t="s">
        <v>49</v>
      </c>
    </row>
    <row r="1105" spans="1:49">
      <c r="A1105" s="6" t="s">
        <v>368</v>
      </c>
      <c r="B1105" s="6" t="s">
        <v>38</v>
      </c>
      <c r="C1105" s="6" t="s">
        <v>49</v>
      </c>
      <c r="D1105" s="3" t="s">
        <v>377</v>
      </c>
      <c r="E1105" s="3" t="s">
        <v>378</v>
      </c>
      <c r="F1105" s="3">
        <v>1998</v>
      </c>
      <c r="G1105" s="3" t="s">
        <v>369</v>
      </c>
      <c r="H1105" s="3" t="s">
        <v>370</v>
      </c>
      <c r="I1105" s="3" t="s">
        <v>371</v>
      </c>
      <c r="J1105" s="3" t="s">
        <v>372</v>
      </c>
      <c r="K1105" s="3" t="s">
        <v>45</v>
      </c>
      <c r="L1105" s="3" t="s">
        <v>46</v>
      </c>
      <c r="M1105" s="1" t="s">
        <v>12</v>
      </c>
      <c r="N1105" s="1" t="s">
        <v>76</v>
      </c>
      <c r="O1105" s="1" t="s">
        <v>49</v>
      </c>
      <c r="P1105" s="1" t="s">
        <v>49</v>
      </c>
      <c r="Q1105" s="1" t="s">
        <v>49</v>
      </c>
      <c r="R1105" s="1">
        <v>0.5</v>
      </c>
      <c r="S1105" s="1" t="s">
        <v>373</v>
      </c>
      <c r="T1105" s="1" t="s">
        <v>374</v>
      </c>
      <c r="U1105" s="1" t="s">
        <v>251</v>
      </c>
      <c r="V1105" s="3" t="s">
        <v>375</v>
      </c>
      <c r="W1105" s="3">
        <v>33.74</v>
      </c>
      <c r="X1105" s="3">
        <v>-116.73</v>
      </c>
      <c r="Y1105" s="3" t="s">
        <v>376</v>
      </c>
      <c r="Z1105" s="6" t="s">
        <v>49</v>
      </c>
      <c r="AA1105" s="6" t="s">
        <v>50</v>
      </c>
      <c r="AB1105" s="6" t="s">
        <v>57</v>
      </c>
      <c r="AC1105" s="6" t="s">
        <v>58</v>
      </c>
      <c r="AD1105" s="6" t="s">
        <v>84</v>
      </c>
      <c r="AE1105" s="6" t="s">
        <v>84</v>
      </c>
      <c r="AF1105" s="6" t="s">
        <v>60</v>
      </c>
      <c r="AG1105" s="6" t="s">
        <v>61</v>
      </c>
      <c r="AH1105" s="6" t="s">
        <v>183</v>
      </c>
      <c r="AI1105" s="6" t="s">
        <v>55</v>
      </c>
      <c r="AJ1105" s="6">
        <v>55</v>
      </c>
      <c r="AK1105" s="6">
        <f t="shared" ref="AK1105:AK1108" si="96">(137+179)/2</f>
        <v>158</v>
      </c>
      <c r="AL1105" s="6">
        <v>0.26</v>
      </c>
      <c r="AM1105" s="6">
        <v>23.4</v>
      </c>
      <c r="AN1105" s="6">
        <f t="shared" si="95"/>
        <v>2.3076923076923075</v>
      </c>
      <c r="AO1105" s="20" t="s">
        <v>49</v>
      </c>
      <c r="AP1105" s="20">
        <v>0</v>
      </c>
      <c r="AQ1105" s="20" t="s">
        <v>49</v>
      </c>
      <c r="AR1105" s="6" t="s">
        <v>49</v>
      </c>
      <c r="AS1105" s="6">
        <v>0.6</v>
      </c>
      <c r="AT1105" s="20">
        <f t="shared" si="93"/>
        <v>0.10957703265395574</v>
      </c>
      <c r="AU1105" s="6">
        <v>0</v>
      </c>
      <c r="AV1105" s="4">
        <f t="shared" si="94"/>
        <v>0.31187309293818172</v>
      </c>
      <c r="AW1105" s="31" t="s">
        <v>49</v>
      </c>
    </row>
    <row r="1106" spans="1:49">
      <c r="A1106" s="6" t="s">
        <v>368</v>
      </c>
      <c r="B1106" s="6" t="s">
        <v>38</v>
      </c>
      <c r="C1106" s="6" t="s">
        <v>49</v>
      </c>
      <c r="D1106" s="3" t="s">
        <v>377</v>
      </c>
      <c r="E1106" s="3" t="s">
        <v>378</v>
      </c>
      <c r="F1106" s="3">
        <v>1998</v>
      </c>
      <c r="G1106" s="3" t="s">
        <v>369</v>
      </c>
      <c r="H1106" s="3" t="s">
        <v>370</v>
      </c>
      <c r="I1106" s="3" t="s">
        <v>371</v>
      </c>
      <c r="J1106" s="3" t="s">
        <v>372</v>
      </c>
      <c r="K1106" s="3" t="s">
        <v>45</v>
      </c>
      <c r="L1106" s="3" t="s">
        <v>46</v>
      </c>
      <c r="M1106" s="1" t="s">
        <v>12</v>
      </c>
      <c r="N1106" s="1" t="s">
        <v>76</v>
      </c>
      <c r="O1106" s="1" t="s">
        <v>49</v>
      </c>
      <c r="P1106" s="1" t="s">
        <v>49</v>
      </c>
      <c r="Q1106" s="1" t="s">
        <v>49</v>
      </c>
      <c r="R1106" s="1">
        <v>0.5</v>
      </c>
      <c r="S1106" s="1" t="s">
        <v>373</v>
      </c>
      <c r="T1106" s="1" t="s">
        <v>374</v>
      </c>
      <c r="U1106" s="1" t="s">
        <v>251</v>
      </c>
      <c r="V1106" s="3" t="s">
        <v>375</v>
      </c>
      <c r="W1106" s="3">
        <v>33.74</v>
      </c>
      <c r="X1106" s="3">
        <v>-116.73</v>
      </c>
      <c r="Y1106" s="3" t="s">
        <v>376</v>
      </c>
      <c r="Z1106" s="6" t="s">
        <v>49</v>
      </c>
      <c r="AA1106" s="6" t="s">
        <v>50</v>
      </c>
      <c r="AB1106" s="6" t="s">
        <v>185</v>
      </c>
      <c r="AC1106" s="6" t="s">
        <v>186</v>
      </c>
      <c r="AD1106" s="6" t="s">
        <v>379</v>
      </c>
      <c r="AE1106" s="6" t="s">
        <v>379</v>
      </c>
      <c r="AF1106" s="6" t="s">
        <v>60</v>
      </c>
      <c r="AG1106" s="6" t="s">
        <v>60</v>
      </c>
      <c r="AH1106" s="6" t="s">
        <v>183</v>
      </c>
      <c r="AI1106" s="6" t="s">
        <v>55</v>
      </c>
      <c r="AJ1106" s="6">
        <v>55</v>
      </c>
      <c r="AK1106" s="6">
        <f t="shared" si="96"/>
        <v>158</v>
      </c>
      <c r="AL1106" s="6">
        <v>0.38</v>
      </c>
      <c r="AM1106" s="6">
        <v>19.2</v>
      </c>
      <c r="AN1106" s="6">
        <f t="shared" si="95"/>
        <v>42.10526315789474</v>
      </c>
      <c r="AO1106" s="20" t="s">
        <v>49</v>
      </c>
      <c r="AP1106" s="20">
        <v>0</v>
      </c>
      <c r="AQ1106" s="20" t="s">
        <v>49</v>
      </c>
      <c r="AR1106" s="6" t="s">
        <v>49</v>
      </c>
      <c r="AS1106" s="6">
        <v>16</v>
      </c>
      <c r="AT1106" s="20">
        <f t="shared" si="93"/>
        <v>4.3402777777777777</v>
      </c>
      <c r="AU1106" s="6">
        <v>0</v>
      </c>
      <c r="AV1106" s="4">
        <f t="shared" si="94"/>
        <v>7.0815058479532169</v>
      </c>
      <c r="AW1106" s="31" t="s">
        <v>49</v>
      </c>
    </row>
    <row r="1107" spans="1:49">
      <c r="A1107" s="6" t="s">
        <v>368</v>
      </c>
      <c r="B1107" s="6" t="s">
        <v>38</v>
      </c>
      <c r="C1107" s="6" t="s">
        <v>49</v>
      </c>
      <c r="D1107" s="3" t="s">
        <v>377</v>
      </c>
      <c r="E1107" s="3" t="s">
        <v>378</v>
      </c>
      <c r="F1107" s="3">
        <v>1998</v>
      </c>
      <c r="G1107" s="3" t="s">
        <v>369</v>
      </c>
      <c r="H1107" s="3" t="s">
        <v>370</v>
      </c>
      <c r="I1107" s="3" t="s">
        <v>371</v>
      </c>
      <c r="J1107" s="3" t="s">
        <v>372</v>
      </c>
      <c r="K1107" s="3" t="s">
        <v>45</v>
      </c>
      <c r="L1107" s="3" t="s">
        <v>46</v>
      </c>
      <c r="M1107" s="1" t="s">
        <v>12</v>
      </c>
      <c r="N1107" s="1" t="s">
        <v>76</v>
      </c>
      <c r="O1107" s="1" t="s">
        <v>49</v>
      </c>
      <c r="P1107" s="1" t="s">
        <v>49</v>
      </c>
      <c r="Q1107" s="1" t="s">
        <v>49</v>
      </c>
      <c r="R1107" s="1">
        <v>0.5</v>
      </c>
      <c r="S1107" s="1" t="s">
        <v>373</v>
      </c>
      <c r="T1107" s="1" t="s">
        <v>374</v>
      </c>
      <c r="U1107" s="1" t="s">
        <v>251</v>
      </c>
      <c r="V1107" s="3" t="s">
        <v>375</v>
      </c>
      <c r="W1107" s="3">
        <v>33.74</v>
      </c>
      <c r="X1107" s="3">
        <v>-116.73</v>
      </c>
      <c r="Y1107" s="3" t="s">
        <v>376</v>
      </c>
      <c r="Z1107" s="6" t="s">
        <v>49</v>
      </c>
      <c r="AA1107" s="6" t="s">
        <v>127</v>
      </c>
      <c r="AB1107" s="6" t="s">
        <v>241</v>
      </c>
      <c r="AC1107" s="6" t="s">
        <v>380</v>
      </c>
      <c r="AD1107" s="6" t="s">
        <v>380</v>
      </c>
      <c r="AE1107" s="6" t="s">
        <v>380</v>
      </c>
      <c r="AF1107" s="6" t="s">
        <v>60</v>
      </c>
      <c r="AG1107" s="6" t="s">
        <v>61</v>
      </c>
      <c r="AH1107" s="6" t="s">
        <v>183</v>
      </c>
      <c r="AI1107" s="6" t="s">
        <v>55</v>
      </c>
      <c r="AJ1107" s="6">
        <v>55</v>
      </c>
      <c r="AK1107" s="6">
        <f t="shared" si="96"/>
        <v>158</v>
      </c>
      <c r="AL1107" s="6">
        <v>0.4</v>
      </c>
      <c r="AM1107" s="6">
        <v>4</v>
      </c>
      <c r="AN1107" s="6">
        <f t="shared" si="95"/>
        <v>0.15</v>
      </c>
      <c r="AO1107" s="20" t="s">
        <v>49</v>
      </c>
      <c r="AP1107" s="20">
        <v>0</v>
      </c>
      <c r="AQ1107" s="20" t="s">
        <v>49</v>
      </c>
      <c r="AR1107" s="6" t="s">
        <v>49</v>
      </c>
      <c r="AS1107" s="6">
        <v>0.06</v>
      </c>
      <c r="AT1107" s="20">
        <f>100*AS1107</f>
        <v>6</v>
      </c>
      <c r="AU1107" s="6">
        <v>1</v>
      </c>
      <c r="AV1107" s="6">
        <f>100*(AN1107-AS1107)</f>
        <v>9</v>
      </c>
      <c r="AW1107" s="31" t="s">
        <v>49</v>
      </c>
    </row>
    <row r="1108" spans="1:49">
      <c r="A1108" s="6" t="s">
        <v>368</v>
      </c>
      <c r="B1108" s="6" t="s">
        <v>38</v>
      </c>
      <c r="C1108" s="6" t="s">
        <v>49</v>
      </c>
      <c r="D1108" s="3" t="s">
        <v>377</v>
      </c>
      <c r="E1108" s="3" t="s">
        <v>378</v>
      </c>
      <c r="F1108" s="3">
        <v>1998</v>
      </c>
      <c r="G1108" s="3" t="s">
        <v>369</v>
      </c>
      <c r="H1108" s="3" t="s">
        <v>370</v>
      </c>
      <c r="I1108" s="3" t="s">
        <v>371</v>
      </c>
      <c r="J1108" s="3" t="s">
        <v>372</v>
      </c>
      <c r="K1108" s="3" t="s">
        <v>45</v>
      </c>
      <c r="L1108" s="3" t="s">
        <v>46</v>
      </c>
      <c r="M1108" s="1" t="s">
        <v>12</v>
      </c>
      <c r="N1108" s="1" t="s">
        <v>76</v>
      </c>
      <c r="O1108" s="1" t="s">
        <v>49</v>
      </c>
      <c r="P1108" s="1" t="s">
        <v>49</v>
      </c>
      <c r="Q1108" s="1" t="s">
        <v>49</v>
      </c>
      <c r="R1108" s="1">
        <v>0.5</v>
      </c>
      <c r="S1108" s="1" t="s">
        <v>373</v>
      </c>
      <c r="T1108" s="1" t="s">
        <v>374</v>
      </c>
      <c r="U1108" s="1" t="s">
        <v>251</v>
      </c>
      <c r="V1108" s="3" t="s">
        <v>375</v>
      </c>
      <c r="W1108" s="3">
        <v>33.74</v>
      </c>
      <c r="X1108" s="3">
        <v>-116.73</v>
      </c>
      <c r="Y1108" s="3" t="s">
        <v>376</v>
      </c>
      <c r="Z1108" s="6" t="s">
        <v>49</v>
      </c>
      <c r="AA1108" s="6" t="s">
        <v>50</v>
      </c>
      <c r="AB1108" s="6" t="s">
        <v>51</v>
      </c>
      <c r="AC1108" s="6" t="s">
        <v>52</v>
      </c>
      <c r="AD1108" s="6" t="s">
        <v>381</v>
      </c>
      <c r="AE1108" s="6" t="s">
        <v>381</v>
      </c>
      <c r="AF1108" s="6" t="s">
        <v>53</v>
      </c>
      <c r="AG1108" s="6" t="s">
        <v>53</v>
      </c>
      <c r="AH1108" s="6" t="s">
        <v>183</v>
      </c>
      <c r="AI1108" s="6" t="s">
        <v>55</v>
      </c>
      <c r="AJ1108" s="6">
        <v>55</v>
      </c>
      <c r="AK1108" s="6">
        <f t="shared" si="96"/>
        <v>158</v>
      </c>
      <c r="AL1108" s="6">
        <v>0.3</v>
      </c>
      <c r="AM1108" s="6">
        <v>3.6</v>
      </c>
      <c r="AN1108" s="6">
        <f t="shared" si="95"/>
        <v>1</v>
      </c>
      <c r="AO1108" s="20" t="s">
        <v>49</v>
      </c>
      <c r="AP1108" s="20">
        <v>0</v>
      </c>
      <c r="AQ1108" s="20" t="s">
        <v>49</v>
      </c>
      <c r="AR1108" s="6" t="s">
        <v>49</v>
      </c>
      <c r="AS1108" s="6">
        <v>0.3</v>
      </c>
      <c r="AT1108" s="20">
        <f>100*AS1108</f>
        <v>30</v>
      </c>
      <c r="AU1108" s="6">
        <v>1</v>
      </c>
      <c r="AV1108" s="6">
        <f>100*(AN1108-AS1108)</f>
        <v>70</v>
      </c>
      <c r="AW1108" s="31" t="s">
        <v>49</v>
      </c>
    </row>
    <row r="1109" spans="1:49">
      <c r="A1109" s="6" t="s">
        <v>368</v>
      </c>
      <c r="B1109" s="6" t="s">
        <v>38</v>
      </c>
      <c r="C1109" s="6" t="s">
        <v>49</v>
      </c>
      <c r="D1109" s="3" t="s">
        <v>377</v>
      </c>
      <c r="E1109" s="3" t="s">
        <v>378</v>
      </c>
      <c r="F1109" s="3">
        <v>1998</v>
      </c>
      <c r="G1109" s="3" t="s">
        <v>369</v>
      </c>
      <c r="H1109" s="3" t="s">
        <v>370</v>
      </c>
      <c r="I1109" s="3" t="s">
        <v>371</v>
      </c>
      <c r="J1109" s="3" t="s">
        <v>372</v>
      </c>
      <c r="K1109" s="3" t="s">
        <v>45</v>
      </c>
      <c r="L1109" s="3" t="s">
        <v>46</v>
      </c>
      <c r="M1109" s="1" t="s">
        <v>12</v>
      </c>
      <c r="N1109" s="1" t="s">
        <v>76</v>
      </c>
      <c r="O1109" s="1" t="s">
        <v>49</v>
      </c>
      <c r="P1109" s="1" t="s">
        <v>49</v>
      </c>
      <c r="Q1109" s="1" t="s">
        <v>49</v>
      </c>
      <c r="R1109" s="1">
        <v>0.5</v>
      </c>
      <c r="S1109" s="1" t="s">
        <v>373</v>
      </c>
      <c r="T1109" s="1" t="s">
        <v>374</v>
      </c>
      <c r="U1109" s="1" t="s">
        <v>251</v>
      </c>
      <c r="V1109" s="3" t="s">
        <v>375</v>
      </c>
      <c r="W1109" s="3">
        <v>33.74</v>
      </c>
      <c r="X1109" s="3">
        <v>-116.73</v>
      </c>
      <c r="Y1109" s="3" t="s">
        <v>376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90</v>
      </c>
      <c r="AE1109" s="6" t="s">
        <v>89</v>
      </c>
      <c r="AF1109" s="6" t="s">
        <v>49</v>
      </c>
      <c r="AG1109" s="6" t="s">
        <v>49</v>
      </c>
      <c r="AH1109" s="6" t="s">
        <v>183</v>
      </c>
      <c r="AI1109" s="20" t="s">
        <v>55</v>
      </c>
      <c r="AJ1109" s="20" t="s">
        <v>49</v>
      </c>
      <c r="AK1109" s="20" t="s">
        <v>49</v>
      </c>
      <c r="AL1109" s="20" t="s">
        <v>49</v>
      </c>
      <c r="AM1109" s="20" t="s">
        <v>49</v>
      </c>
      <c r="AN1109" s="20" t="s">
        <v>49</v>
      </c>
      <c r="AO1109" s="20" t="s">
        <v>49</v>
      </c>
      <c r="AP1109" s="20">
        <v>0</v>
      </c>
      <c r="AQ1109" s="20" t="s">
        <v>49</v>
      </c>
      <c r="AR1109" s="6" t="s">
        <v>49</v>
      </c>
      <c r="AS1109" s="6">
        <v>-0.1</v>
      </c>
      <c r="AT1109" s="20" t="s">
        <v>49</v>
      </c>
      <c r="AU1109" s="20" t="s">
        <v>49</v>
      </c>
      <c r="AV1109" s="20" t="s">
        <v>49</v>
      </c>
      <c r="AW1109" s="31" t="s">
        <v>49</v>
      </c>
    </row>
    <row r="1110" spans="1:49">
      <c r="A1110" s="6" t="s">
        <v>368</v>
      </c>
      <c r="B1110" s="6" t="s">
        <v>38</v>
      </c>
      <c r="C1110" s="6" t="s">
        <v>49</v>
      </c>
      <c r="D1110" s="3" t="s">
        <v>377</v>
      </c>
      <c r="E1110" s="3" t="s">
        <v>378</v>
      </c>
      <c r="F1110" s="3">
        <v>1998</v>
      </c>
      <c r="G1110" s="3" t="s">
        <v>369</v>
      </c>
      <c r="H1110" s="3" t="s">
        <v>370</v>
      </c>
      <c r="I1110" s="3" t="s">
        <v>371</v>
      </c>
      <c r="J1110" s="3" t="s">
        <v>372</v>
      </c>
      <c r="K1110" s="3" t="s">
        <v>45</v>
      </c>
      <c r="L1110" s="3" t="s">
        <v>46</v>
      </c>
      <c r="M1110" s="1" t="s">
        <v>12</v>
      </c>
      <c r="N1110" s="1" t="s">
        <v>76</v>
      </c>
      <c r="O1110" s="1" t="s">
        <v>49</v>
      </c>
      <c r="P1110" s="1" t="s">
        <v>49</v>
      </c>
      <c r="Q1110" s="1" t="s">
        <v>49</v>
      </c>
      <c r="R1110" s="1">
        <v>0.5</v>
      </c>
      <c r="S1110" s="1" t="s">
        <v>373</v>
      </c>
      <c r="T1110" s="1" t="s">
        <v>374</v>
      </c>
      <c r="U1110" s="1" t="s">
        <v>251</v>
      </c>
      <c r="V1110" s="3" t="s">
        <v>375</v>
      </c>
      <c r="W1110" s="3">
        <v>33.74</v>
      </c>
      <c r="X1110" s="3">
        <v>-116.73</v>
      </c>
      <c r="Y1110" s="3" t="s">
        <v>376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90</v>
      </c>
      <c r="AE1110" s="6" t="s">
        <v>84</v>
      </c>
      <c r="AF1110" s="6" t="s">
        <v>49</v>
      </c>
      <c r="AG1110" s="6" t="s">
        <v>49</v>
      </c>
      <c r="AH1110" s="6" t="s">
        <v>183</v>
      </c>
      <c r="AI1110" s="20" t="s">
        <v>55</v>
      </c>
      <c r="AJ1110" s="20" t="s">
        <v>49</v>
      </c>
      <c r="AK1110" s="20" t="s">
        <v>49</v>
      </c>
      <c r="AL1110" s="20" t="s">
        <v>49</v>
      </c>
      <c r="AM1110" s="20" t="s">
        <v>49</v>
      </c>
      <c r="AN1110" s="20" t="s">
        <v>49</v>
      </c>
      <c r="AO1110" s="20" t="s">
        <v>49</v>
      </c>
      <c r="AP1110" s="20">
        <v>0</v>
      </c>
      <c r="AQ1110" s="20" t="s">
        <v>49</v>
      </c>
      <c r="AR1110" s="6" t="s">
        <v>49</v>
      </c>
      <c r="AS1110" s="6">
        <v>0.06</v>
      </c>
      <c r="AT1110" s="20" t="s">
        <v>49</v>
      </c>
      <c r="AU1110" s="20" t="s">
        <v>49</v>
      </c>
      <c r="AV1110" s="20" t="s">
        <v>49</v>
      </c>
      <c r="AW1110" s="31" t="s">
        <v>49</v>
      </c>
    </row>
    <row r="1111" spans="1:49">
      <c r="A1111" s="6" t="s">
        <v>368</v>
      </c>
      <c r="B1111" s="6" t="s">
        <v>38</v>
      </c>
      <c r="C1111" s="6" t="s">
        <v>49</v>
      </c>
      <c r="D1111" s="3" t="s">
        <v>377</v>
      </c>
      <c r="E1111" s="3" t="s">
        <v>378</v>
      </c>
      <c r="F1111" s="3">
        <v>1998</v>
      </c>
      <c r="G1111" s="3" t="s">
        <v>369</v>
      </c>
      <c r="H1111" s="3" t="s">
        <v>370</v>
      </c>
      <c r="I1111" s="3" t="s">
        <v>371</v>
      </c>
      <c r="J1111" s="3" t="s">
        <v>372</v>
      </c>
      <c r="K1111" s="3" t="s">
        <v>45</v>
      </c>
      <c r="L1111" s="3" t="s">
        <v>46</v>
      </c>
      <c r="M1111" s="1" t="s">
        <v>12</v>
      </c>
      <c r="N1111" s="1" t="s">
        <v>76</v>
      </c>
      <c r="O1111" s="1" t="s">
        <v>49</v>
      </c>
      <c r="P1111" s="1" t="s">
        <v>49</v>
      </c>
      <c r="Q1111" s="1" t="s">
        <v>49</v>
      </c>
      <c r="R1111" s="1">
        <v>0.5</v>
      </c>
      <c r="S1111" s="1" t="s">
        <v>373</v>
      </c>
      <c r="T1111" s="1" t="s">
        <v>374</v>
      </c>
      <c r="U1111" s="1" t="s">
        <v>251</v>
      </c>
      <c r="V1111" s="3" t="s">
        <v>375</v>
      </c>
      <c r="W1111" s="3">
        <v>33.74</v>
      </c>
      <c r="X1111" s="3">
        <v>-116.73</v>
      </c>
      <c r="Y1111" s="3" t="s">
        <v>376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90</v>
      </c>
      <c r="AE1111" s="6" t="s">
        <v>379</v>
      </c>
      <c r="AF1111" s="6" t="s">
        <v>49</v>
      </c>
      <c r="AG1111" s="6" t="s">
        <v>49</v>
      </c>
      <c r="AH1111" s="6" t="s">
        <v>183</v>
      </c>
      <c r="AI1111" s="20" t="s">
        <v>55</v>
      </c>
      <c r="AJ1111" s="20" t="s">
        <v>49</v>
      </c>
      <c r="AK1111" s="20" t="s">
        <v>49</v>
      </c>
      <c r="AL1111" s="20" t="s">
        <v>49</v>
      </c>
      <c r="AM1111" s="20" t="s">
        <v>49</v>
      </c>
      <c r="AN1111" s="20" t="s">
        <v>49</v>
      </c>
      <c r="AO1111" s="20" t="s">
        <v>49</v>
      </c>
      <c r="AP1111" s="20">
        <v>0</v>
      </c>
      <c r="AQ1111" s="20" t="s">
        <v>49</v>
      </c>
      <c r="AR1111" s="6" t="s">
        <v>49</v>
      </c>
      <c r="AS1111" s="6">
        <v>1.21</v>
      </c>
      <c r="AT1111" s="20" t="s">
        <v>49</v>
      </c>
      <c r="AU1111" s="20" t="s">
        <v>49</v>
      </c>
      <c r="AV1111" s="20" t="s">
        <v>49</v>
      </c>
      <c r="AW1111" s="31" t="s">
        <v>49</v>
      </c>
    </row>
    <row r="1112" spans="1:49">
      <c r="A1112" s="6" t="s">
        <v>368</v>
      </c>
      <c r="B1112" s="6" t="s">
        <v>38</v>
      </c>
      <c r="C1112" s="6" t="s">
        <v>49</v>
      </c>
      <c r="D1112" s="3" t="s">
        <v>377</v>
      </c>
      <c r="E1112" s="3" t="s">
        <v>378</v>
      </c>
      <c r="F1112" s="3">
        <v>1998</v>
      </c>
      <c r="G1112" s="3" t="s">
        <v>369</v>
      </c>
      <c r="H1112" s="3" t="s">
        <v>370</v>
      </c>
      <c r="I1112" s="3" t="s">
        <v>371</v>
      </c>
      <c r="J1112" s="3" t="s">
        <v>372</v>
      </c>
      <c r="K1112" s="3" t="s">
        <v>45</v>
      </c>
      <c r="L1112" s="3" t="s">
        <v>46</v>
      </c>
      <c r="M1112" s="1" t="s">
        <v>12</v>
      </c>
      <c r="N1112" s="1" t="s">
        <v>76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373</v>
      </c>
      <c r="T1112" s="1" t="s">
        <v>374</v>
      </c>
      <c r="U1112" s="1" t="s">
        <v>251</v>
      </c>
      <c r="V1112" s="3" t="s">
        <v>375</v>
      </c>
      <c r="W1112" s="3">
        <v>33.74</v>
      </c>
      <c r="X1112" s="3">
        <v>-116.73</v>
      </c>
      <c r="Y1112" s="3" t="s">
        <v>376</v>
      </c>
      <c r="Z1112" s="6" t="s">
        <v>49</v>
      </c>
      <c r="AA1112" s="6" t="s">
        <v>49</v>
      </c>
      <c r="AB1112" s="6" t="s">
        <v>49</v>
      </c>
      <c r="AC1112" s="6" t="s">
        <v>49</v>
      </c>
      <c r="AD1112" s="6" t="s">
        <v>90</v>
      </c>
      <c r="AE1112" s="6" t="s">
        <v>380</v>
      </c>
      <c r="AF1112" s="6" t="s">
        <v>49</v>
      </c>
      <c r="AG1112" s="6" t="s">
        <v>49</v>
      </c>
      <c r="AH1112" s="6" t="s">
        <v>183</v>
      </c>
      <c r="AI1112" s="20" t="s">
        <v>55</v>
      </c>
      <c r="AJ1112" s="20" t="s">
        <v>49</v>
      </c>
      <c r="AK1112" s="20" t="s">
        <v>49</v>
      </c>
      <c r="AL1112" s="20" t="s">
        <v>49</v>
      </c>
      <c r="AM1112" s="20" t="s">
        <v>49</v>
      </c>
      <c r="AN1112" s="20" t="s">
        <v>49</v>
      </c>
      <c r="AO1112" s="20" t="s">
        <v>49</v>
      </c>
      <c r="AP1112" s="20">
        <v>0</v>
      </c>
      <c r="AQ1112" s="20" t="s">
        <v>49</v>
      </c>
      <c r="AR1112" s="6" t="s">
        <v>49</v>
      </c>
      <c r="AS1112" s="6">
        <v>-0.03</v>
      </c>
      <c r="AT1112" s="20" t="s">
        <v>49</v>
      </c>
      <c r="AU1112" s="20" t="s">
        <v>49</v>
      </c>
      <c r="AV1112" s="20" t="s">
        <v>49</v>
      </c>
      <c r="AW1112" s="31" t="s">
        <v>49</v>
      </c>
    </row>
    <row r="1113" spans="1:49">
      <c r="A1113" s="6" t="s">
        <v>368</v>
      </c>
      <c r="B1113" s="6" t="s">
        <v>38</v>
      </c>
      <c r="C1113" s="6" t="s">
        <v>49</v>
      </c>
      <c r="D1113" s="3" t="s">
        <v>377</v>
      </c>
      <c r="E1113" s="3" t="s">
        <v>378</v>
      </c>
      <c r="F1113" s="3">
        <v>1998</v>
      </c>
      <c r="G1113" s="3" t="s">
        <v>369</v>
      </c>
      <c r="H1113" s="3" t="s">
        <v>370</v>
      </c>
      <c r="I1113" s="3" t="s">
        <v>371</v>
      </c>
      <c r="J1113" s="3" t="s">
        <v>372</v>
      </c>
      <c r="K1113" s="3" t="s">
        <v>45</v>
      </c>
      <c r="L1113" s="3" t="s">
        <v>46</v>
      </c>
      <c r="M1113" s="1" t="s">
        <v>12</v>
      </c>
      <c r="N1113" s="1" t="s">
        <v>76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373</v>
      </c>
      <c r="T1113" s="1" t="s">
        <v>374</v>
      </c>
      <c r="U1113" s="1" t="s">
        <v>251</v>
      </c>
      <c r="V1113" s="3" t="s">
        <v>375</v>
      </c>
      <c r="W1113" s="3">
        <v>33.74</v>
      </c>
      <c r="X1113" s="3">
        <v>-116.73</v>
      </c>
      <c r="Y1113" s="3" t="s">
        <v>376</v>
      </c>
      <c r="Z1113" s="6" t="s">
        <v>49</v>
      </c>
      <c r="AA1113" s="6" t="s">
        <v>49</v>
      </c>
      <c r="AB1113" s="6" t="s">
        <v>49</v>
      </c>
      <c r="AC1113" s="6" t="s">
        <v>49</v>
      </c>
      <c r="AD1113" s="6" t="s">
        <v>90</v>
      </c>
      <c r="AE1113" s="6" t="s">
        <v>381</v>
      </c>
      <c r="AF1113" s="6" t="s">
        <v>49</v>
      </c>
      <c r="AG1113" s="6" t="s">
        <v>49</v>
      </c>
      <c r="AH1113" s="6" t="s">
        <v>183</v>
      </c>
      <c r="AI1113" s="20" t="s">
        <v>55</v>
      </c>
      <c r="AJ1113" s="20" t="s">
        <v>49</v>
      </c>
      <c r="AK1113" s="20" t="s">
        <v>49</v>
      </c>
      <c r="AL1113" s="20" t="s">
        <v>49</v>
      </c>
      <c r="AM1113" s="20" t="s">
        <v>49</v>
      </c>
      <c r="AN1113" s="20" t="s">
        <v>49</v>
      </c>
      <c r="AO1113" s="20" t="s">
        <v>49</v>
      </c>
      <c r="AP1113" s="20">
        <v>0</v>
      </c>
      <c r="AQ1113" s="20" t="s">
        <v>49</v>
      </c>
      <c r="AR1113" s="6" t="s">
        <v>49</v>
      </c>
      <c r="AS1113" s="6">
        <v>-0.28999999999999998</v>
      </c>
      <c r="AT1113" s="20" t="s">
        <v>49</v>
      </c>
      <c r="AU1113" s="20" t="s">
        <v>49</v>
      </c>
      <c r="AV1113" s="20" t="s">
        <v>49</v>
      </c>
      <c r="AW1113" s="31" t="s">
        <v>49</v>
      </c>
    </row>
    <row r="1114" spans="1:49">
      <c r="A1114" s="6" t="s">
        <v>368</v>
      </c>
      <c r="B1114" s="6" t="s">
        <v>38</v>
      </c>
      <c r="C1114" s="6" t="s">
        <v>49</v>
      </c>
      <c r="D1114" s="3" t="s">
        <v>377</v>
      </c>
      <c r="E1114" s="3" t="s">
        <v>378</v>
      </c>
      <c r="F1114" s="3">
        <v>1998</v>
      </c>
      <c r="G1114" s="3" t="s">
        <v>369</v>
      </c>
      <c r="H1114" s="3" t="s">
        <v>370</v>
      </c>
      <c r="I1114" s="3" t="s">
        <v>371</v>
      </c>
      <c r="J1114" s="3" t="s">
        <v>372</v>
      </c>
      <c r="K1114" s="3" t="s">
        <v>45</v>
      </c>
      <c r="L1114" s="3" t="s">
        <v>46</v>
      </c>
      <c r="M1114" s="1" t="s">
        <v>12</v>
      </c>
      <c r="N1114" s="1" t="s">
        <v>76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373</v>
      </c>
      <c r="T1114" s="1" t="s">
        <v>374</v>
      </c>
      <c r="U1114" s="1" t="s">
        <v>251</v>
      </c>
      <c r="V1114" s="3" t="s">
        <v>375</v>
      </c>
      <c r="W1114" s="3">
        <v>33.74</v>
      </c>
      <c r="X1114" s="3">
        <v>-116.73</v>
      </c>
      <c r="Y1114" s="3" t="s">
        <v>376</v>
      </c>
      <c r="Z1114" s="6" t="s">
        <v>49</v>
      </c>
      <c r="AA1114" s="6" t="s">
        <v>49</v>
      </c>
      <c r="AB1114" s="6" t="s">
        <v>49</v>
      </c>
      <c r="AC1114" s="6" t="s">
        <v>49</v>
      </c>
      <c r="AD1114" s="6" t="s">
        <v>89</v>
      </c>
      <c r="AE1114" s="6" t="s">
        <v>84</v>
      </c>
      <c r="AF1114" s="6" t="s">
        <v>49</v>
      </c>
      <c r="AG1114" s="6" t="s">
        <v>49</v>
      </c>
      <c r="AH1114" s="6" t="s">
        <v>183</v>
      </c>
      <c r="AI1114" s="20" t="s">
        <v>55</v>
      </c>
      <c r="AJ1114" s="20" t="s">
        <v>49</v>
      </c>
      <c r="AK1114" s="20" t="s">
        <v>49</v>
      </c>
      <c r="AL1114" s="20" t="s">
        <v>49</v>
      </c>
      <c r="AM1114" s="20" t="s">
        <v>49</v>
      </c>
      <c r="AN1114" s="20" t="s">
        <v>49</v>
      </c>
      <c r="AO1114" s="20" t="s">
        <v>49</v>
      </c>
      <c r="AP1114" s="20">
        <v>0</v>
      </c>
      <c r="AQ1114" s="20" t="s">
        <v>49</v>
      </c>
      <c r="AR1114" s="6" t="s">
        <v>49</v>
      </c>
      <c r="AS1114" s="6">
        <v>-0.21</v>
      </c>
      <c r="AT1114" s="20" t="s">
        <v>49</v>
      </c>
      <c r="AU1114" s="20" t="s">
        <v>49</v>
      </c>
      <c r="AV1114" s="20" t="s">
        <v>49</v>
      </c>
      <c r="AW1114" s="31" t="s">
        <v>49</v>
      </c>
    </row>
    <row r="1115" spans="1:49">
      <c r="A1115" s="6" t="s">
        <v>368</v>
      </c>
      <c r="B1115" s="6" t="s">
        <v>38</v>
      </c>
      <c r="C1115" s="6" t="s">
        <v>49</v>
      </c>
      <c r="D1115" s="3" t="s">
        <v>377</v>
      </c>
      <c r="E1115" s="3" t="s">
        <v>378</v>
      </c>
      <c r="F1115" s="3">
        <v>1998</v>
      </c>
      <c r="G1115" s="3" t="s">
        <v>369</v>
      </c>
      <c r="H1115" s="3" t="s">
        <v>370</v>
      </c>
      <c r="I1115" s="3" t="s">
        <v>371</v>
      </c>
      <c r="J1115" s="3" t="s">
        <v>372</v>
      </c>
      <c r="K1115" s="3" t="s">
        <v>45</v>
      </c>
      <c r="L1115" s="3" t="s">
        <v>46</v>
      </c>
      <c r="M1115" s="1" t="s">
        <v>12</v>
      </c>
      <c r="N1115" s="1" t="s">
        <v>76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373</v>
      </c>
      <c r="T1115" s="1" t="s">
        <v>374</v>
      </c>
      <c r="U1115" s="1" t="s">
        <v>251</v>
      </c>
      <c r="V1115" s="3" t="s">
        <v>375</v>
      </c>
      <c r="W1115" s="3">
        <v>33.74</v>
      </c>
      <c r="X1115" s="3">
        <v>-116.73</v>
      </c>
      <c r="Y1115" s="3" t="s">
        <v>376</v>
      </c>
      <c r="Z1115" s="6" t="s">
        <v>49</v>
      </c>
      <c r="AA1115" s="6" t="s">
        <v>49</v>
      </c>
      <c r="AB1115" s="6" t="s">
        <v>49</v>
      </c>
      <c r="AC1115" s="6" t="s">
        <v>49</v>
      </c>
      <c r="AD1115" s="6" t="s">
        <v>89</v>
      </c>
      <c r="AE1115" s="6" t="s">
        <v>379</v>
      </c>
      <c r="AF1115" s="6" t="s">
        <v>49</v>
      </c>
      <c r="AG1115" s="6" t="s">
        <v>49</v>
      </c>
      <c r="AH1115" s="6" t="s">
        <v>183</v>
      </c>
      <c r="AI1115" s="20" t="s">
        <v>55</v>
      </c>
      <c r="AJ1115" s="20" t="s">
        <v>49</v>
      </c>
      <c r="AK1115" s="20" t="s">
        <v>49</v>
      </c>
      <c r="AL1115" s="20" t="s">
        <v>49</v>
      </c>
      <c r="AM1115" s="20" t="s">
        <v>49</v>
      </c>
      <c r="AN1115" s="20" t="s">
        <v>49</v>
      </c>
      <c r="AO1115" s="20" t="s">
        <v>49</v>
      </c>
      <c r="AP1115" s="20">
        <v>0</v>
      </c>
      <c r="AQ1115" s="20" t="s">
        <v>49</v>
      </c>
      <c r="AR1115" s="6" t="s">
        <v>49</v>
      </c>
      <c r="AS1115" s="6">
        <v>0.21</v>
      </c>
      <c r="AT1115" s="20" t="s">
        <v>49</v>
      </c>
      <c r="AU1115" s="20" t="s">
        <v>49</v>
      </c>
      <c r="AV1115" s="20" t="s">
        <v>49</v>
      </c>
      <c r="AW1115" s="31" t="s">
        <v>49</v>
      </c>
    </row>
    <row r="1116" spans="1:49">
      <c r="A1116" s="6" t="s">
        <v>368</v>
      </c>
      <c r="B1116" s="6" t="s">
        <v>38</v>
      </c>
      <c r="C1116" s="6" t="s">
        <v>49</v>
      </c>
      <c r="D1116" s="3" t="s">
        <v>377</v>
      </c>
      <c r="E1116" s="3" t="s">
        <v>378</v>
      </c>
      <c r="F1116" s="3">
        <v>1998</v>
      </c>
      <c r="G1116" s="3" t="s">
        <v>369</v>
      </c>
      <c r="H1116" s="3" t="s">
        <v>370</v>
      </c>
      <c r="I1116" s="3" t="s">
        <v>371</v>
      </c>
      <c r="J1116" s="3" t="s">
        <v>372</v>
      </c>
      <c r="K1116" s="3" t="s">
        <v>45</v>
      </c>
      <c r="L1116" s="3" t="s">
        <v>46</v>
      </c>
      <c r="M1116" s="1" t="s">
        <v>12</v>
      </c>
      <c r="N1116" s="1" t="s">
        <v>76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373</v>
      </c>
      <c r="T1116" s="1" t="s">
        <v>374</v>
      </c>
      <c r="U1116" s="1" t="s">
        <v>251</v>
      </c>
      <c r="V1116" s="3" t="s">
        <v>375</v>
      </c>
      <c r="W1116" s="3">
        <v>33.74</v>
      </c>
      <c r="X1116" s="3">
        <v>-116.73</v>
      </c>
      <c r="Y1116" s="3" t="s">
        <v>376</v>
      </c>
      <c r="Z1116" s="6" t="s">
        <v>49</v>
      </c>
      <c r="AA1116" s="6" t="s">
        <v>49</v>
      </c>
      <c r="AB1116" s="6" t="s">
        <v>49</v>
      </c>
      <c r="AC1116" s="6" t="s">
        <v>49</v>
      </c>
      <c r="AD1116" s="6" t="s">
        <v>89</v>
      </c>
      <c r="AE1116" s="6" t="s">
        <v>380</v>
      </c>
      <c r="AF1116" s="6" t="s">
        <v>49</v>
      </c>
      <c r="AG1116" s="6" t="s">
        <v>49</v>
      </c>
      <c r="AH1116" s="6" t="s">
        <v>183</v>
      </c>
      <c r="AI1116" s="20" t="s">
        <v>55</v>
      </c>
      <c r="AJ1116" s="20" t="s">
        <v>49</v>
      </c>
      <c r="AK1116" s="20" t="s">
        <v>49</v>
      </c>
      <c r="AL1116" s="20" t="s">
        <v>49</v>
      </c>
      <c r="AM1116" s="20" t="s">
        <v>49</v>
      </c>
      <c r="AN1116" s="20" t="s">
        <v>49</v>
      </c>
      <c r="AO1116" s="20" t="s">
        <v>49</v>
      </c>
      <c r="AP1116" s="20">
        <v>0</v>
      </c>
      <c r="AQ1116" s="20" t="s">
        <v>49</v>
      </c>
      <c r="AR1116" s="6" t="s">
        <v>49</v>
      </c>
      <c r="AS1116" s="6">
        <v>0</v>
      </c>
      <c r="AT1116" s="20" t="s">
        <v>49</v>
      </c>
      <c r="AU1116" s="20" t="s">
        <v>49</v>
      </c>
      <c r="AV1116" s="20" t="s">
        <v>49</v>
      </c>
      <c r="AW1116" s="31" t="s">
        <v>49</v>
      </c>
    </row>
    <row r="1117" spans="1:49">
      <c r="A1117" s="6" t="s">
        <v>368</v>
      </c>
      <c r="B1117" s="6" t="s">
        <v>38</v>
      </c>
      <c r="C1117" s="6" t="s">
        <v>49</v>
      </c>
      <c r="D1117" s="3" t="s">
        <v>377</v>
      </c>
      <c r="E1117" s="3" t="s">
        <v>378</v>
      </c>
      <c r="F1117" s="3">
        <v>1998</v>
      </c>
      <c r="G1117" s="3" t="s">
        <v>369</v>
      </c>
      <c r="H1117" s="3" t="s">
        <v>370</v>
      </c>
      <c r="I1117" s="3" t="s">
        <v>371</v>
      </c>
      <c r="J1117" s="3" t="s">
        <v>372</v>
      </c>
      <c r="K1117" s="3" t="s">
        <v>45</v>
      </c>
      <c r="L1117" s="3" t="s">
        <v>46</v>
      </c>
      <c r="M1117" s="1" t="s">
        <v>12</v>
      </c>
      <c r="N1117" s="1" t="s">
        <v>76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373</v>
      </c>
      <c r="T1117" s="1" t="s">
        <v>374</v>
      </c>
      <c r="U1117" s="1" t="s">
        <v>251</v>
      </c>
      <c r="V1117" s="3" t="s">
        <v>375</v>
      </c>
      <c r="W1117" s="3">
        <v>33.74</v>
      </c>
      <c r="X1117" s="3">
        <v>-116.73</v>
      </c>
      <c r="Y1117" s="3" t="s">
        <v>376</v>
      </c>
      <c r="Z1117" s="6" t="s">
        <v>49</v>
      </c>
      <c r="AA1117" s="6" t="s">
        <v>49</v>
      </c>
      <c r="AB1117" s="6" t="s">
        <v>49</v>
      </c>
      <c r="AC1117" s="6" t="s">
        <v>49</v>
      </c>
      <c r="AD1117" s="6" t="s">
        <v>89</v>
      </c>
      <c r="AE1117" s="6" t="s">
        <v>381</v>
      </c>
      <c r="AF1117" s="6" t="s">
        <v>49</v>
      </c>
      <c r="AG1117" s="6" t="s">
        <v>49</v>
      </c>
      <c r="AH1117" s="6" t="s">
        <v>183</v>
      </c>
      <c r="AI1117" s="20" t="s">
        <v>55</v>
      </c>
      <c r="AJ1117" s="20" t="s">
        <v>49</v>
      </c>
      <c r="AK1117" s="20" t="s">
        <v>49</v>
      </c>
      <c r="AL1117" s="20" t="s">
        <v>49</v>
      </c>
      <c r="AM1117" s="20" t="s">
        <v>49</v>
      </c>
      <c r="AN1117" s="20" t="s">
        <v>49</v>
      </c>
      <c r="AO1117" s="20" t="s">
        <v>49</v>
      </c>
      <c r="AP1117" s="20">
        <v>0</v>
      </c>
      <c r="AQ1117" s="20" t="s">
        <v>49</v>
      </c>
      <c r="AR1117" s="6" t="s">
        <v>49</v>
      </c>
      <c r="AS1117" s="6">
        <v>-0.01</v>
      </c>
      <c r="AT1117" s="20" t="s">
        <v>49</v>
      </c>
      <c r="AU1117" s="20" t="s">
        <v>49</v>
      </c>
      <c r="AV1117" s="20" t="s">
        <v>49</v>
      </c>
      <c r="AW1117" s="31" t="s">
        <v>49</v>
      </c>
    </row>
    <row r="1118" spans="1:49">
      <c r="A1118" s="6" t="s">
        <v>368</v>
      </c>
      <c r="B1118" s="6" t="s">
        <v>38</v>
      </c>
      <c r="C1118" s="6" t="s">
        <v>49</v>
      </c>
      <c r="D1118" s="3" t="s">
        <v>377</v>
      </c>
      <c r="E1118" s="3" t="s">
        <v>378</v>
      </c>
      <c r="F1118" s="3">
        <v>1998</v>
      </c>
      <c r="G1118" s="3" t="s">
        <v>369</v>
      </c>
      <c r="H1118" s="3" t="s">
        <v>370</v>
      </c>
      <c r="I1118" s="3" t="s">
        <v>371</v>
      </c>
      <c r="J1118" s="3" t="s">
        <v>372</v>
      </c>
      <c r="K1118" s="3" t="s">
        <v>45</v>
      </c>
      <c r="L1118" s="3" t="s">
        <v>46</v>
      </c>
      <c r="M1118" s="1" t="s">
        <v>12</v>
      </c>
      <c r="N1118" s="1" t="s">
        <v>76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373</v>
      </c>
      <c r="T1118" s="1" t="s">
        <v>374</v>
      </c>
      <c r="U1118" s="1" t="s">
        <v>251</v>
      </c>
      <c r="V1118" s="3" t="s">
        <v>375</v>
      </c>
      <c r="W1118" s="3">
        <v>33.74</v>
      </c>
      <c r="X1118" s="3">
        <v>-116.73</v>
      </c>
      <c r="Y1118" s="3" t="s">
        <v>376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84</v>
      </c>
      <c r="AE1118" s="6" t="s">
        <v>379</v>
      </c>
      <c r="AF1118" s="6" t="s">
        <v>49</v>
      </c>
      <c r="AG1118" s="6" t="s">
        <v>49</v>
      </c>
      <c r="AH1118" s="6" t="s">
        <v>183</v>
      </c>
      <c r="AI1118" s="20" t="s">
        <v>55</v>
      </c>
      <c r="AJ1118" s="20" t="s">
        <v>49</v>
      </c>
      <c r="AK1118" s="20" t="s">
        <v>49</v>
      </c>
      <c r="AL1118" s="20" t="s">
        <v>49</v>
      </c>
      <c r="AM1118" s="20" t="s">
        <v>49</v>
      </c>
      <c r="AN1118" s="20" t="s">
        <v>49</v>
      </c>
      <c r="AO1118" s="20" t="s">
        <v>49</v>
      </c>
      <c r="AP1118" s="20">
        <v>0</v>
      </c>
      <c r="AQ1118" s="20" t="s">
        <v>49</v>
      </c>
      <c r="AR1118" s="6" t="s">
        <v>49</v>
      </c>
      <c r="AS1118" s="6">
        <v>0.44</v>
      </c>
      <c r="AT1118" s="20" t="s">
        <v>49</v>
      </c>
      <c r="AU1118" s="20" t="s">
        <v>49</v>
      </c>
      <c r="AV1118" s="20" t="s">
        <v>49</v>
      </c>
      <c r="AW1118" s="31" t="s">
        <v>49</v>
      </c>
    </row>
    <row r="1119" spans="1:49">
      <c r="A1119" s="6" t="s">
        <v>368</v>
      </c>
      <c r="B1119" s="6" t="s">
        <v>38</v>
      </c>
      <c r="C1119" s="6" t="s">
        <v>49</v>
      </c>
      <c r="D1119" s="3" t="s">
        <v>377</v>
      </c>
      <c r="E1119" s="3" t="s">
        <v>378</v>
      </c>
      <c r="F1119" s="3">
        <v>1998</v>
      </c>
      <c r="G1119" s="3" t="s">
        <v>369</v>
      </c>
      <c r="H1119" s="3" t="s">
        <v>370</v>
      </c>
      <c r="I1119" s="3" t="s">
        <v>371</v>
      </c>
      <c r="J1119" s="3" t="s">
        <v>372</v>
      </c>
      <c r="K1119" s="3" t="s">
        <v>45</v>
      </c>
      <c r="L1119" s="3" t="s">
        <v>46</v>
      </c>
      <c r="M1119" s="1" t="s">
        <v>12</v>
      </c>
      <c r="N1119" s="1" t="s">
        <v>76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373</v>
      </c>
      <c r="T1119" s="1" t="s">
        <v>374</v>
      </c>
      <c r="U1119" s="1" t="s">
        <v>251</v>
      </c>
      <c r="V1119" s="3" t="s">
        <v>375</v>
      </c>
      <c r="W1119" s="3">
        <v>33.74</v>
      </c>
      <c r="X1119" s="3">
        <v>-116.73</v>
      </c>
      <c r="Y1119" s="3" t="s">
        <v>376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84</v>
      </c>
      <c r="AE1119" s="6" t="s">
        <v>380</v>
      </c>
      <c r="AF1119" s="6" t="s">
        <v>49</v>
      </c>
      <c r="AG1119" s="6" t="s">
        <v>49</v>
      </c>
      <c r="AH1119" s="6" t="s">
        <v>183</v>
      </c>
      <c r="AI1119" s="20" t="s">
        <v>55</v>
      </c>
      <c r="AJ1119" s="20" t="s">
        <v>49</v>
      </c>
      <c r="AK1119" s="20" t="s">
        <v>49</v>
      </c>
      <c r="AL1119" s="20" t="s">
        <v>49</v>
      </c>
      <c r="AM1119" s="20" t="s">
        <v>49</v>
      </c>
      <c r="AN1119" s="20" t="s">
        <v>49</v>
      </c>
      <c r="AO1119" s="20" t="s">
        <v>49</v>
      </c>
      <c r="AP1119" s="20">
        <v>0</v>
      </c>
      <c r="AQ1119" s="20" t="s">
        <v>49</v>
      </c>
      <c r="AR1119" s="6" t="s">
        <v>49</v>
      </c>
      <c r="AS1119" s="6">
        <v>-0.19</v>
      </c>
      <c r="AT1119" s="20" t="s">
        <v>49</v>
      </c>
      <c r="AU1119" s="20" t="s">
        <v>49</v>
      </c>
      <c r="AV1119" s="20" t="s">
        <v>49</v>
      </c>
      <c r="AW1119" s="31" t="s">
        <v>49</v>
      </c>
    </row>
    <row r="1120" spans="1:49">
      <c r="A1120" s="6" t="s">
        <v>368</v>
      </c>
      <c r="B1120" s="6" t="s">
        <v>38</v>
      </c>
      <c r="C1120" s="6" t="s">
        <v>49</v>
      </c>
      <c r="D1120" s="3" t="s">
        <v>377</v>
      </c>
      <c r="E1120" s="3" t="s">
        <v>378</v>
      </c>
      <c r="F1120" s="3">
        <v>1998</v>
      </c>
      <c r="G1120" s="3" t="s">
        <v>369</v>
      </c>
      <c r="H1120" s="3" t="s">
        <v>370</v>
      </c>
      <c r="I1120" s="3" t="s">
        <v>371</v>
      </c>
      <c r="J1120" s="3" t="s">
        <v>372</v>
      </c>
      <c r="K1120" s="3" t="s">
        <v>45</v>
      </c>
      <c r="L1120" s="3" t="s">
        <v>46</v>
      </c>
      <c r="M1120" s="1" t="s">
        <v>12</v>
      </c>
      <c r="N1120" s="1" t="s">
        <v>76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373</v>
      </c>
      <c r="T1120" s="1" t="s">
        <v>374</v>
      </c>
      <c r="U1120" s="1" t="s">
        <v>251</v>
      </c>
      <c r="V1120" s="3" t="s">
        <v>375</v>
      </c>
      <c r="W1120" s="3">
        <v>33.74</v>
      </c>
      <c r="X1120" s="3">
        <v>-116.73</v>
      </c>
      <c r="Y1120" s="3" t="s">
        <v>376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84</v>
      </c>
      <c r="AE1120" s="6" t="s">
        <v>381</v>
      </c>
      <c r="AF1120" s="6" t="s">
        <v>49</v>
      </c>
      <c r="AG1120" s="6" t="s">
        <v>49</v>
      </c>
      <c r="AH1120" s="6" t="s">
        <v>183</v>
      </c>
      <c r="AI1120" s="20" t="s">
        <v>55</v>
      </c>
      <c r="AJ1120" s="20" t="s">
        <v>49</v>
      </c>
      <c r="AK1120" s="20" t="s">
        <v>49</v>
      </c>
      <c r="AL1120" s="20" t="s">
        <v>49</v>
      </c>
      <c r="AM1120" s="20" t="s">
        <v>49</v>
      </c>
      <c r="AN1120" s="20" t="s">
        <v>49</v>
      </c>
      <c r="AO1120" s="20" t="s">
        <v>49</v>
      </c>
      <c r="AP1120" s="20">
        <v>0</v>
      </c>
      <c r="AQ1120" s="20" t="s">
        <v>49</v>
      </c>
      <c r="AR1120" s="6" t="s">
        <v>49</v>
      </c>
      <c r="AS1120" s="6">
        <v>7.0000000000000007E-2</v>
      </c>
      <c r="AT1120" s="20" t="s">
        <v>49</v>
      </c>
      <c r="AU1120" s="20" t="s">
        <v>49</v>
      </c>
      <c r="AV1120" s="20" t="s">
        <v>49</v>
      </c>
      <c r="AW1120" s="31" t="s">
        <v>49</v>
      </c>
    </row>
    <row r="1121" spans="1:50">
      <c r="A1121" s="6" t="s">
        <v>368</v>
      </c>
      <c r="B1121" s="6" t="s">
        <v>38</v>
      </c>
      <c r="C1121" s="6" t="s">
        <v>49</v>
      </c>
      <c r="D1121" s="3" t="s">
        <v>377</v>
      </c>
      <c r="E1121" s="3" t="s">
        <v>378</v>
      </c>
      <c r="F1121" s="3">
        <v>1998</v>
      </c>
      <c r="G1121" s="3" t="s">
        <v>369</v>
      </c>
      <c r="H1121" s="3" t="s">
        <v>370</v>
      </c>
      <c r="I1121" s="3" t="s">
        <v>371</v>
      </c>
      <c r="J1121" s="3" t="s">
        <v>372</v>
      </c>
      <c r="K1121" s="3" t="s">
        <v>45</v>
      </c>
      <c r="L1121" s="3" t="s">
        <v>46</v>
      </c>
      <c r="M1121" s="1" t="s">
        <v>12</v>
      </c>
      <c r="N1121" s="1" t="s">
        <v>76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373</v>
      </c>
      <c r="T1121" s="1" t="s">
        <v>374</v>
      </c>
      <c r="U1121" s="1" t="s">
        <v>251</v>
      </c>
      <c r="V1121" s="3" t="s">
        <v>375</v>
      </c>
      <c r="W1121" s="3">
        <v>33.74</v>
      </c>
      <c r="X1121" s="3">
        <v>-116.73</v>
      </c>
      <c r="Y1121" s="3" t="s">
        <v>376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379</v>
      </c>
      <c r="AE1121" s="6" t="s">
        <v>380</v>
      </c>
      <c r="AF1121" s="6" t="s">
        <v>49</v>
      </c>
      <c r="AG1121" s="6" t="s">
        <v>49</v>
      </c>
      <c r="AH1121" s="6" t="s">
        <v>183</v>
      </c>
      <c r="AI1121" s="20" t="s">
        <v>55</v>
      </c>
      <c r="AJ1121" s="20" t="s">
        <v>49</v>
      </c>
      <c r="AK1121" s="20" t="s">
        <v>49</v>
      </c>
      <c r="AL1121" s="20" t="s">
        <v>49</v>
      </c>
      <c r="AM1121" s="20" t="s">
        <v>49</v>
      </c>
      <c r="AN1121" s="20" t="s">
        <v>49</v>
      </c>
      <c r="AO1121" s="20" t="s">
        <v>49</v>
      </c>
      <c r="AP1121" s="20">
        <v>0</v>
      </c>
      <c r="AQ1121" s="20" t="s">
        <v>49</v>
      </c>
      <c r="AR1121" s="6" t="s">
        <v>49</v>
      </c>
      <c r="AS1121" s="6">
        <v>0.02</v>
      </c>
      <c r="AT1121" s="20" t="s">
        <v>49</v>
      </c>
      <c r="AU1121" s="20" t="s">
        <v>49</v>
      </c>
      <c r="AV1121" s="20" t="s">
        <v>49</v>
      </c>
      <c r="AW1121" s="31" t="s">
        <v>49</v>
      </c>
    </row>
    <row r="1122" spans="1:50">
      <c r="A1122" s="6" t="s">
        <v>368</v>
      </c>
      <c r="B1122" s="6" t="s">
        <v>38</v>
      </c>
      <c r="C1122" s="6" t="s">
        <v>49</v>
      </c>
      <c r="D1122" s="3" t="s">
        <v>377</v>
      </c>
      <c r="E1122" s="3" t="s">
        <v>378</v>
      </c>
      <c r="F1122" s="3">
        <v>1998</v>
      </c>
      <c r="G1122" s="3" t="s">
        <v>369</v>
      </c>
      <c r="H1122" s="3" t="s">
        <v>370</v>
      </c>
      <c r="I1122" s="3" t="s">
        <v>371</v>
      </c>
      <c r="J1122" s="3" t="s">
        <v>372</v>
      </c>
      <c r="K1122" s="3" t="s">
        <v>45</v>
      </c>
      <c r="L1122" s="3" t="s">
        <v>46</v>
      </c>
      <c r="M1122" s="1" t="s">
        <v>12</v>
      </c>
      <c r="N1122" s="1" t="s">
        <v>76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373</v>
      </c>
      <c r="T1122" s="1" t="s">
        <v>374</v>
      </c>
      <c r="U1122" s="1" t="s">
        <v>251</v>
      </c>
      <c r="V1122" s="3" t="s">
        <v>375</v>
      </c>
      <c r="W1122" s="3">
        <v>33.74</v>
      </c>
      <c r="X1122" s="3">
        <v>-116.73</v>
      </c>
      <c r="Y1122" s="3" t="s">
        <v>376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379</v>
      </c>
      <c r="AE1122" s="6" t="s">
        <v>381</v>
      </c>
      <c r="AF1122" s="6" t="s">
        <v>49</v>
      </c>
      <c r="AG1122" s="6" t="s">
        <v>49</v>
      </c>
      <c r="AH1122" s="6" t="s">
        <v>183</v>
      </c>
      <c r="AI1122" s="20" t="s">
        <v>55</v>
      </c>
      <c r="AJ1122" s="20" t="s">
        <v>49</v>
      </c>
      <c r="AK1122" s="20" t="s">
        <v>49</v>
      </c>
      <c r="AL1122" s="20" t="s">
        <v>49</v>
      </c>
      <c r="AM1122" s="20" t="s">
        <v>49</v>
      </c>
      <c r="AN1122" s="20" t="s">
        <v>49</v>
      </c>
      <c r="AO1122" s="20" t="s">
        <v>49</v>
      </c>
      <c r="AP1122" s="20">
        <v>0</v>
      </c>
      <c r="AQ1122" s="20" t="s">
        <v>49</v>
      </c>
      <c r="AR1122" s="6" t="s">
        <v>49</v>
      </c>
      <c r="AS1122" s="6">
        <v>-0.95</v>
      </c>
      <c r="AT1122" s="20" t="s">
        <v>49</v>
      </c>
      <c r="AU1122" s="20" t="s">
        <v>49</v>
      </c>
      <c r="AV1122" s="20" t="s">
        <v>49</v>
      </c>
      <c r="AW1122" s="31" t="s">
        <v>49</v>
      </c>
    </row>
    <row r="1123" spans="1:50">
      <c r="A1123" s="6" t="s">
        <v>368</v>
      </c>
      <c r="B1123" s="6" t="s">
        <v>38</v>
      </c>
      <c r="C1123" s="6" t="s">
        <v>49</v>
      </c>
      <c r="D1123" s="3" t="s">
        <v>377</v>
      </c>
      <c r="E1123" s="3" t="s">
        <v>378</v>
      </c>
      <c r="F1123" s="3">
        <v>1998</v>
      </c>
      <c r="G1123" s="3" t="s">
        <v>369</v>
      </c>
      <c r="H1123" s="3" t="s">
        <v>370</v>
      </c>
      <c r="I1123" s="3" t="s">
        <v>371</v>
      </c>
      <c r="J1123" s="3" t="s">
        <v>372</v>
      </c>
      <c r="K1123" s="3" t="s">
        <v>45</v>
      </c>
      <c r="L1123" s="3" t="s">
        <v>46</v>
      </c>
      <c r="M1123" s="1" t="s">
        <v>12</v>
      </c>
      <c r="N1123" s="1" t="s">
        <v>76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373</v>
      </c>
      <c r="T1123" s="1" t="s">
        <v>374</v>
      </c>
      <c r="U1123" s="1" t="s">
        <v>251</v>
      </c>
      <c r="V1123" s="3" t="s">
        <v>375</v>
      </c>
      <c r="W1123" s="3">
        <v>33.74</v>
      </c>
      <c r="X1123" s="3">
        <v>-116.73</v>
      </c>
      <c r="Y1123" s="3" t="s">
        <v>376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380</v>
      </c>
      <c r="AE1123" s="6" t="s">
        <v>381</v>
      </c>
      <c r="AF1123" s="6" t="s">
        <v>49</v>
      </c>
      <c r="AG1123" s="6" t="s">
        <v>49</v>
      </c>
      <c r="AH1123" s="6" t="s">
        <v>183</v>
      </c>
      <c r="AI1123" s="20" t="s">
        <v>55</v>
      </c>
      <c r="AJ1123" s="20" t="s">
        <v>49</v>
      </c>
      <c r="AK1123" s="20" t="s">
        <v>49</v>
      </c>
      <c r="AL1123" s="20" t="s">
        <v>49</v>
      </c>
      <c r="AM1123" s="20" t="s">
        <v>49</v>
      </c>
      <c r="AN1123" s="20" t="s">
        <v>49</v>
      </c>
      <c r="AO1123" s="20" t="s">
        <v>49</v>
      </c>
      <c r="AP1123" s="20">
        <v>0</v>
      </c>
      <c r="AQ1123" s="20" t="s">
        <v>49</v>
      </c>
      <c r="AR1123" s="6" t="s">
        <v>49</v>
      </c>
      <c r="AS1123" s="6">
        <v>0.01</v>
      </c>
      <c r="AT1123" s="20" t="s">
        <v>49</v>
      </c>
      <c r="AU1123" s="20" t="s">
        <v>49</v>
      </c>
      <c r="AV1123" s="20" t="s">
        <v>49</v>
      </c>
      <c r="AW1123" s="31" t="s">
        <v>49</v>
      </c>
    </row>
    <row r="1124" spans="1:50">
      <c r="A1124" s="1">
        <v>33</v>
      </c>
      <c r="B1124" s="1" t="s">
        <v>38</v>
      </c>
      <c r="C1124" s="6" t="s">
        <v>38</v>
      </c>
      <c r="D1124" s="1" t="s">
        <v>382</v>
      </c>
      <c r="E1124" s="1" t="s">
        <v>71</v>
      </c>
      <c r="F1124" s="1">
        <v>1996</v>
      </c>
      <c r="G1124" s="1" t="s">
        <v>383</v>
      </c>
      <c r="H1124" s="3" t="s">
        <v>384</v>
      </c>
      <c r="I1124" s="3" t="s">
        <v>385</v>
      </c>
      <c r="J1124" s="1" t="s">
        <v>386</v>
      </c>
      <c r="K1124" s="1" t="s">
        <v>114</v>
      </c>
      <c r="L1124" s="1" t="s">
        <v>46</v>
      </c>
      <c r="M1124" s="1" t="s">
        <v>12</v>
      </c>
      <c r="N1124" s="7" t="s">
        <v>76</v>
      </c>
      <c r="O1124" s="7" t="s">
        <v>49</v>
      </c>
      <c r="P1124" s="1" t="s">
        <v>49</v>
      </c>
      <c r="Q1124" s="1" t="s">
        <v>49</v>
      </c>
      <c r="R1124" s="1">
        <v>0.5</v>
      </c>
      <c r="S1124" s="1" t="s">
        <v>117</v>
      </c>
      <c r="T1124" s="1" t="s">
        <v>387</v>
      </c>
      <c r="U1124" s="1" t="s">
        <v>388</v>
      </c>
      <c r="V1124" s="1" t="s">
        <v>389</v>
      </c>
      <c r="W1124" s="1">
        <v>55.53</v>
      </c>
      <c r="X1124" s="1">
        <v>13.03</v>
      </c>
      <c r="Y1124" s="1" t="s">
        <v>390</v>
      </c>
      <c r="Z1124" s="1" t="s">
        <v>49</v>
      </c>
      <c r="AA1124" s="1" t="s">
        <v>127</v>
      </c>
      <c r="AB1124" s="1" t="s">
        <v>241</v>
      </c>
      <c r="AC1124" s="1" t="s">
        <v>242</v>
      </c>
      <c r="AD1124" s="1" t="s">
        <v>243</v>
      </c>
      <c r="AE1124" s="1" t="s">
        <v>243</v>
      </c>
      <c r="AF1124" s="1" t="s">
        <v>60</v>
      </c>
      <c r="AG1124" s="1" t="s">
        <v>61</v>
      </c>
      <c r="AH1124" s="1" t="s">
        <v>340</v>
      </c>
      <c r="AI1124" s="1" t="s">
        <v>55</v>
      </c>
      <c r="AJ1124" s="1">
        <v>36</v>
      </c>
      <c r="AK1124" s="1">
        <v>706</v>
      </c>
      <c r="AL1124" s="4">
        <v>0.42</v>
      </c>
      <c r="AM1124" s="1">
        <v>111.11</v>
      </c>
      <c r="AN1124" s="4">
        <v>732.65789999999993</v>
      </c>
      <c r="AO1124" s="1" t="s">
        <v>49</v>
      </c>
      <c r="AP1124" s="6">
        <v>1</v>
      </c>
      <c r="AQ1124" s="20" t="s">
        <v>49</v>
      </c>
      <c r="AR1124" s="6" t="s">
        <v>49</v>
      </c>
      <c r="AS1124" s="1">
        <f t="shared" ref="AS1124:AS1129" si="97">AN1124*AL1124</f>
        <v>307.71631799999994</v>
      </c>
      <c r="AT1124" s="4">
        <f t="shared" ref="AT1124:AT1129" si="98">AS1124/(AM1124^2)*100</f>
        <v>2.4925520265912762</v>
      </c>
      <c r="AU1124" s="5">
        <v>0</v>
      </c>
      <c r="AV1124" s="4">
        <f t="shared" ref="AV1124:AV1129" si="99">AT1124*(1-AL1124)/AL1124</f>
        <v>3.4420956557689055</v>
      </c>
      <c r="AW1124" s="29" t="s">
        <v>392</v>
      </c>
      <c r="AX1124" s="13"/>
    </row>
    <row r="1125" spans="1:50">
      <c r="A1125" s="1">
        <v>33</v>
      </c>
      <c r="B1125" s="1" t="s">
        <v>38</v>
      </c>
      <c r="C1125" s="1" t="s">
        <v>38</v>
      </c>
      <c r="D1125" s="1" t="s">
        <v>382</v>
      </c>
      <c r="E1125" s="1" t="s">
        <v>71</v>
      </c>
      <c r="F1125" s="1">
        <v>1996</v>
      </c>
      <c r="G1125" s="1" t="s">
        <v>383</v>
      </c>
      <c r="H1125" s="3" t="s">
        <v>384</v>
      </c>
      <c r="I1125" s="3" t="s">
        <v>385</v>
      </c>
      <c r="J1125" s="1" t="s">
        <v>386</v>
      </c>
      <c r="K1125" s="1" t="s">
        <v>114</v>
      </c>
      <c r="L1125" s="1" t="s">
        <v>46</v>
      </c>
      <c r="M1125" s="1" t="s">
        <v>12</v>
      </c>
      <c r="N1125" s="7" t="s">
        <v>76</v>
      </c>
      <c r="O1125" s="7" t="s">
        <v>49</v>
      </c>
      <c r="P1125" s="1" t="s">
        <v>49</v>
      </c>
      <c r="Q1125" s="1" t="s">
        <v>49</v>
      </c>
      <c r="R1125" s="1">
        <v>0.5</v>
      </c>
      <c r="S1125" s="1" t="s">
        <v>117</v>
      </c>
      <c r="T1125" s="1" t="s">
        <v>387</v>
      </c>
      <c r="U1125" s="1" t="s">
        <v>388</v>
      </c>
      <c r="V1125" s="1" t="s">
        <v>389</v>
      </c>
      <c r="W1125" s="1">
        <v>55.53</v>
      </c>
      <c r="X1125" s="1">
        <v>13.03</v>
      </c>
      <c r="Y1125" s="1" t="s">
        <v>390</v>
      </c>
      <c r="Z1125" s="1" t="s">
        <v>49</v>
      </c>
      <c r="AA1125" s="1" t="s">
        <v>50</v>
      </c>
      <c r="AB1125" s="1" t="s">
        <v>66</v>
      </c>
      <c r="AC1125" s="1" t="s">
        <v>124</v>
      </c>
      <c r="AD1125" s="1" t="s">
        <v>126</v>
      </c>
      <c r="AE1125" s="1" t="s">
        <v>126</v>
      </c>
      <c r="AF1125" s="1" t="s">
        <v>60</v>
      </c>
      <c r="AG1125" s="1" t="s">
        <v>61</v>
      </c>
      <c r="AH1125" s="1" t="s">
        <v>340</v>
      </c>
      <c r="AI1125" s="1" t="s">
        <v>55</v>
      </c>
      <c r="AJ1125" s="1">
        <v>36</v>
      </c>
      <c r="AK1125" s="1">
        <v>706</v>
      </c>
      <c r="AL1125" s="4">
        <v>0.26</v>
      </c>
      <c r="AM1125" s="4">
        <v>12.157</v>
      </c>
      <c r="AN1125" s="4">
        <v>1.2616000000000001</v>
      </c>
      <c r="AO1125" s="1" t="s">
        <v>49</v>
      </c>
      <c r="AP1125" s="6">
        <v>1</v>
      </c>
      <c r="AQ1125" s="20" t="s">
        <v>49</v>
      </c>
      <c r="AR1125" s="6" t="s">
        <v>49</v>
      </c>
      <c r="AS1125" s="1">
        <f t="shared" si="97"/>
        <v>0.32801600000000003</v>
      </c>
      <c r="AT1125" s="4">
        <f t="shared" si="98"/>
        <v>0.22194337960611288</v>
      </c>
      <c r="AU1125" s="16">
        <v>0</v>
      </c>
      <c r="AV1125" s="4">
        <f t="shared" si="99"/>
        <v>0.63168500349432122</v>
      </c>
      <c r="AW1125" s="29" t="s">
        <v>392</v>
      </c>
      <c r="AX1125" s="13"/>
    </row>
    <row r="1126" spans="1:50">
      <c r="A1126" s="1">
        <v>33</v>
      </c>
      <c r="B1126" s="1" t="s">
        <v>38</v>
      </c>
      <c r="C1126" s="6" t="s">
        <v>38</v>
      </c>
      <c r="D1126" s="1" t="s">
        <v>382</v>
      </c>
      <c r="E1126" s="1" t="s">
        <v>71</v>
      </c>
      <c r="F1126" s="1">
        <v>1996</v>
      </c>
      <c r="G1126" s="1" t="s">
        <v>383</v>
      </c>
      <c r="H1126" s="3" t="s">
        <v>384</v>
      </c>
      <c r="I1126" s="3" t="s">
        <v>385</v>
      </c>
      <c r="J1126" s="1" t="s">
        <v>386</v>
      </c>
      <c r="K1126" s="1" t="s">
        <v>114</v>
      </c>
      <c r="L1126" s="1" t="s">
        <v>46</v>
      </c>
      <c r="M1126" s="1" t="s">
        <v>12</v>
      </c>
      <c r="N1126" s="7" t="s">
        <v>76</v>
      </c>
      <c r="O1126" s="7" t="s">
        <v>49</v>
      </c>
      <c r="P1126" s="1" t="s">
        <v>49</v>
      </c>
      <c r="Q1126" s="1" t="s">
        <v>49</v>
      </c>
      <c r="R1126" s="1">
        <v>0.5</v>
      </c>
      <c r="S1126" s="1" t="s">
        <v>117</v>
      </c>
      <c r="T1126" s="1" t="s">
        <v>387</v>
      </c>
      <c r="U1126" s="1" t="s">
        <v>388</v>
      </c>
      <c r="V1126" s="1" t="s">
        <v>389</v>
      </c>
      <c r="W1126" s="1">
        <v>55.53</v>
      </c>
      <c r="X1126" s="1">
        <v>13.03</v>
      </c>
      <c r="Y1126" s="1" t="s">
        <v>390</v>
      </c>
      <c r="Z1126" s="1" t="s">
        <v>49</v>
      </c>
      <c r="AA1126" s="1" t="s">
        <v>50</v>
      </c>
      <c r="AB1126" s="1" t="s">
        <v>66</v>
      </c>
      <c r="AC1126" s="1" t="s">
        <v>124</v>
      </c>
      <c r="AD1126" s="1" t="s">
        <v>125</v>
      </c>
      <c r="AE1126" s="1" t="s">
        <v>125</v>
      </c>
      <c r="AF1126" s="1" t="s">
        <v>60</v>
      </c>
      <c r="AG1126" s="1" t="s">
        <v>61</v>
      </c>
      <c r="AH1126" s="1" t="s">
        <v>340</v>
      </c>
      <c r="AI1126" s="1" t="s">
        <v>55</v>
      </c>
      <c r="AJ1126" s="1">
        <v>36</v>
      </c>
      <c r="AK1126" s="1">
        <v>706</v>
      </c>
      <c r="AL1126" s="4">
        <v>0.34</v>
      </c>
      <c r="AM1126" s="4">
        <v>5.2812000000000001</v>
      </c>
      <c r="AN1126" s="4">
        <v>0.3427</v>
      </c>
      <c r="AO1126" s="1" t="s">
        <v>49</v>
      </c>
      <c r="AP1126" s="6">
        <v>1</v>
      </c>
      <c r="AQ1126" s="6" t="s">
        <v>49</v>
      </c>
      <c r="AR1126" s="6" t="s">
        <v>49</v>
      </c>
      <c r="AS1126" s="1">
        <f t="shared" si="97"/>
        <v>0.11651800000000001</v>
      </c>
      <c r="AT1126" s="4">
        <f t="shared" si="98"/>
        <v>0.41776090207017863</v>
      </c>
      <c r="AU1126" s="5">
        <v>0</v>
      </c>
      <c r="AV1126" s="4">
        <f t="shared" si="99"/>
        <v>0.81094763343034659</v>
      </c>
      <c r="AW1126" s="29" t="s">
        <v>392</v>
      </c>
      <c r="AX1126" s="13"/>
    </row>
    <row r="1127" spans="1:50">
      <c r="A1127" s="1">
        <v>33</v>
      </c>
      <c r="B1127" s="1" t="s">
        <v>38</v>
      </c>
      <c r="C1127" s="6" t="s">
        <v>38</v>
      </c>
      <c r="D1127" s="1" t="s">
        <v>382</v>
      </c>
      <c r="E1127" s="1" t="s">
        <v>71</v>
      </c>
      <c r="F1127" s="1">
        <v>1996</v>
      </c>
      <c r="G1127" s="1" t="s">
        <v>383</v>
      </c>
      <c r="H1127" s="3" t="s">
        <v>384</v>
      </c>
      <c r="I1127" s="3" t="s">
        <v>385</v>
      </c>
      <c r="J1127" s="1" t="s">
        <v>386</v>
      </c>
      <c r="K1127" s="1" t="s">
        <v>114</v>
      </c>
      <c r="L1127" s="1" t="s">
        <v>46</v>
      </c>
      <c r="M1127" s="1" t="s">
        <v>12</v>
      </c>
      <c r="N1127" s="7" t="s">
        <v>76</v>
      </c>
      <c r="O1127" s="7" t="s">
        <v>49</v>
      </c>
      <c r="P1127" s="1" t="s">
        <v>49</v>
      </c>
      <c r="Q1127" s="1" t="s">
        <v>49</v>
      </c>
      <c r="R1127" s="1">
        <v>0.5</v>
      </c>
      <c r="S1127" s="1" t="s">
        <v>117</v>
      </c>
      <c r="T1127" s="1" t="s">
        <v>387</v>
      </c>
      <c r="U1127" s="1" t="s">
        <v>388</v>
      </c>
      <c r="V1127" s="1" t="s">
        <v>389</v>
      </c>
      <c r="W1127" s="1">
        <v>55.53</v>
      </c>
      <c r="X1127" s="1">
        <v>13.03</v>
      </c>
      <c r="Y1127" s="1" t="s">
        <v>390</v>
      </c>
      <c r="Z1127" s="1" t="s">
        <v>49</v>
      </c>
      <c r="AA1127" s="1" t="s">
        <v>50</v>
      </c>
      <c r="AB1127" s="1" t="s">
        <v>57</v>
      </c>
      <c r="AC1127" s="1" t="s">
        <v>86</v>
      </c>
      <c r="AD1127" s="1" t="s">
        <v>234</v>
      </c>
      <c r="AE1127" s="1" t="s">
        <v>234</v>
      </c>
      <c r="AF1127" s="1" t="s">
        <v>60</v>
      </c>
      <c r="AG1127" s="1" t="s">
        <v>61</v>
      </c>
      <c r="AH1127" s="1" t="s">
        <v>340</v>
      </c>
      <c r="AI1127" s="1" t="s">
        <v>55</v>
      </c>
      <c r="AJ1127" s="1">
        <v>36</v>
      </c>
      <c r="AK1127" s="1">
        <v>706</v>
      </c>
      <c r="AL1127" s="4">
        <v>0.54</v>
      </c>
      <c r="AM1127" s="1">
        <v>5.58</v>
      </c>
      <c r="AN1127" s="1">
        <v>0.248</v>
      </c>
      <c r="AO1127" s="1" t="s">
        <v>49</v>
      </c>
      <c r="AP1127" s="6">
        <v>1</v>
      </c>
      <c r="AQ1127" s="6" t="s">
        <v>49</v>
      </c>
      <c r="AR1127" s="6" t="s">
        <v>49</v>
      </c>
      <c r="AS1127" s="1">
        <f t="shared" si="97"/>
        <v>0.13392000000000001</v>
      </c>
      <c r="AT1127" s="4">
        <f t="shared" si="98"/>
        <v>0.43010752688172044</v>
      </c>
      <c r="AU1127" s="16">
        <v>0</v>
      </c>
      <c r="AV1127" s="4">
        <f t="shared" si="99"/>
        <v>0.36638789326961368</v>
      </c>
      <c r="AW1127" s="29" t="s">
        <v>392</v>
      </c>
      <c r="AX1127" s="13"/>
    </row>
    <row r="1128" spans="1:50">
      <c r="A1128" s="1">
        <v>33</v>
      </c>
      <c r="B1128" s="1" t="s">
        <v>38</v>
      </c>
      <c r="C1128" s="1" t="s">
        <v>38</v>
      </c>
      <c r="D1128" s="1" t="s">
        <v>382</v>
      </c>
      <c r="E1128" s="1" t="s">
        <v>71</v>
      </c>
      <c r="F1128" s="1">
        <v>1996</v>
      </c>
      <c r="G1128" s="1" t="s">
        <v>383</v>
      </c>
      <c r="H1128" s="3" t="s">
        <v>384</v>
      </c>
      <c r="I1128" s="3" t="s">
        <v>385</v>
      </c>
      <c r="J1128" s="1" t="s">
        <v>386</v>
      </c>
      <c r="K1128" s="1" t="s">
        <v>114</v>
      </c>
      <c r="L1128" s="1" t="s">
        <v>46</v>
      </c>
      <c r="M1128" s="1" t="s">
        <v>12</v>
      </c>
      <c r="N1128" s="7" t="s">
        <v>76</v>
      </c>
      <c r="O1128" s="7" t="s">
        <v>49</v>
      </c>
      <c r="P1128" s="1" t="s">
        <v>49</v>
      </c>
      <c r="Q1128" s="1" t="s">
        <v>49</v>
      </c>
      <c r="R1128" s="1">
        <v>0.5</v>
      </c>
      <c r="S1128" s="1" t="s">
        <v>117</v>
      </c>
      <c r="T1128" s="1" t="s">
        <v>387</v>
      </c>
      <c r="U1128" s="1" t="s">
        <v>388</v>
      </c>
      <c r="V1128" s="1" t="s">
        <v>389</v>
      </c>
      <c r="W1128" s="1">
        <v>55.53</v>
      </c>
      <c r="X1128" s="1">
        <v>13.03</v>
      </c>
      <c r="Y1128" s="1" t="s">
        <v>390</v>
      </c>
      <c r="Z1128" s="1" t="s">
        <v>49</v>
      </c>
      <c r="AA1128" s="1" t="s">
        <v>50</v>
      </c>
      <c r="AB1128" s="1" t="s">
        <v>57</v>
      </c>
      <c r="AC1128" s="1" t="s">
        <v>58</v>
      </c>
      <c r="AD1128" s="1" t="s">
        <v>85</v>
      </c>
      <c r="AE1128" s="1" t="s">
        <v>85</v>
      </c>
      <c r="AF1128" s="1" t="s">
        <v>60</v>
      </c>
      <c r="AG1128" s="1" t="s">
        <v>61</v>
      </c>
      <c r="AH1128" s="1" t="s">
        <v>340</v>
      </c>
      <c r="AI1128" s="1" t="s">
        <v>55</v>
      </c>
      <c r="AJ1128" s="1">
        <v>36</v>
      </c>
      <c r="AK1128" s="1">
        <v>706</v>
      </c>
      <c r="AL1128" s="4">
        <v>0.98</v>
      </c>
      <c r="AM1128" s="1">
        <v>3.9</v>
      </c>
      <c r="AN1128" s="1">
        <v>0.251</v>
      </c>
      <c r="AO1128" s="1" t="s">
        <v>49</v>
      </c>
      <c r="AP1128" s="6">
        <v>1</v>
      </c>
      <c r="AQ1128" s="6" t="s">
        <v>49</v>
      </c>
      <c r="AR1128" s="6" t="s">
        <v>49</v>
      </c>
      <c r="AS1128" s="1">
        <f t="shared" si="97"/>
        <v>0.24598</v>
      </c>
      <c r="AT1128" s="4">
        <f t="shared" si="98"/>
        <v>1.617225509533202</v>
      </c>
      <c r="AU1128" s="16">
        <v>0</v>
      </c>
      <c r="AV1128" s="4">
        <f t="shared" si="99"/>
        <v>3.3004602235371501E-2</v>
      </c>
      <c r="AW1128" s="29" t="s">
        <v>392</v>
      </c>
      <c r="AX1128" s="13"/>
    </row>
    <row r="1129" spans="1:50">
      <c r="A1129" s="1">
        <v>33</v>
      </c>
      <c r="B1129" s="1" t="s">
        <v>38</v>
      </c>
      <c r="C1129" s="6" t="s">
        <v>38</v>
      </c>
      <c r="D1129" s="1" t="s">
        <v>382</v>
      </c>
      <c r="E1129" s="1" t="s">
        <v>71</v>
      </c>
      <c r="F1129" s="1">
        <v>1996</v>
      </c>
      <c r="G1129" s="1" t="s">
        <v>383</v>
      </c>
      <c r="H1129" s="3" t="s">
        <v>384</v>
      </c>
      <c r="I1129" s="3" t="s">
        <v>385</v>
      </c>
      <c r="J1129" s="1" t="s">
        <v>386</v>
      </c>
      <c r="K1129" s="1" t="s">
        <v>114</v>
      </c>
      <c r="L1129" s="1" t="s">
        <v>46</v>
      </c>
      <c r="M1129" s="1" t="s">
        <v>12</v>
      </c>
      <c r="N1129" s="7" t="s">
        <v>76</v>
      </c>
      <c r="O1129" s="7" t="s">
        <v>49</v>
      </c>
      <c r="P1129" s="1" t="s">
        <v>49</v>
      </c>
      <c r="Q1129" s="1" t="s">
        <v>49</v>
      </c>
      <c r="R1129" s="1">
        <v>0.5</v>
      </c>
      <c r="S1129" s="1" t="s">
        <v>117</v>
      </c>
      <c r="T1129" s="1" t="s">
        <v>387</v>
      </c>
      <c r="U1129" s="1" t="s">
        <v>388</v>
      </c>
      <c r="V1129" s="1" t="s">
        <v>389</v>
      </c>
      <c r="W1129" s="1">
        <v>55.53</v>
      </c>
      <c r="X1129" s="1">
        <v>13.03</v>
      </c>
      <c r="Y1129" s="1" t="s">
        <v>390</v>
      </c>
      <c r="Z1129" s="1" t="s">
        <v>49</v>
      </c>
      <c r="AA1129" s="1" t="s">
        <v>50</v>
      </c>
      <c r="AB1129" s="1" t="s">
        <v>58</v>
      </c>
      <c r="AC1129" s="1" t="s">
        <v>311</v>
      </c>
      <c r="AD1129" s="1" t="s">
        <v>391</v>
      </c>
      <c r="AE1129" s="1" t="s">
        <v>391</v>
      </c>
      <c r="AF1129" s="1" t="s">
        <v>60</v>
      </c>
      <c r="AG1129" s="1" t="s">
        <v>61</v>
      </c>
      <c r="AH1129" s="1" t="s">
        <v>340</v>
      </c>
      <c r="AI1129" s="1" t="s">
        <v>55</v>
      </c>
      <c r="AJ1129" s="1">
        <v>36</v>
      </c>
      <c r="AK1129" s="1">
        <v>706</v>
      </c>
      <c r="AL1129" s="4">
        <v>0.88</v>
      </c>
      <c r="AM1129" s="4">
        <v>1.4003000000000001</v>
      </c>
      <c r="AN1129" s="4">
        <v>0.13808999999999999</v>
      </c>
      <c r="AO1129" s="1" t="s">
        <v>49</v>
      </c>
      <c r="AP1129" s="6">
        <v>1</v>
      </c>
      <c r="AQ1129" s="6" t="s">
        <v>49</v>
      </c>
      <c r="AR1129" s="6" t="s">
        <v>49</v>
      </c>
      <c r="AS1129" s="1">
        <f t="shared" si="97"/>
        <v>0.12151919999999999</v>
      </c>
      <c r="AT1129" s="4">
        <f t="shared" si="98"/>
        <v>6.1973029121410903</v>
      </c>
      <c r="AU1129" s="5">
        <v>0</v>
      </c>
      <c r="AV1129" s="4">
        <f t="shared" si="99"/>
        <v>0.84508676074651234</v>
      </c>
      <c r="AW1129" s="29" t="s">
        <v>392</v>
      </c>
      <c r="AX1129" s="13"/>
    </row>
    <row r="1130" spans="1:50">
      <c r="A1130" s="1">
        <v>33</v>
      </c>
      <c r="B1130" s="1" t="s">
        <v>38</v>
      </c>
      <c r="C1130" s="1" t="s">
        <v>49</v>
      </c>
      <c r="D1130" s="1" t="s">
        <v>382</v>
      </c>
      <c r="E1130" s="1" t="s">
        <v>71</v>
      </c>
      <c r="F1130" s="1">
        <v>1996</v>
      </c>
      <c r="G1130" s="1" t="s">
        <v>383</v>
      </c>
      <c r="H1130" s="3" t="s">
        <v>384</v>
      </c>
      <c r="I1130" s="3" t="s">
        <v>385</v>
      </c>
      <c r="J1130" s="1" t="s">
        <v>386</v>
      </c>
      <c r="K1130" s="1" t="s">
        <v>114</v>
      </c>
      <c r="L1130" s="1" t="s">
        <v>46</v>
      </c>
      <c r="M1130" s="1" t="s">
        <v>12</v>
      </c>
      <c r="N1130" s="7" t="s">
        <v>76</v>
      </c>
      <c r="O1130" s="7" t="s">
        <v>49</v>
      </c>
      <c r="P1130" s="1" t="s">
        <v>49</v>
      </c>
      <c r="Q1130" s="1" t="s">
        <v>49</v>
      </c>
      <c r="R1130" s="1">
        <v>0.5</v>
      </c>
      <c r="S1130" s="1" t="s">
        <v>117</v>
      </c>
      <c r="T1130" s="1" t="s">
        <v>387</v>
      </c>
      <c r="U1130" s="1" t="s">
        <v>388</v>
      </c>
      <c r="V1130" s="1" t="s">
        <v>389</v>
      </c>
      <c r="W1130" s="1">
        <v>55.53</v>
      </c>
      <c r="X1130" s="1">
        <v>13.03</v>
      </c>
      <c r="Y1130" s="1" t="s">
        <v>390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1" t="s">
        <v>243</v>
      </c>
      <c r="AE1130" s="1" t="s">
        <v>126</v>
      </c>
      <c r="AF1130" s="6" t="s">
        <v>49</v>
      </c>
      <c r="AG1130" s="6" t="s">
        <v>49</v>
      </c>
      <c r="AH1130" s="1" t="s">
        <v>340</v>
      </c>
      <c r="AI1130" s="1" t="s">
        <v>55</v>
      </c>
      <c r="AJ1130" s="20" t="s">
        <v>49</v>
      </c>
      <c r="AK1130" s="20" t="s">
        <v>49</v>
      </c>
      <c r="AL1130" s="20" t="s">
        <v>49</v>
      </c>
      <c r="AM1130" s="20" t="s">
        <v>49</v>
      </c>
      <c r="AN1130" s="20" t="s">
        <v>49</v>
      </c>
      <c r="AO1130" s="20" t="s">
        <v>49</v>
      </c>
      <c r="AP1130" s="6">
        <v>1</v>
      </c>
      <c r="AQ1130" s="6">
        <v>0.12</v>
      </c>
      <c r="AR1130" s="6" t="s">
        <v>49</v>
      </c>
      <c r="AS1130" s="6" t="s">
        <v>49</v>
      </c>
      <c r="AT1130" s="6" t="s">
        <v>49</v>
      </c>
      <c r="AU1130" s="6" t="s">
        <v>49</v>
      </c>
      <c r="AV1130" s="6" t="s">
        <v>49</v>
      </c>
      <c r="AW1130" s="30" t="s">
        <v>49</v>
      </c>
    </row>
    <row r="1131" spans="1:50">
      <c r="A1131" s="1">
        <v>33</v>
      </c>
      <c r="B1131" s="1" t="s">
        <v>38</v>
      </c>
      <c r="C1131" s="1" t="s">
        <v>49</v>
      </c>
      <c r="D1131" s="1" t="s">
        <v>382</v>
      </c>
      <c r="E1131" s="1" t="s">
        <v>71</v>
      </c>
      <c r="F1131" s="1">
        <v>1996</v>
      </c>
      <c r="G1131" s="1" t="s">
        <v>383</v>
      </c>
      <c r="H1131" s="3" t="s">
        <v>384</v>
      </c>
      <c r="I1131" s="3" t="s">
        <v>385</v>
      </c>
      <c r="J1131" s="1" t="s">
        <v>386</v>
      </c>
      <c r="K1131" s="1" t="s">
        <v>114</v>
      </c>
      <c r="L1131" s="1" t="s">
        <v>46</v>
      </c>
      <c r="M1131" s="1" t="s">
        <v>12</v>
      </c>
      <c r="N1131" s="7" t="s">
        <v>76</v>
      </c>
      <c r="O1131" s="7" t="s">
        <v>49</v>
      </c>
      <c r="P1131" s="1" t="s">
        <v>49</v>
      </c>
      <c r="Q1131" s="1" t="s">
        <v>49</v>
      </c>
      <c r="R1131" s="1">
        <v>0.5</v>
      </c>
      <c r="S1131" s="1" t="s">
        <v>117</v>
      </c>
      <c r="T1131" s="1" t="s">
        <v>387</v>
      </c>
      <c r="U1131" s="1" t="s">
        <v>388</v>
      </c>
      <c r="V1131" s="1" t="s">
        <v>389</v>
      </c>
      <c r="W1131" s="1">
        <v>55.53</v>
      </c>
      <c r="X1131" s="1">
        <v>13.03</v>
      </c>
      <c r="Y1131" s="1" t="s">
        <v>390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1" t="s">
        <v>243</v>
      </c>
      <c r="AE1131" s="1" t="s">
        <v>125</v>
      </c>
      <c r="AF1131" s="6" t="s">
        <v>49</v>
      </c>
      <c r="AG1131" s="6" t="s">
        <v>49</v>
      </c>
      <c r="AH1131" s="1" t="s">
        <v>340</v>
      </c>
      <c r="AI1131" s="1" t="s">
        <v>55</v>
      </c>
      <c r="AJ1131" s="20" t="s">
        <v>49</v>
      </c>
      <c r="AK1131" s="20" t="s">
        <v>49</v>
      </c>
      <c r="AL1131" s="20" t="s">
        <v>49</v>
      </c>
      <c r="AM1131" s="20" t="s">
        <v>49</v>
      </c>
      <c r="AN1131" s="20" t="s">
        <v>49</v>
      </c>
      <c r="AO1131" s="20" t="s">
        <v>49</v>
      </c>
      <c r="AP1131" s="6">
        <v>1</v>
      </c>
      <c r="AQ1131" s="6">
        <v>0.32</v>
      </c>
      <c r="AR1131" s="6" t="s">
        <v>49</v>
      </c>
      <c r="AS1131" s="6" t="s">
        <v>49</v>
      </c>
      <c r="AT1131" s="6" t="s">
        <v>49</v>
      </c>
      <c r="AU1131" s="6" t="s">
        <v>49</v>
      </c>
      <c r="AV1131" s="6" t="s">
        <v>49</v>
      </c>
      <c r="AW1131" s="30" t="s">
        <v>49</v>
      </c>
    </row>
    <row r="1132" spans="1:50">
      <c r="A1132" s="1">
        <v>33</v>
      </c>
      <c r="B1132" s="1" t="s">
        <v>38</v>
      </c>
      <c r="C1132" s="1" t="s">
        <v>49</v>
      </c>
      <c r="D1132" s="1" t="s">
        <v>382</v>
      </c>
      <c r="E1132" s="1" t="s">
        <v>71</v>
      </c>
      <c r="F1132" s="1">
        <v>1996</v>
      </c>
      <c r="G1132" s="1" t="s">
        <v>383</v>
      </c>
      <c r="H1132" s="3" t="s">
        <v>384</v>
      </c>
      <c r="I1132" s="3" t="s">
        <v>385</v>
      </c>
      <c r="J1132" s="1" t="s">
        <v>386</v>
      </c>
      <c r="K1132" s="1" t="s">
        <v>114</v>
      </c>
      <c r="L1132" s="1" t="s">
        <v>46</v>
      </c>
      <c r="M1132" s="1" t="s">
        <v>12</v>
      </c>
      <c r="N1132" s="7" t="s">
        <v>76</v>
      </c>
      <c r="O1132" s="7" t="s">
        <v>49</v>
      </c>
      <c r="P1132" s="1" t="s">
        <v>49</v>
      </c>
      <c r="Q1132" s="1" t="s">
        <v>49</v>
      </c>
      <c r="R1132" s="1">
        <v>0.5</v>
      </c>
      <c r="S1132" s="1" t="s">
        <v>117</v>
      </c>
      <c r="T1132" s="1" t="s">
        <v>387</v>
      </c>
      <c r="U1132" s="1" t="s">
        <v>388</v>
      </c>
      <c r="V1132" s="1" t="s">
        <v>389</v>
      </c>
      <c r="W1132" s="1">
        <v>55.53</v>
      </c>
      <c r="X1132" s="1">
        <v>13.03</v>
      </c>
      <c r="Y1132" s="1" t="s">
        <v>390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1" t="s">
        <v>243</v>
      </c>
      <c r="AE1132" s="1" t="s">
        <v>234</v>
      </c>
      <c r="AF1132" s="6" t="s">
        <v>49</v>
      </c>
      <c r="AG1132" s="6" t="s">
        <v>49</v>
      </c>
      <c r="AH1132" s="1" t="s">
        <v>340</v>
      </c>
      <c r="AI1132" s="1" t="s">
        <v>55</v>
      </c>
      <c r="AJ1132" s="20" t="s">
        <v>49</v>
      </c>
      <c r="AK1132" s="20" t="s">
        <v>49</v>
      </c>
      <c r="AL1132" s="20" t="s">
        <v>49</v>
      </c>
      <c r="AM1132" s="20" t="s">
        <v>49</v>
      </c>
      <c r="AN1132" s="20" t="s">
        <v>49</v>
      </c>
      <c r="AO1132" s="20" t="s">
        <v>49</v>
      </c>
      <c r="AP1132" s="6">
        <v>1</v>
      </c>
      <c r="AQ1132" s="6">
        <v>-0.32</v>
      </c>
      <c r="AR1132" s="6" t="s">
        <v>49</v>
      </c>
      <c r="AS1132" s="6" t="s">
        <v>49</v>
      </c>
      <c r="AT1132" s="6" t="s">
        <v>49</v>
      </c>
      <c r="AU1132" s="6" t="s">
        <v>49</v>
      </c>
      <c r="AV1132" s="6" t="s">
        <v>49</v>
      </c>
      <c r="AW1132" s="30" t="s">
        <v>49</v>
      </c>
    </row>
    <row r="1133" spans="1:50">
      <c r="A1133" s="1">
        <v>33</v>
      </c>
      <c r="B1133" s="1" t="s">
        <v>38</v>
      </c>
      <c r="C1133" s="1" t="s">
        <v>49</v>
      </c>
      <c r="D1133" s="1" t="s">
        <v>382</v>
      </c>
      <c r="E1133" s="1" t="s">
        <v>71</v>
      </c>
      <c r="F1133" s="1">
        <v>1996</v>
      </c>
      <c r="G1133" s="1" t="s">
        <v>383</v>
      </c>
      <c r="H1133" s="3" t="s">
        <v>384</v>
      </c>
      <c r="I1133" s="3" t="s">
        <v>385</v>
      </c>
      <c r="J1133" s="1" t="s">
        <v>386</v>
      </c>
      <c r="K1133" s="1" t="s">
        <v>114</v>
      </c>
      <c r="L1133" s="1" t="s">
        <v>46</v>
      </c>
      <c r="M1133" s="1" t="s">
        <v>12</v>
      </c>
      <c r="N1133" s="7" t="s">
        <v>76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117</v>
      </c>
      <c r="T1133" s="1" t="s">
        <v>387</v>
      </c>
      <c r="U1133" s="1" t="s">
        <v>388</v>
      </c>
      <c r="V1133" s="1" t="s">
        <v>389</v>
      </c>
      <c r="W1133" s="1">
        <v>55.53</v>
      </c>
      <c r="X1133" s="1">
        <v>13.03</v>
      </c>
      <c r="Y1133" s="1" t="s">
        <v>390</v>
      </c>
      <c r="Z1133" s="6" t="s">
        <v>49</v>
      </c>
      <c r="AA1133" s="6" t="s">
        <v>49</v>
      </c>
      <c r="AB1133" s="6" t="s">
        <v>49</v>
      </c>
      <c r="AC1133" s="6" t="s">
        <v>49</v>
      </c>
      <c r="AD1133" s="1" t="s">
        <v>243</v>
      </c>
      <c r="AE1133" s="1" t="s">
        <v>85</v>
      </c>
      <c r="AF1133" s="6" t="s">
        <v>49</v>
      </c>
      <c r="AG1133" s="6" t="s">
        <v>49</v>
      </c>
      <c r="AH1133" s="1" t="s">
        <v>340</v>
      </c>
      <c r="AI1133" s="1" t="s">
        <v>55</v>
      </c>
      <c r="AJ1133" s="20" t="s">
        <v>49</v>
      </c>
      <c r="AK1133" s="20" t="s">
        <v>49</v>
      </c>
      <c r="AL1133" s="20" t="s">
        <v>49</v>
      </c>
      <c r="AM1133" s="20" t="s">
        <v>49</v>
      </c>
      <c r="AN1133" s="20" t="s">
        <v>49</v>
      </c>
      <c r="AO1133" s="20" t="s">
        <v>49</v>
      </c>
      <c r="AP1133" s="6">
        <v>1</v>
      </c>
      <c r="AQ1133" s="6">
        <v>0.55000000000000004</v>
      </c>
      <c r="AR1133" s="6" t="s">
        <v>49</v>
      </c>
      <c r="AS1133" s="6" t="s">
        <v>49</v>
      </c>
      <c r="AT1133" s="6" t="s">
        <v>49</v>
      </c>
      <c r="AU1133" s="6" t="s">
        <v>49</v>
      </c>
      <c r="AV1133" s="6" t="s">
        <v>49</v>
      </c>
      <c r="AW1133" s="30" t="s">
        <v>49</v>
      </c>
    </row>
    <row r="1134" spans="1:50">
      <c r="A1134" s="1">
        <v>33</v>
      </c>
      <c r="B1134" s="1" t="s">
        <v>38</v>
      </c>
      <c r="C1134" s="1" t="s">
        <v>49</v>
      </c>
      <c r="D1134" s="1" t="s">
        <v>382</v>
      </c>
      <c r="E1134" s="1" t="s">
        <v>71</v>
      </c>
      <c r="F1134" s="1">
        <v>1996</v>
      </c>
      <c r="G1134" s="1" t="s">
        <v>383</v>
      </c>
      <c r="H1134" s="3" t="s">
        <v>384</v>
      </c>
      <c r="I1134" s="3" t="s">
        <v>385</v>
      </c>
      <c r="J1134" s="1" t="s">
        <v>386</v>
      </c>
      <c r="K1134" s="1" t="s">
        <v>114</v>
      </c>
      <c r="L1134" s="1" t="s">
        <v>46</v>
      </c>
      <c r="M1134" s="1" t="s">
        <v>12</v>
      </c>
      <c r="N1134" s="7" t="s">
        <v>76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117</v>
      </c>
      <c r="T1134" s="1" t="s">
        <v>387</v>
      </c>
      <c r="U1134" s="1" t="s">
        <v>388</v>
      </c>
      <c r="V1134" s="1" t="s">
        <v>389</v>
      </c>
      <c r="W1134" s="1">
        <v>55.53</v>
      </c>
      <c r="X1134" s="1">
        <v>13.03</v>
      </c>
      <c r="Y1134" s="1" t="s">
        <v>390</v>
      </c>
      <c r="Z1134" s="6" t="s">
        <v>49</v>
      </c>
      <c r="AA1134" s="6" t="s">
        <v>49</v>
      </c>
      <c r="AB1134" s="6" t="s">
        <v>49</v>
      </c>
      <c r="AC1134" s="6" t="s">
        <v>49</v>
      </c>
      <c r="AD1134" s="1" t="s">
        <v>243</v>
      </c>
      <c r="AE1134" s="1" t="s">
        <v>391</v>
      </c>
      <c r="AF1134" s="6" t="s">
        <v>49</v>
      </c>
      <c r="AG1134" s="6" t="s">
        <v>49</v>
      </c>
      <c r="AH1134" s="1" t="s">
        <v>340</v>
      </c>
      <c r="AI1134" s="1" t="s">
        <v>55</v>
      </c>
      <c r="AJ1134" s="20" t="s">
        <v>49</v>
      </c>
      <c r="AK1134" s="20" t="s">
        <v>49</v>
      </c>
      <c r="AL1134" s="20" t="s">
        <v>49</v>
      </c>
      <c r="AM1134" s="20" t="s">
        <v>49</v>
      </c>
      <c r="AN1134" s="20" t="s">
        <v>49</v>
      </c>
      <c r="AO1134" s="20" t="s">
        <v>49</v>
      </c>
      <c r="AP1134" s="6">
        <v>1</v>
      </c>
      <c r="AQ1134" s="6">
        <v>0.46</v>
      </c>
      <c r="AR1134" s="6" t="s">
        <v>49</v>
      </c>
      <c r="AS1134" s="6" t="s">
        <v>49</v>
      </c>
      <c r="AT1134" s="6" t="s">
        <v>49</v>
      </c>
      <c r="AU1134" s="6" t="s">
        <v>49</v>
      </c>
      <c r="AV1134" s="6" t="s">
        <v>49</v>
      </c>
      <c r="AW1134" s="30" t="s">
        <v>49</v>
      </c>
    </row>
    <row r="1135" spans="1:50">
      <c r="A1135" s="1">
        <v>33</v>
      </c>
      <c r="B1135" s="1" t="s">
        <v>38</v>
      </c>
      <c r="C1135" s="1" t="s">
        <v>49</v>
      </c>
      <c r="D1135" s="1" t="s">
        <v>382</v>
      </c>
      <c r="E1135" s="1" t="s">
        <v>71</v>
      </c>
      <c r="F1135" s="1">
        <v>1996</v>
      </c>
      <c r="G1135" s="1" t="s">
        <v>383</v>
      </c>
      <c r="H1135" s="3" t="s">
        <v>384</v>
      </c>
      <c r="I1135" s="3" t="s">
        <v>385</v>
      </c>
      <c r="J1135" s="1" t="s">
        <v>386</v>
      </c>
      <c r="K1135" s="1" t="s">
        <v>114</v>
      </c>
      <c r="L1135" s="1" t="s">
        <v>46</v>
      </c>
      <c r="M1135" s="1" t="s">
        <v>12</v>
      </c>
      <c r="N1135" s="7" t="s">
        <v>76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117</v>
      </c>
      <c r="T1135" s="1" t="s">
        <v>387</v>
      </c>
      <c r="U1135" s="1" t="s">
        <v>388</v>
      </c>
      <c r="V1135" s="1" t="s">
        <v>389</v>
      </c>
      <c r="W1135" s="1">
        <v>55.53</v>
      </c>
      <c r="X1135" s="1">
        <v>13.03</v>
      </c>
      <c r="Y1135" s="1" t="s">
        <v>390</v>
      </c>
      <c r="Z1135" s="6" t="s">
        <v>49</v>
      </c>
      <c r="AA1135" s="6" t="s">
        <v>49</v>
      </c>
      <c r="AB1135" s="6" t="s">
        <v>49</v>
      </c>
      <c r="AC1135" s="6" t="s">
        <v>49</v>
      </c>
      <c r="AD1135" s="1" t="s">
        <v>126</v>
      </c>
      <c r="AE1135" s="1" t="s">
        <v>125</v>
      </c>
      <c r="AF1135" s="6" t="s">
        <v>49</v>
      </c>
      <c r="AG1135" s="6" t="s">
        <v>49</v>
      </c>
      <c r="AH1135" s="1" t="s">
        <v>340</v>
      </c>
      <c r="AI1135" s="1" t="s">
        <v>55</v>
      </c>
      <c r="AJ1135" s="20" t="s">
        <v>49</v>
      </c>
      <c r="AK1135" s="20" t="s">
        <v>49</v>
      </c>
      <c r="AL1135" s="20" t="s">
        <v>49</v>
      </c>
      <c r="AM1135" s="20" t="s">
        <v>49</v>
      </c>
      <c r="AN1135" s="20" t="s">
        <v>49</v>
      </c>
      <c r="AO1135" s="20" t="s">
        <v>49</v>
      </c>
      <c r="AP1135" s="6">
        <v>1</v>
      </c>
      <c r="AQ1135" s="6">
        <v>0.61</v>
      </c>
      <c r="AR1135" s="6" t="s">
        <v>49</v>
      </c>
      <c r="AS1135" s="6" t="s">
        <v>49</v>
      </c>
      <c r="AT1135" s="6" t="s">
        <v>49</v>
      </c>
      <c r="AU1135" s="6" t="s">
        <v>49</v>
      </c>
      <c r="AV1135" s="6" t="s">
        <v>49</v>
      </c>
      <c r="AW1135" s="30" t="s">
        <v>49</v>
      </c>
    </row>
    <row r="1136" spans="1:50">
      <c r="A1136" s="1">
        <v>33</v>
      </c>
      <c r="B1136" s="1" t="s">
        <v>38</v>
      </c>
      <c r="C1136" s="1" t="s">
        <v>49</v>
      </c>
      <c r="D1136" s="1" t="s">
        <v>382</v>
      </c>
      <c r="E1136" s="1" t="s">
        <v>71</v>
      </c>
      <c r="F1136" s="1">
        <v>1996</v>
      </c>
      <c r="G1136" s="1" t="s">
        <v>383</v>
      </c>
      <c r="H1136" s="3" t="s">
        <v>384</v>
      </c>
      <c r="I1136" s="3" t="s">
        <v>385</v>
      </c>
      <c r="J1136" s="1" t="s">
        <v>386</v>
      </c>
      <c r="K1136" s="1" t="s">
        <v>114</v>
      </c>
      <c r="L1136" s="1" t="s">
        <v>46</v>
      </c>
      <c r="M1136" s="1" t="s">
        <v>12</v>
      </c>
      <c r="N1136" s="7" t="s">
        <v>76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117</v>
      </c>
      <c r="T1136" s="1" t="s">
        <v>387</v>
      </c>
      <c r="U1136" s="1" t="s">
        <v>388</v>
      </c>
      <c r="V1136" s="1" t="s">
        <v>389</v>
      </c>
      <c r="W1136" s="1">
        <v>55.53</v>
      </c>
      <c r="X1136" s="1">
        <v>13.03</v>
      </c>
      <c r="Y1136" s="1" t="s">
        <v>390</v>
      </c>
      <c r="Z1136" s="6" t="s">
        <v>49</v>
      </c>
      <c r="AA1136" s="6" t="s">
        <v>49</v>
      </c>
      <c r="AB1136" s="6" t="s">
        <v>49</v>
      </c>
      <c r="AC1136" s="6" t="s">
        <v>49</v>
      </c>
      <c r="AD1136" s="1" t="s">
        <v>126</v>
      </c>
      <c r="AE1136" s="1" t="s">
        <v>234</v>
      </c>
      <c r="AF1136" s="6" t="s">
        <v>49</v>
      </c>
      <c r="AG1136" s="6" t="s">
        <v>49</v>
      </c>
      <c r="AH1136" s="1" t="s">
        <v>340</v>
      </c>
      <c r="AI1136" s="1" t="s">
        <v>55</v>
      </c>
      <c r="AJ1136" s="20" t="s">
        <v>49</v>
      </c>
      <c r="AK1136" s="20" t="s">
        <v>49</v>
      </c>
      <c r="AL1136" s="20" t="s">
        <v>49</v>
      </c>
      <c r="AM1136" s="20" t="s">
        <v>49</v>
      </c>
      <c r="AN1136" s="20" t="s">
        <v>49</v>
      </c>
      <c r="AO1136" s="20" t="s">
        <v>49</v>
      </c>
      <c r="AP1136" s="6">
        <v>1</v>
      </c>
      <c r="AQ1136" s="6">
        <v>0.41</v>
      </c>
      <c r="AR1136" s="6" t="s">
        <v>49</v>
      </c>
      <c r="AS1136" s="6" t="s">
        <v>49</v>
      </c>
      <c r="AT1136" s="6" t="s">
        <v>49</v>
      </c>
      <c r="AU1136" s="6" t="s">
        <v>49</v>
      </c>
      <c r="AV1136" s="6" t="s">
        <v>49</v>
      </c>
      <c r="AW1136" s="30" t="s">
        <v>49</v>
      </c>
    </row>
    <row r="1137" spans="1:49">
      <c r="A1137" s="1">
        <v>33</v>
      </c>
      <c r="B1137" s="1" t="s">
        <v>38</v>
      </c>
      <c r="C1137" s="1" t="s">
        <v>49</v>
      </c>
      <c r="D1137" s="1" t="s">
        <v>382</v>
      </c>
      <c r="E1137" s="1" t="s">
        <v>71</v>
      </c>
      <c r="F1137" s="1">
        <v>1996</v>
      </c>
      <c r="G1137" s="1" t="s">
        <v>383</v>
      </c>
      <c r="H1137" s="3" t="s">
        <v>384</v>
      </c>
      <c r="I1137" s="3" t="s">
        <v>385</v>
      </c>
      <c r="J1137" s="1" t="s">
        <v>386</v>
      </c>
      <c r="K1137" s="1" t="s">
        <v>114</v>
      </c>
      <c r="L1137" s="1" t="s">
        <v>46</v>
      </c>
      <c r="M1137" s="1" t="s">
        <v>12</v>
      </c>
      <c r="N1137" s="7" t="s">
        <v>76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117</v>
      </c>
      <c r="T1137" s="1" t="s">
        <v>387</v>
      </c>
      <c r="U1137" s="1" t="s">
        <v>388</v>
      </c>
      <c r="V1137" s="1" t="s">
        <v>389</v>
      </c>
      <c r="W1137" s="1">
        <v>55.53</v>
      </c>
      <c r="X1137" s="1">
        <v>13.03</v>
      </c>
      <c r="Y1137" s="1" t="s">
        <v>390</v>
      </c>
      <c r="Z1137" s="6" t="s">
        <v>49</v>
      </c>
      <c r="AA1137" s="6" t="s">
        <v>49</v>
      </c>
      <c r="AB1137" s="6" t="s">
        <v>49</v>
      </c>
      <c r="AC1137" s="6" t="s">
        <v>49</v>
      </c>
      <c r="AD1137" s="1" t="s">
        <v>126</v>
      </c>
      <c r="AE1137" s="1" t="s">
        <v>85</v>
      </c>
      <c r="AF1137" s="6" t="s">
        <v>49</v>
      </c>
      <c r="AG1137" s="6" t="s">
        <v>49</v>
      </c>
      <c r="AH1137" s="1" t="s">
        <v>340</v>
      </c>
      <c r="AI1137" s="1" t="s">
        <v>55</v>
      </c>
      <c r="AJ1137" s="20" t="s">
        <v>49</v>
      </c>
      <c r="AK1137" s="20" t="s">
        <v>49</v>
      </c>
      <c r="AL1137" s="20" t="s">
        <v>49</v>
      </c>
      <c r="AM1137" s="20" t="s">
        <v>49</v>
      </c>
      <c r="AN1137" s="20" t="s">
        <v>49</v>
      </c>
      <c r="AO1137" s="20" t="s">
        <v>49</v>
      </c>
      <c r="AP1137" s="6">
        <v>1</v>
      </c>
      <c r="AQ1137" s="6">
        <v>0.86</v>
      </c>
      <c r="AR1137" s="6" t="s">
        <v>49</v>
      </c>
      <c r="AS1137" s="6" t="s">
        <v>49</v>
      </c>
      <c r="AT1137" s="6" t="s">
        <v>49</v>
      </c>
      <c r="AU1137" s="6" t="s">
        <v>49</v>
      </c>
      <c r="AV1137" s="6" t="s">
        <v>49</v>
      </c>
      <c r="AW1137" s="30" t="s">
        <v>49</v>
      </c>
    </row>
    <row r="1138" spans="1:49">
      <c r="A1138" s="1">
        <v>33</v>
      </c>
      <c r="B1138" s="1" t="s">
        <v>38</v>
      </c>
      <c r="C1138" s="1" t="s">
        <v>49</v>
      </c>
      <c r="D1138" s="1" t="s">
        <v>382</v>
      </c>
      <c r="E1138" s="1" t="s">
        <v>71</v>
      </c>
      <c r="F1138" s="1">
        <v>1996</v>
      </c>
      <c r="G1138" s="1" t="s">
        <v>383</v>
      </c>
      <c r="H1138" s="3" t="s">
        <v>384</v>
      </c>
      <c r="I1138" s="3" t="s">
        <v>385</v>
      </c>
      <c r="J1138" s="1" t="s">
        <v>386</v>
      </c>
      <c r="K1138" s="1" t="s">
        <v>114</v>
      </c>
      <c r="L1138" s="1" t="s">
        <v>46</v>
      </c>
      <c r="M1138" s="1" t="s">
        <v>12</v>
      </c>
      <c r="N1138" s="7" t="s">
        <v>76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117</v>
      </c>
      <c r="T1138" s="1" t="s">
        <v>387</v>
      </c>
      <c r="U1138" s="1" t="s">
        <v>388</v>
      </c>
      <c r="V1138" s="1" t="s">
        <v>389</v>
      </c>
      <c r="W1138" s="1">
        <v>55.53</v>
      </c>
      <c r="X1138" s="1">
        <v>13.03</v>
      </c>
      <c r="Y1138" s="1" t="s">
        <v>390</v>
      </c>
      <c r="Z1138" s="6" t="s">
        <v>49</v>
      </c>
      <c r="AA1138" s="6" t="s">
        <v>49</v>
      </c>
      <c r="AB1138" s="6" t="s">
        <v>49</v>
      </c>
      <c r="AC1138" s="6" t="s">
        <v>49</v>
      </c>
      <c r="AD1138" s="1" t="s">
        <v>126</v>
      </c>
      <c r="AE1138" s="1" t="s">
        <v>391</v>
      </c>
      <c r="AF1138" s="6" t="s">
        <v>49</v>
      </c>
      <c r="AG1138" s="6" t="s">
        <v>49</v>
      </c>
      <c r="AH1138" s="1" t="s">
        <v>340</v>
      </c>
      <c r="AI1138" s="1" t="s">
        <v>55</v>
      </c>
      <c r="AJ1138" s="20" t="s">
        <v>49</v>
      </c>
      <c r="AK1138" s="20" t="s">
        <v>49</v>
      </c>
      <c r="AL1138" s="20" t="s">
        <v>49</v>
      </c>
      <c r="AM1138" s="20" t="s">
        <v>49</v>
      </c>
      <c r="AN1138" s="20" t="s">
        <v>49</v>
      </c>
      <c r="AO1138" s="20" t="s">
        <v>49</v>
      </c>
      <c r="AP1138" s="6">
        <v>1</v>
      </c>
      <c r="AQ1138" s="6">
        <v>-0.23</v>
      </c>
      <c r="AR1138" s="6" t="s">
        <v>49</v>
      </c>
      <c r="AS1138" s="6" t="s">
        <v>49</v>
      </c>
      <c r="AT1138" s="6" t="s">
        <v>49</v>
      </c>
      <c r="AU1138" s="6" t="s">
        <v>49</v>
      </c>
      <c r="AV1138" s="6" t="s">
        <v>49</v>
      </c>
      <c r="AW1138" s="30" t="s">
        <v>49</v>
      </c>
    </row>
    <row r="1139" spans="1:49">
      <c r="A1139" s="1">
        <v>33</v>
      </c>
      <c r="B1139" s="1" t="s">
        <v>38</v>
      </c>
      <c r="C1139" s="1" t="s">
        <v>49</v>
      </c>
      <c r="D1139" s="1" t="s">
        <v>382</v>
      </c>
      <c r="E1139" s="1" t="s">
        <v>71</v>
      </c>
      <c r="F1139" s="1">
        <v>1996</v>
      </c>
      <c r="G1139" s="1" t="s">
        <v>383</v>
      </c>
      <c r="H1139" s="3" t="s">
        <v>384</v>
      </c>
      <c r="I1139" s="3" t="s">
        <v>385</v>
      </c>
      <c r="J1139" s="1" t="s">
        <v>386</v>
      </c>
      <c r="K1139" s="1" t="s">
        <v>114</v>
      </c>
      <c r="L1139" s="1" t="s">
        <v>46</v>
      </c>
      <c r="M1139" s="1" t="s">
        <v>12</v>
      </c>
      <c r="N1139" s="7" t="s">
        <v>76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117</v>
      </c>
      <c r="T1139" s="1" t="s">
        <v>387</v>
      </c>
      <c r="U1139" s="1" t="s">
        <v>388</v>
      </c>
      <c r="V1139" s="1" t="s">
        <v>389</v>
      </c>
      <c r="W1139" s="1">
        <v>55.53</v>
      </c>
      <c r="X1139" s="1">
        <v>13.03</v>
      </c>
      <c r="Y1139" s="1" t="s">
        <v>390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125</v>
      </c>
      <c r="AE1139" s="1" t="s">
        <v>234</v>
      </c>
      <c r="AF1139" s="6" t="s">
        <v>49</v>
      </c>
      <c r="AG1139" s="6" t="s">
        <v>49</v>
      </c>
      <c r="AH1139" s="1" t="s">
        <v>340</v>
      </c>
      <c r="AI1139" s="1" t="s">
        <v>55</v>
      </c>
      <c r="AJ1139" s="20" t="s">
        <v>49</v>
      </c>
      <c r="AK1139" s="20" t="s">
        <v>49</v>
      </c>
      <c r="AL1139" s="20" t="s">
        <v>49</v>
      </c>
      <c r="AM1139" s="20" t="s">
        <v>49</v>
      </c>
      <c r="AN1139" s="20" t="s">
        <v>49</v>
      </c>
      <c r="AO1139" s="20" t="s">
        <v>49</v>
      </c>
      <c r="AP1139" s="6">
        <v>1</v>
      </c>
      <c r="AQ1139" s="6">
        <v>0.09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6" t="s">
        <v>49</v>
      </c>
      <c r="AW1139" s="30" t="s">
        <v>49</v>
      </c>
    </row>
    <row r="1140" spans="1:49">
      <c r="A1140" s="1">
        <v>33</v>
      </c>
      <c r="B1140" s="1" t="s">
        <v>38</v>
      </c>
      <c r="C1140" s="1" t="s">
        <v>49</v>
      </c>
      <c r="D1140" s="1" t="s">
        <v>382</v>
      </c>
      <c r="E1140" s="1" t="s">
        <v>71</v>
      </c>
      <c r="F1140" s="1">
        <v>1996</v>
      </c>
      <c r="G1140" s="1" t="s">
        <v>383</v>
      </c>
      <c r="H1140" s="3" t="s">
        <v>384</v>
      </c>
      <c r="I1140" s="3" t="s">
        <v>385</v>
      </c>
      <c r="J1140" s="1" t="s">
        <v>386</v>
      </c>
      <c r="K1140" s="1" t="s">
        <v>114</v>
      </c>
      <c r="L1140" s="1" t="s">
        <v>46</v>
      </c>
      <c r="M1140" s="1" t="s">
        <v>12</v>
      </c>
      <c r="N1140" s="7" t="s">
        <v>76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117</v>
      </c>
      <c r="T1140" s="1" t="s">
        <v>387</v>
      </c>
      <c r="U1140" s="1" t="s">
        <v>388</v>
      </c>
      <c r="V1140" s="1" t="s">
        <v>389</v>
      </c>
      <c r="W1140" s="1">
        <v>55.53</v>
      </c>
      <c r="X1140" s="1">
        <v>13.03</v>
      </c>
      <c r="Y1140" s="1" t="s">
        <v>390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125</v>
      </c>
      <c r="AE1140" s="1" t="s">
        <v>85</v>
      </c>
      <c r="AF1140" s="6" t="s">
        <v>49</v>
      </c>
      <c r="AG1140" s="6" t="s">
        <v>49</v>
      </c>
      <c r="AH1140" s="1" t="s">
        <v>340</v>
      </c>
      <c r="AI1140" s="1" t="s">
        <v>55</v>
      </c>
      <c r="AJ1140" s="20" t="s">
        <v>49</v>
      </c>
      <c r="AK1140" s="20" t="s">
        <v>49</v>
      </c>
      <c r="AL1140" s="20" t="s">
        <v>49</v>
      </c>
      <c r="AM1140" s="20" t="s">
        <v>49</v>
      </c>
      <c r="AN1140" s="20" t="s">
        <v>49</v>
      </c>
      <c r="AO1140" s="20" t="s">
        <v>49</v>
      </c>
      <c r="AP1140" s="6">
        <v>1</v>
      </c>
      <c r="AQ1140" s="6">
        <v>0.5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6" t="s">
        <v>49</v>
      </c>
      <c r="AW1140" s="30" t="s">
        <v>49</v>
      </c>
    </row>
    <row r="1141" spans="1:49">
      <c r="A1141" s="1">
        <v>33</v>
      </c>
      <c r="B1141" s="1" t="s">
        <v>38</v>
      </c>
      <c r="C1141" s="1" t="s">
        <v>49</v>
      </c>
      <c r="D1141" s="1" t="s">
        <v>382</v>
      </c>
      <c r="E1141" s="1" t="s">
        <v>71</v>
      </c>
      <c r="F1141" s="1">
        <v>1996</v>
      </c>
      <c r="G1141" s="1" t="s">
        <v>383</v>
      </c>
      <c r="H1141" s="3" t="s">
        <v>384</v>
      </c>
      <c r="I1141" s="3" t="s">
        <v>385</v>
      </c>
      <c r="J1141" s="1" t="s">
        <v>386</v>
      </c>
      <c r="K1141" s="1" t="s">
        <v>114</v>
      </c>
      <c r="L1141" s="1" t="s">
        <v>46</v>
      </c>
      <c r="M1141" s="1" t="s">
        <v>12</v>
      </c>
      <c r="N1141" s="7" t="s">
        <v>76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117</v>
      </c>
      <c r="T1141" s="1" t="s">
        <v>387</v>
      </c>
      <c r="U1141" s="1" t="s">
        <v>388</v>
      </c>
      <c r="V1141" s="1" t="s">
        <v>389</v>
      </c>
      <c r="W1141" s="1">
        <v>55.53</v>
      </c>
      <c r="X1141" s="1">
        <v>13.03</v>
      </c>
      <c r="Y1141" s="1" t="s">
        <v>390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125</v>
      </c>
      <c r="AE1141" s="1" t="s">
        <v>391</v>
      </c>
      <c r="AF1141" s="6" t="s">
        <v>49</v>
      </c>
      <c r="AG1141" s="6" t="s">
        <v>49</v>
      </c>
      <c r="AH1141" s="1" t="s">
        <v>340</v>
      </c>
      <c r="AI1141" s="1" t="s">
        <v>55</v>
      </c>
      <c r="AJ1141" s="20" t="s">
        <v>49</v>
      </c>
      <c r="AK1141" s="20" t="s">
        <v>49</v>
      </c>
      <c r="AL1141" s="20" t="s">
        <v>49</v>
      </c>
      <c r="AM1141" s="20" t="s">
        <v>49</v>
      </c>
      <c r="AN1141" s="20" t="s">
        <v>49</v>
      </c>
      <c r="AO1141" s="20" t="s">
        <v>49</v>
      </c>
      <c r="AP1141" s="6">
        <v>1</v>
      </c>
      <c r="AQ1141" s="6">
        <v>-0.06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6" t="s">
        <v>49</v>
      </c>
      <c r="AW1141" s="30" t="s">
        <v>49</v>
      </c>
    </row>
    <row r="1142" spans="1:49">
      <c r="A1142" s="1">
        <v>33</v>
      </c>
      <c r="B1142" s="1" t="s">
        <v>38</v>
      </c>
      <c r="C1142" s="1" t="s">
        <v>49</v>
      </c>
      <c r="D1142" s="1" t="s">
        <v>382</v>
      </c>
      <c r="E1142" s="1" t="s">
        <v>71</v>
      </c>
      <c r="F1142" s="1">
        <v>1996</v>
      </c>
      <c r="G1142" s="1" t="s">
        <v>383</v>
      </c>
      <c r="H1142" s="3" t="s">
        <v>384</v>
      </c>
      <c r="I1142" s="3" t="s">
        <v>385</v>
      </c>
      <c r="J1142" s="1" t="s">
        <v>386</v>
      </c>
      <c r="K1142" s="1" t="s">
        <v>114</v>
      </c>
      <c r="L1142" s="1" t="s">
        <v>46</v>
      </c>
      <c r="M1142" s="1" t="s">
        <v>12</v>
      </c>
      <c r="N1142" s="7" t="s">
        <v>76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117</v>
      </c>
      <c r="T1142" s="1" t="s">
        <v>387</v>
      </c>
      <c r="U1142" s="1" t="s">
        <v>388</v>
      </c>
      <c r="V1142" s="1" t="s">
        <v>389</v>
      </c>
      <c r="W1142" s="1">
        <v>55.53</v>
      </c>
      <c r="X1142" s="1">
        <v>13.03</v>
      </c>
      <c r="Y1142" s="1" t="s">
        <v>390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234</v>
      </c>
      <c r="AE1142" s="1" t="s">
        <v>85</v>
      </c>
      <c r="AF1142" s="6" t="s">
        <v>49</v>
      </c>
      <c r="AG1142" s="6" t="s">
        <v>49</v>
      </c>
      <c r="AH1142" s="1" t="s">
        <v>340</v>
      </c>
      <c r="AI1142" s="1" t="s">
        <v>55</v>
      </c>
      <c r="AJ1142" s="20" t="s">
        <v>49</v>
      </c>
      <c r="AK1142" s="20" t="s">
        <v>49</v>
      </c>
      <c r="AL1142" s="20" t="s">
        <v>49</v>
      </c>
      <c r="AM1142" s="20" t="s">
        <v>49</v>
      </c>
      <c r="AN1142" s="20" t="s">
        <v>49</v>
      </c>
      <c r="AO1142" s="20" t="s">
        <v>49</v>
      </c>
      <c r="AP1142" s="6">
        <v>1</v>
      </c>
      <c r="AQ1142" s="6">
        <v>0.32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6" t="s">
        <v>49</v>
      </c>
      <c r="AW1142" s="30" t="s">
        <v>49</v>
      </c>
    </row>
    <row r="1143" spans="1:49">
      <c r="A1143" s="1">
        <v>33</v>
      </c>
      <c r="B1143" s="1" t="s">
        <v>38</v>
      </c>
      <c r="C1143" s="1" t="s">
        <v>49</v>
      </c>
      <c r="D1143" s="1" t="s">
        <v>382</v>
      </c>
      <c r="E1143" s="1" t="s">
        <v>71</v>
      </c>
      <c r="F1143" s="1">
        <v>1996</v>
      </c>
      <c r="G1143" s="1" t="s">
        <v>383</v>
      </c>
      <c r="H1143" s="3" t="s">
        <v>384</v>
      </c>
      <c r="I1143" s="3" t="s">
        <v>385</v>
      </c>
      <c r="J1143" s="1" t="s">
        <v>386</v>
      </c>
      <c r="K1143" s="1" t="s">
        <v>114</v>
      </c>
      <c r="L1143" s="1" t="s">
        <v>46</v>
      </c>
      <c r="M1143" s="1" t="s">
        <v>12</v>
      </c>
      <c r="N1143" s="7" t="s">
        <v>76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117</v>
      </c>
      <c r="T1143" s="1" t="s">
        <v>387</v>
      </c>
      <c r="U1143" s="1" t="s">
        <v>388</v>
      </c>
      <c r="V1143" s="1" t="s">
        <v>389</v>
      </c>
      <c r="W1143" s="1">
        <v>55.53</v>
      </c>
      <c r="X1143" s="1">
        <v>13.03</v>
      </c>
      <c r="Y1143" s="1" t="s">
        <v>390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234</v>
      </c>
      <c r="AE1143" s="1" t="s">
        <v>391</v>
      </c>
      <c r="AF1143" s="6" t="s">
        <v>49</v>
      </c>
      <c r="AG1143" s="6" t="s">
        <v>49</v>
      </c>
      <c r="AH1143" s="1" t="s">
        <v>340</v>
      </c>
      <c r="AI1143" s="1" t="s">
        <v>55</v>
      </c>
      <c r="AJ1143" s="20" t="s">
        <v>49</v>
      </c>
      <c r="AK1143" s="20" t="s">
        <v>49</v>
      </c>
      <c r="AL1143" s="20" t="s">
        <v>49</v>
      </c>
      <c r="AM1143" s="20" t="s">
        <v>49</v>
      </c>
      <c r="AN1143" s="20" t="s">
        <v>49</v>
      </c>
      <c r="AO1143" s="20" t="s">
        <v>49</v>
      </c>
      <c r="AP1143" s="6">
        <v>1</v>
      </c>
      <c r="AQ1143" s="6">
        <v>-0.82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6" t="s">
        <v>49</v>
      </c>
      <c r="AW1143" s="30" t="s">
        <v>49</v>
      </c>
    </row>
    <row r="1144" spans="1:49">
      <c r="A1144" s="1">
        <v>33</v>
      </c>
      <c r="B1144" s="1" t="s">
        <v>38</v>
      </c>
      <c r="C1144" s="1" t="s">
        <v>49</v>
      </c>
      <c r="D1144" s="1" t="s">
        <v>382</v>
      </c>
      <c r="E1144" s="1" t="s">
        <v>71</v>
      </c>
      <c r="F1144" s="1">
        <v>1996</v>
      </c>
      <c r="G1144" s="1" t="s">
        <v>383</v>
      </c>
      <c r="H1144" s="3" t="s">
        <v>384</v>
      </c>
      <c r="I1144" s="3" t="s">
        <v>385</v>
      </c>
      <c r="J1144" s="1" t="s">
        <v>386</v>
      </c>
      <c r="K1144" s="1" t="s">
        <v>114</v>
      </c>
      <c r="L1144" s="1" t="s">
        <v>46</v>
      </c>
      <c r="M1144" s="1" t="s">
        <v>12</v>
      </c>
      <c r="N1144" s="7" t="s">
        <v>76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117</v>
      </c>
      <c r="T1144" s="1" t="s">
        <v>387</v>
      </c>
      <c r="U1144" s="1" t="s">
        <v>388</v>
      </c>
      <c r="V1144" s="1" t="s">
        <v>389</v>
      </c>
      <c r="W1144" s="1">
        <v>55.53</v>
      </c>
      <c r="X1144" s="1">
        <v>13.03</v>
      </c>
      <c r="Y1144" s="1" t="s">
        <v>390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85</v>
      </c>
      <c r="AE1144" s="1" t="s">
        <v>391</v>
      </c>
      <c r="AF1144" s="6" t="s">
        <v>49</v>
      </c>
      <c r="AG1144" s="6" t="s">
        <v>49</v>
      </c>
      <c r="AH1144" s="1" t="s">
        <v>340</v>
      </c>
      <c r="AI1144" s="1" t="s">
        <v>55</v>
      </c>
      <c r="AJ1144" s="20" t="s">
        <v>49</v>
      </c>
      <c r="AK1144" s="20" t="s">
        <v>49</v>
      </c>
      <c r="AL1144" s="20" t="s">
        <v>49</v>
      </c>
      <c r="AM1144" s="20" t="s">
        <v>49</v>
      </c>
      <c r="AN1144" s="20" t="s">
        <v>49</v>
      </c>
      <c r="AO1144" s="20" t="s">
        <v>49</v>
      </c>
      <c r="AP1144" s="6">
        <v>1</v>
      </c>
      <c r="AQ1144" s="6">
        <v>-7.0000000000000007E-2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6" t="s">
        <v>49</v>
      </c>
      <c r="AW1144" s="30" t="s">
        <v>49</v>
      </c>
    </row>
    <row r="1145" spans="1:49" ht="14.4" customHeight="1">
      <c r="A1145" s="1">
        <v>34</v>
      </c>
      <c r="B1145" s="1" t="s">
        <v>38</v>
      </c>
      <c r="C1145" s="6" t="s">
        <v>38</v>
      </c>
      <c r="D1145" s="1" t="s">
        <v>550</v>
      </c>
      <c r="E1145" s="1" t="s">
        <v>40</v>
      </c>
      <c r="F1145" s="1">
        <v>2008</v>
      </c>
      <c r="G1145" s="1" t="s">
        <v>393</v>
      </c>
      <c r="H1145" s="3" t="s">
        <v>394</v>
      </c>
      <c r="I1145" s="3" t="s">
        <v>395</v>
      </c>
      <c r="J1145" s="1" t="s">
        <v>396</v>
      </c>
      <c r="K1145" s="1" t="s">
        <v>45</v>
      </c>
      <c r="L1145" s="3" t="s">
        <v>397</v>
      </c>
      <c r="M1145" s="1" t="s">
        <v>12</v>
      </c>
      <c r="N1145" s="1" t="s">
        <v>80</v>
      </c>
      <c r="O1145" s="1">
        <v>7.0000000000000007E-2</v>
      </c>
      <c r="P1145" s="1" t="s">
        <v>49</v>
      </c>
      <c r="Q1145" s="1">
        <v>7.0000000000000007E-2</v>
      </c>
      <c r="R1145" s="1">
        <v>1</v>
      </c>
      <c r="S1145" s="1" t="s">
        <v>77</v>
      </c>
      <c r="T1145" s="1" t="s">
        <v>78</v>
      </c>
      <c r="U1145" s="1" t="s">
        <v>398</v>
      </c>
      <c r="V1145" s="1" t="s">
        <v>399</v>
      </c>
      <c r="W1145" s="1">
        <v>35.6</v>
      </c>
      <c r="X1145" s="1">
        <v>-79.5</v>
      </c>
      <c r="Y1145" s="1" t="s">
        <v>141</v>
      </c>
      <c r="Z1145" s="1" t="s">
        <v>49</v>
      </c>
      <c r="AA1145" s="1" t="s">
        <v>50</v>
      </c>
      <c r="AB1145" s="1" t="s">
        <v>66</v>
      </c>
      <c r="AC1145" s="1" t="s">
        <v>67</v>
      </c>
      <c r="AD1145" s="1" t="s">
        <v>405</v>
      </c>
      <c r="AE1145" s="1" t="s">
        <v>405</v>
      </c>
      <c r="AF1145" s="1" t="s">
        <v>60</v>
      </c>
      <c r="AG1145" s="1" t="s">
        <v>61</v>
      </c>
      <c r="AH1145" s="1" t="s">
        <v>401</v>
      </c>
      <c r="AI1145" s="1" t="s">
        <v>200</v>
      </c>
      <c r="AJ1145" s="1">
        <v>40</v>
      </c>
      <c r="AK1145" s="1">
        <v>564</v>
      </c>
      <c r="AL1145" s="28" t="s">
        <v>49</v>
      </c>
      <c r="AM1145" s="1">
        <v>43.1</v>
      </c>
      <c r="AN1145" s="1" t="s">
        <v>49</v>
      </c>
      <c r="AO1145" s="1" t="s">
        <v>49</v>
      </c>
      <c r="AP1145" s="6">
        <v>0</v>
      </c>
      <c r="AQ1145" s="6" t="s">
        <v>49</v>
      </c>
      <c r="AR1145" s="6" t="s">
        <v>49</v>
      </c>
      <c r="AS1145" s="1">
        <v>2.2999999999999998</v>
      </c>
      <c r="AT1145" s="4">
        <f t="shared" ref="AT1145:AT1150" si="100">AS1145/(AM1145^2)*100</f>
        <v>0.1238150096091214</v>
      </c>
      <c r="AU1145" s="5">
        <v>0</v>
      </c>
      <c r="AV1145" s="4" t="s">
        <v>49</v>
      </c>
      <c r="AW1145" s="29" t="s">
        <v>402</v>
      </c>
    </row>
    <row r="1146" spans="1:49" ht="14.4" customHeight="1">
      <c r="A1146" s="1">
        <v>34</v>
      </c>
      <c r="B1146" s="1" t="s">
        <v>38</v>
      </c>
      <c r="C1146" s="6" t="s">
        <v>38</v>
      </c>
      <c r="D1146" s="1" t="s">
        <v>550</v>
      </c>
      <c r="E1146" s="1" t="s">
        <v>40</v>
      </c>
      <c r="F1146" s="1">
        <v>2008</v>
      </c>
      <c r="G1146" s="1" t="s">
        <v>393</v>
      </c>
      <c r="H1146" s="3" t="s">
        <v>394</v>
      </c>
      <c r="I1146" s="3" t="s">
        <v>395</v>
      </c>
      <c r="J1146" s="1" t="s">
        <v>396</v>
      </c>
      <c r="K1146" s="1" t="s">
        <v>45</v>
      </c>
      <c r="L1146" s="3" t="s">
        <v>397</v>
      </c>
      <c r="M1146" s="1" t="s">
        <v>12</v>
      </c>
      <c r="N1146" s="1" t="s">
        <v>80</v>
      </c>
      <c r="O1146" s="1">
        <v>7.0000000000000007E-2</v>
      </c>
      <c r="P1146" s="1" t="s">
        <v>49</v>
      </c>
      <c r="Q1146" s="1">
        <v>7.0000000000000007E-2</v>
      </c>
      <c r="R1146" s="1">
        <v>1</v>
      </c>
      <c r="S1146" s="1" t="s">
        <v>77</v>
      </c>
      <c r="T1146" s="1" t="s">
        <v>78</v>
      </c>
      <c r="U1146" s="1" t="s">
        <v>398</v>
      </c>
      <c r="V1146" s="1" t="s">
        <v>399</v>
      </c>
      <c r="W1146" s="1">
        <v>35.6</v>
      </c>
      <c r="X1146" s="1">
        <v>-79.5</v>
      </c>
      <c r="Y1146" s="1" t="s">
        <v>141</v>
      </c>
      <c r="Z1146" s="1" t="s">
        <v>49</v>
      </c>
      <c r="AA1146" s="1" t="s">
        <v>50</v>
      </c>
      <c r="AB1146" s="1" t="s">
        <v>57</v>
      </c>
      <c r="AC1146" s="1" t="s">
        <v>62</v>
      </c>
      <c r="AD1146" s="1" t="s">
        <v>63</v>
      </c>
      <c r="AE1146" s="1" t="s">
        <v>63</v>
      </c>
      <c r="AF1146" s="1" t="s">
        <v>60</v>
      </c>
      <c r="AG1146" s="1" t="s">
        <v>61</v>
      </c>
      <c r="AH1146" s="1" t="s">
        <v>401</v>
      </c>
      <c r="AI1146" s="1" t="s">
        <v>200</v>
      </c>
      <c r="AJ1146" s="1">
        <v>40</v>
      </c>
      <c r="AK1146" s="1">
        <v>564</v>
      </c>
      <c r="AL1146" s="28" t="s">
        <v>49</v>
      </c>
      <c r="AM1146" s="1">
        <v>19.73</v>
      </c>
      <c r="AN1146" s="1" t="s">
        <v>49</v>
      </c>
      <c r="AO1146" s="1" t="s">
        <v>49</v>
      </c>
      <c r="AP1146" s="6">
        <v>0</v>
      </c>
      <c r="AQ1146" s="6" t="s">
        <v>49</v>
      </c>
      <c r="AR1146" s="6" t="s">
        <v>49</v>
      </c>
      <c r="AS1146" s="1">
        <v>0.4</v>
      </c>
      <c r="AT1146" s="4">
        <f t="shared" si="100"/>
        <v>0.10275567603087706</v>
      </c>
      <c r="AU1146" s="5">
        <v>0</v>
      </c>
      <c r="AV1146" s="4" t="s">
        <v>49</v>
      </c>
      <c r="AW1146" s="29" t="s">
        <v>402</v>
      </c>
    </row>
    <row r="1147" spans="1:49" ht="14.4" customHeight="1">
      <c r="A1147" s="1">
        <v>34</v>
      </c>
      <c r="B1147" s="1" t="s">
        <v>38</v>
      </c>
      <c r="C1147" s="6" t="s">
        <v>38</v>
      </c>
      <c r="D1147" s="1" t="s">
        <v>550</v>
      </c>
      <c r="E1147" s="1" t="s">
        <v>40</v>
      </c>
      <c r="F1147" s="1">
        <v>2008</v>
      </c>
      <c r="G1147" s="1" t="s">
        <v>393</v>
      </c>
      <c r="H1147" s="3" t="s">
        <v>394</v>
      </c>
      <c r="I1147" s="3" t="s">
        <v>395</v>
      </c>
      <c r="J1147" s="1" t="s">
        <v>396</v>
      </c>
      <c r="K1147" s="1" t="s">
        <v>45</v>
      </c>
      <c r="L1147" s="3" t="s">
        <v>397</v>
      </c>
      <c r="M1147" s="1" t="s">
        <v>12</v>
      </c>
      <c r="N1147" s="1" t="s">
        <v>80</v>
      </c>
      <c r="O1147" s="1">
        <v>7.0000000000000007E-2</v>
      </c>
      <c r="P1147" s="1" t="s">
        <v>49</v>
      </c>
      <c r="Q1147" s="1">
        <v>7.0000000000000007E-2</v>
      </c>
      <c r="R1147" s="1">
        <v>1</v>
      </c>
      <c r="S1147" s="1" t="s">
        <v>77</v>
      </c>
      <c r="T1147" s="1" t="s">
        <v>78</v>
      </c>
      <c r="U1147" s="1" t="s">
        <v>398</v>
      </c>
      <c r="V1147" s="1" t="s">
        <v>399</v>
      </c>
      <c r="W1147" s="1">
        <v>35.6</v>
      </c>
      <c r="X1147" s="1">
        <v>-79.5</v>
      </c>
      <c r="Y1147" s="1" t="s">
        <v>141</v>
      </c>
      <c r="Z1147" s="1" t="s">
        <v>49</v>
      </c>
      <c r="AA1147" s="1" t="s">
        <v>50</v>
      </c>
      <c r="AB1147" s="1" t="s">
        <v>57</v>
      </c>
      <c r="AC1147" s="1" t="s">
        <v>64</v>
      </c>
      <c r="AD1147" s="1" t="s">
        <v>65</v>
      </c>
      <c r="AE1147" s="1" t="s">
        <v>65</v>
      </c>
      <c r="AF1147" s="1" t="s">
        <v>60</v>
      </c>
      <c r="AG1147" s="1" t="s">
        <v>61</v>
      </c>
      <c r="AH1147" s="1" t="s">
        <v>401</v>
      </c>
      <c r="AI1147" s="1" t="s">
        <v>200</v>
      </c>
      <c r="AJ1147" s="1">
        <v>40</v>
      </c>
      <c r="AK1147" s="1">
        <v>564</v>
      </c>
      <c r="AL1147" s="28" t="s">
        <v>49</v>
      </c>
      <c r="AM1147" s="1">
        <v>8.51</v>
      </c>
      <c r="AN1147" s="1" t="s">
        <v>49</v>
      </c>
      <c r="AO1147" s="1" t="s">
        <v>49</v>
      </c>
      <c r="AP1147" s="6">
        <v>0</v>
      </c>
      <c r="AQ1147" s="6" t="s">
        <v>49</v>
      </c>
      <c r="AR1147" s="6" t="s">
        <v>49</v>
      </c>
      <c r="AS1147" s="1">
        <v>0.05</v>
      </c>
      <c r="AT1147" s="4">
        <f t="shared" si="100"/>
        <v>6.9041605852518867E-2</v>
      </c>
      <c r="AU1147" s="5">
        <v>0</v>
      </c>
      <c r="AV1147" s="4" t="s">
        <v>49</v>
      </c>
      <c r="AW1147" s="29" t="s">
        <v>402</v>
      </c>
    </row>
    <row r="1148" spans="1:49" ht="14.4" customHeight="1">
      <c r="A1148" s="1">
        <v>34</v>
      </c>
      <c r="B1148" s="1" t="s">
        <v>38</v>
      </c>
      <c r="C1148" s="1" t="s">
        <v>38</v>
      </c>
      <c r="D1148" s="1" t="s">
        <v>550</v>
      </c>
      <c r="E1148" s="1" t="s">
        <v>40</v>
      </c>
      <c r="F1148" s="1">
        <v>2008</v>
      </c>
      <c r="G1148" s="1" t="s">
        <v>393</v>
      </c>
      <c r="H1148" s="3" t="s">
        <v>394</v>
      </c>
      <c r="I1148" s="3" t="s">
        <v>395</v>
      </c>
      <c r="J1148" s="1" t="s">
        <v>396</v>
      </c>
      <c r="K1148" s="1" t="s">
        <v>45</v>
      </c>
      <c r="L1148" s="3" t="s">
        <v>397</v>
      </c>
      <c r="M1148" s="1" t="s">
        <v>12</v>
      </c>
      <c r="N1148" s="1" t="s">
        <v>80</v>
      </c>
      <c r="O1148" s="1">
        <v>7.0000000000000007E-2</v>
      </c>
      <c r="P1148" s="1" t="s">
        <v>49</v>
      </c>
      <c r="Q1148" s="1">
        <v>7.0000000000000007E-2</v>
      </c>
      <c r="R1148" s="1">
        <v>1</v>
      </c>
      <c r="S1148" s="1" t="s">
        <v>77</v>
      </c>
      <c r="T1148" s="1" t="s">
        <v>78</v>
      </c>
      <c r="U1148" s="1" t="s">
        <v>398</v>
      </c>
      <c r="V1148" s="1" t="s">
        <v>399</v>
      </c>
      <c r="W1148" s="1">
        <v>35.6</v>
      </c>
      <c r="X1148" s="1">
        <v>-79.5</v>
      </c>
      <c r="Y1148" s="1" t="s">
        <v>141</v>
      </c>
      <c r="Z1148" s="1" t="s">
        <v>49</v>
      </c>
      <c r="AA1148" s="1" t="s">
        <v>50</v>
      </c>
      <c r="AB1148" s="1" t="s">
        <v>57</v>
      </c>
      <c r="AC1148" s="1" t="s">
        <v>58</v>
      </c>
      <c r="AD1148" s="1" t="s">
        <v>400</v>
      </c>
      <c r="AE1148" s="1" t="s">
        <v>400</v>
      </c>
      <c r="AF1148" s="1" t="s">
        <v>60</v>
      </c>
      <c r="AG1148" s="1" t="s">
        <v>61</v>
      </c>
      <c r="AH1148" s="1" t="s">
        <v>401</v>
      </c>
      <c r="AI1148" s="1" t="s">
        <v>200</v>
      </c>
      <c r="AJ1148" s="1">
        <v>40</v>
      </c>
      <c r="AK1148" s="1">
        <v>564</v>
      </c>
      <c r="AL1148" s="28" t="s">
        <v>49</v>
      </c>
      <c r="AM1148" s="1">
        <v>18.989999999999998</v>
      </c>
      <c r="AN1148" s="1" t="s">
        <v>49</v>
      </c>
      <c r="AO1148" s="1" t="s">
        <v>49</v>
      </c>
      <c r="AP1148" s="6">
        <v>0</v>
      </c>
      <c r="AQ1148" s="6" t="s">
        <v>49</v>
      </c>
      <c r="AR1148" s="6" t="s">
        <v>49</v>
      </c>
      <c r="AS1148" s="1">
        <v>0.5</v>
      </c>
      <c r="AT1148" s="4">
        <f t="shared" si="100"/>
        <v>0.13865006415338471</v>
      </c>
      <c r="AU1148" s="5">
        <v>0</v>
      </c>
      <c r="AV1148" s="4" t="s">
        <v>49</v>
      </c>
      <c r="AW1148" s="29" t="s">
        <v>402</v>
      </c>
    </row>
    <row r="1149" spans="1:49" ht="14.4" customHeight="1">
      <c r="A1149" s="1">
        <v>34</v>
      </c>
      <c r="B1149" s="1" t="s">
        <v>38</v>
      </c>
      <c r="C1149" s="6" t="s">
        <v>38</v>
      </c>
      <c r="D1149" s="1" t="s">
        <v>550</v>
      </c>
      <c r="E1149" s="1" t="s">
        <v>40</v>
      </c>
      <c r="F1149" s="1">
        <v>2008</v>
      </c>
      <c r="G1149" s="1" t="s">
        <v>393</v>
      </c>
      <c r="H1149" s="3" t="s">
        <v>394</v>
      </c>
      <c r="I1149" s="3" t="s">
        <v>395</v>
      </c>
      <c r="J1149" s="1" t="s">
        <v>396</v>
      </c>
      <c r="K1149" s="1" t="s">
        <v>45</v>
      </c>
      <c r="L1149" s="3" t="s">
        <v>397</v>
      </c>
      <c r="M1149" s="1" t="s">
        <v>12</v>
      </c>
      <c r="N1149" s="1" t="s">
        <v>80</v>
      </c>
      <c r="O1149" s="1">
        <v>7.0000000000000007E-2</v>
      </c>
      <c r="P1149" s="1" t="s">
        <v>49</v>
      </c>
      <c r="Q1149" s="1">
        <v>7.0000000000000007E-2</v>
      </c>
      <c r="R1149" s="1">
        <v>1</v>
      </c>
      <c r="S1149" s="1" t="s">
        <v>77</v>
      </c>
      <c r="T1149" s="1" t="s">
        <v>78</v>
      </c>
      <c r="U1149" s="1" t="s">
        <v>398</v>
      </c>
      <c r="V1149" s="1" t="s">
        <v>399</v>
      </c>
      <c r="W1149" s="1">
        <v>35.6</v>
      </c>
      <c r="X1149" s="1">
        <v>-79.5</v>
      </c>
      <c r="Y1149" s="1" t="s">
        <v>141</v>
      </c>
      <c r="Z1149" s="1" t="s">
        <v>49</v>
      </c>
      <c r="AA1149" s="1" t="s">
        <v>50</v>
      </c>
      <c r="AB1149" s="1" t="s">
        <v>57</v>
      </c>
      <c r="AC1149" s="1" t="s">
        <v>86</v>
      </c>
      <c r="AD1149" s="1" t="s">
        <v>403</v>
      </c>
      <c r="AE1149" s="1" t="s">
        <v>403</v>
      </c>
      <c r="AF1149" s="1" t="s">
        <v>60</v>
      </c>
      <c r="AG1149" s="1" t="s">
        <v>61</v>
      </c>
      <c r="AH1149" s="1" t="s">
        <v>401</v>
      </c>
      <c r="AI1149" s="1" t="s">
        <v>200</v>
      </c>
      <c r="AJ1149" s="1">
        <v>40</v>
      </c>
      <c r="AK1149" s="1">
        <v>564</v>
      </c>
      <c r="AL1149" s="28" t="s">
        <v>49</v>
      </c>
      <c r="AM1149" s="1">
        <v>22.5</v>
      </c>
      <c r="AN1149" s="1" t="s">
        <v>49</v>
      </c>
      <c r="AO1149" s="1" t="s">
        <v>49</v>
      </c>
      <c r="AP1149" s="6">
        <v>0</v>
      </c>
      <c r="AQ1149" s="6" t="s">
        <v>49</v>
      </c>
      <c r="AR1149" s="6" t="s">
        <v>49</v>
      </c>
      <c r="AS1149" s="1">
        <v>0.94</v>
      </c>
      <c r="AT1149" s="4">
        <f t="shared" si="100"/>
        <v>0.18567901234567899</v>
      </c>
      <c r="AU1149" s="5">
        <v>0</v>
      </c>
      <c r="AV1149" s="4" t="s">
        <v>49</v>
      </c>
      <c r="AW1149" s="29" t="s">
        <v>402</v>
      </c>
    </row>
    <row r="1150" spans="1:49" ht="14.4" customHeight="1">
      <c r="A1150" s="1">
        <v>34</v>
      </c>
      <c r="B1150" s="1" t="s">
        <v>38</v>
      </c>
      <c r="C1150" s="6" t="s">
        <v>38</v>
      </c>
      <c r="D1150" s="1" t="s">
        <v>550</v>
      </c>
      <c r="E1150" s="1" t="s">
        <v>40</v>
      </c>
      <c r="F1150" s="1">
        <v>2008</v>
      </c>
      <c r="G1150" s="1" t="s">
        <v>393</v>
      </c>
      <c r="H1150" s="3" t="s">
        <v>394</v>
      </c>
      <c r="I1150" s="3" t="s">
        <v>395</v>
      </c>
      <c r="J1150" s="1" t="s">
        <v>396</v>
      </c>
      <c r="K1150" s="1" t="s">
        <v>45</v>
      </c>
      <c r="L1150" s="3" t="s">
        <v>397</v>
      </c>
      <c r="M1150" s="1" t="s">
        <v>12</v>
      </c>
      <c r="N1150" s="1" t="s">
        <v>80</v>
      </c>
      <c r="O1150" s="1">
        <v>7.0000000000000007E-2</v>
      </c>
      <c r="P1150" s="1" t="s">
        <v>49</v>
      </c>
      <c r="Q1150" s="1">
        <v>7.0000000000000007E-2</v>
      </c>
      <c r="R1150" s="1">
        <v>1</v>
      </c>
      <c r="S1150" s="1" t="s">
        <v>77</v>
      </c>
      <c r="T1150" s="1" t="s">
        <v>78</v>
      </c>
      <c r="U1150" s="1" t="s">
        <v>398</v>
      </c>
      <c r="V1150" s="1" t="s">
        <v>399</v>
      </c>
      <c r="W1150" s="1">
        <v>35.6</v>
      </c>
      <c r="X1150" s="1">
        <v>-79.5</v>
      </c>
      <c r="Y1150" s="1" t="s">
        <v>141</v>
      </c>
      <c r="Z1150" s="1" t="s">
        <v>49</v>
      </c>
      <c r="AA1150" s="1" t="s">
        <v>50</v>
      </c>
      <c r="AB1150" s="1" t="s">
        <v>57</v>
      </c>
      <c r="AC1150" s="1" t="s">
        <v>86</v>
      </c>
      <c r="AD1150" s="1" t="s">
        <v>404</v>
      </c>
      <c r="AE1150" s="1" t="s">
        <v>404</v>
      </c>
      <c r="AF1150" s="1" t="s">
        <v>60</v>
      </c>
      <c r="AG1150" s="1" t="s">
        <v>61</v>
      </c>
      <c r="AH1150" s="1" t="s">
        <v>401</v>
      </c>
      <c r="AI1150" s="1" t="s">
        <v>200</v>
      </c>
      <c r="AJ1150" s="1">
        <v>40</v>
      </c>
      <c r="AK1150" s="1">
        <v>564</v>
      </c>
      <c r="AL1150" s="28" t="s">
        <v>49</v>
      </c>
      <c r="AM1150" s="1">
        <v>17.88</v>
      </c>
      <c r="AN1150" s="1" t="s">
        <v>49</v>
      </c>
      <c r="AO1150" s="1" t="s">
        <v>49</v>
      </c>
      <c r="AP1150" s="6">
        <v>0</v>
      </c>
      <c r="AQ1150" s="6" t="s">
        <v>49</v>
      </c>
      <c r="AR1150" s="6" t="s">
        <v>49</v>
      </c>
      <c r="AS1150" s="1">
        <v>0.6</v>
      </c>
      <c r="AT1150" s="4">
        <f t="shared" si="100"/>
        <v>0.18767923366815309</v>
      </c>
      <c r="AU1150" s="5">
        <v>0</v>
      </c>
      <c r="AV1150" s="4" t="s">
        <v>49</v>
      </c>
      <c r="AW1150" s="29" t="s">
        <v>402</v>
      </c>
    </row>
    <row r="1151" spans="1:49" ht="14.4" customHeight="1">
      <c r="A1151" s="1">
        <v>34</v>
      </c>
      <c r="B1151" s="1" t="s">
        <v>38</v>
      </c>
      <c r="C1151" s="6" t="s">
        <v>38</v>
      </c>
      <c r="D1151" s="1" t="s">
        <v>550</v>
      </c>
      <c r="E1151" s="1" t="s">
        <v>40</v>
      </c>
      <c r="F1151" s="1">
        <v>2008</v>
      </c>
      <c r="G1151" s="1" t="s">
        <v>393</v>
      </c>
      <c r="H1151" s="3" t="s">
        <v>394</v>
      </c>
      <c r="I1151" s="3" t="s">
        <v>395</v>
      </c>
      <c r="J1151" s="1" t="s">
        <v>396</v>
      </c>
      <c r="K1151" s="1" t="s">
        <v>45</v>
      </c>
      <c r="L1151" s="3" t="s">
        <v>397</v>
      </c>
      <c r="M1151" s="1" t="s">
        <v>12</v>
      </c>
      <c r="N1151" s="1" t="s">
        <v>80</v>
      </c>
      <c r="O1151" s="1">
        <v>7.0000000000000007E-2</v>
      </c>
      <c r="P1151" s="1" t="s">
        <v>49</v>
      </c>
      <c r="Q1151" s="1">
        <v>7.0000000000000007E-2</v>
      </c>
      <c r="R1151" s="1">
        <v>1</v>
      </c>
      <c r="S1151" s="1" t="s">
        <v>77</v>
      </c>
      <c r="T1151" s="1" t="s">
        <v>78</v>
      </c>
      <c r="U1151" s="1" t="s">
        <v>398</v>
      </c>
      <c r="V1151" s="1" t="s">
        <v>399</v>
      </c>
      <c r="W1151" s="1">
        <v>35.6</v>
      </c>
      <c r="X1151" s="1">
        <v>-79.5</v>
      </c>
      <c r="Y1151" s="1" t="s">
        <v>141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405</v>
      </c>
      <c r="AE1151" s="1" t="s">
        <v>63</v>
      </c>
      <c r="AF1151" s="6" t="s">
        <v>49</v>
      </c>
      <c r="AG1151" s="6" t="s">
        <v>49</v>
      </c>
      <c r="AH1151" s="1" t="s">
        <v>401</v>
      </c>
      <c r="AI1151" s="1" t="s">
        <v>200</v>
      </c>
      <c r="AJ1151" s="20" t="s">
        <v>49</v>
      </c>
      <c r="AK1151" s="20" t="s">
        <v>49</v>
      </c>
      <c r="AL1151" s="20" t="s">
        <v>49</v>
      </c>
      <c r="AM1151" s="20" t="s">
        <v>49</v>
      </c>
      <c r="AN1151" s="1" t="s">
        <v>49</v>
      </c>
      <c r="AO1151" s="1" t="s">
        <v>49</v>
      </c>
      <c r="AP1151" s="6">
        <v>0</v>
      </c>
      <c r="AQ1151" s="6" t="s">
        <v>49</v>
      </c>
      <c r="AR1151" s="6" t="s">
        <v>49</v>
      </c>
      <c r="AS1151" s="6">
        <v>0.34</v>
      </c>
      <c r="AT1151" s="6" t="s">
        <v>49</v>
      </c>
      <c r="AU1151" s="6" t="s">
        <v>49</v>
      </c>
      <c r="AV1151" s="6" t="s">
        <v>49</v>
      </c>
      <c r="AW1151" s="30" t="s">
        <v>49</v>
      </c>
    </row>
    <row r="1152" spans="1:49" ht="14.4" customHeight="1">
      <c r="A1152" s="1">
        <v>34</v>
      </c>
      <c r="B1152" s="1" t="s">
        <v>38</v>
      </c>
      <c r="C1152" s="6" t="s">
        <v>38</v>
      </c>
      <c r="D1152" s="1" t="s">
        <v>550</v>
      </c>
      <c r="E1152" s="1" t="s">
        <v>40</v>
      </c>
      <c r="F1152" s="1">
        <v>2008</v>
      </c>
      <c r="G1152" s="1" t="s">
        <v>393</v>
      </c>
      <c r="H1152" s="3" t="s">
        <v>394</v>
      </c>
      <c r="I1152" s="3" t="s">
        <v>395</v>
      </c>
      <c r="J1152" s="1" t="s">
        <v>396</v>
      </c>
      <c r="K1152" s="1" t="s">
        <v>45</v>
      </c>
      <c r="L1152" s="3" t="s">
        <v>397</v>
      </c>
      <c r="M1152" s="1" t="s">
        <v>12</v>
      </c>
      <c r="N1152" s="1" t="s">
        <v>80</v>
      </c>
      <c r="O1152" s="1">
        <v>7.0000000000000007E-2</v>
      </c>
      <c r="P1152" s="1" t="s">
        <v>49</v>
      </c>
      <c r="Q1152" s="1">
        <v>7.0000000000000007E-2</v>
      </c>
      <c r="R1152" s="1">
        <v>1</v>
      </c>
      <c r="S1152" s="1" t="s">
        <v>77</v>
      </c>
      <c r="T1152" s="1" t="s">
        <v>78</v>
      </c>
      <c r="U1152" s="1" t="s">
        <v>398</v>
      </c>
      <c r="V1152" s="1" t="s">
        <v>399</v>
      </c>
      <c r="W1152" s="1">
        <v>35.6</v>
      </c>
      <c r="X1152" s="1">
        <v>-79.5</v>
      </c>
      <c r="Y1152" s="1" t="s">
        <v>141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405</v>
      </c>
      <c r="AE1152" s="1" t="s">
        <v>65</v>
      </c>
      <c r="AF1152" s="6" t="s">
        <v>49</v>
      </c>
      <c r="AG1152" s="6" t="s">
        <v>49</v>
      </c>
      <c r="AH1152" s="1" t="s">
        <v>401</v>
      </c>
      <c r="AI1152" s="1" t="s">
        <v>200</v>
      </c>
      <c r="AJ1152" s="20" t="s">
        <v>49</v>
      </c>
      <c r="AK1152" s="20" t="s">
        <v>49</v>
      </c>
      <c r="AL1152" s="20" t="s">
        <v>49</v>
      </c>
      <c r="AM1152" s="20" t="s">
        <v>49</v>
      </c>
      <c r="AN1152" s="1" t="s">
        <v>49</v>
      </c>
      <c r="AO1152" s="1" t="s">
        <v>49</v>
      </c>
      <c r="AP1152" s="6">
        <v>0</v>
      </c>
      <c r="AQ1152" s="6" t="s">
        <v>49</v>
      </c>
      <c r="AR1152" s="6" t="s">
        <v>49</v>
      </c>
      <c r="AS1152" s="6">
        <v>0.17</v>
      </c>
      <c r="AT1152" s="6" t="s">
        <v>49</v>
      </c>
      <c r="AU1152" s="6" t="s">
        <v>49</v>
      </c>
      <c r="AV1152" s="6" t="s">
        <v>49</v>
      </c>
      <c r="AW1152" s="30" t="s">
        <v>49</v>
      </c>
    </row>
    <row r="1153" spans="1:49" ht="14.4" customHeight="1">
      <c r="A1153" s="1">
        <v>34</v>
      </c>
      <c r="B1153" s="1" t="s">
        <v>38</v>
      </c>
      <c r="C1153" s="6" t="s">
        <v>38</v>
      </c>
      <c r="D1153" s="1" t="s">
        <v>550</v>
      </c>
      <c r="E1153" s="1" t="s">
        <v>40</v>
      </c>
      <c r="F1153" s="1">
        <v>2008</v>
      </c>
      <c r="G1153" s="1" t="s">
        <v>393</v>
      </c>
      <c r="H1153" s="3" t="s">
        <v>394</v>
      </c>
      <c r="I1153" s="3" t="s">
        <v>395</v>
      </c>
      <c r="J1153" s="1" t="s">
        <v>396</v>
      </c>
      <c r="K1153" s="1" t="s">
        <v>45</v>
      </c>
      <c r="L1153" s="3" t="s">
        <v>397</v>
      </c>
      <c r="M1153" s="1" t="s">
        <v>12</v>
      </c>
      <c r="N1153" s="1" t="s">
        <v>80</v>
      </c>
      <c r="O1153" s="1">
        <v>7.0000000000000007E-2</v>
      </c>
      <c r="P1153" s="1" t="s">
        <v>49</v>
      </c>
      <c r="Q1153" s="1">
        <v>7.0000000000000007E-2</v>
      </c>
      <c r="R1153" s="1">
        <v>1</v>
      </c>
      <c r="S1153" s="1" t="s">
        <v>77</v>
      </c>
      <c r="T1153" s="1" t="s">
        <v>78</v>
      </c>
      <c r="U1153" s="1" t="s">
        <v>398</v>
      </c>
      <c r="V1153" s="1" t="s">
        <v>399</v>
      </c>
      <c r="W1153" s="1">
        <v>35.6</v>
      </c>
      <c r="X1153" s="1">
        <v>-79.5</v>
      </c>
      <c r="Y1153" s="1" t="s">
        <v>141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405</v>
      </c>
      <c r="AE1153" s="1" t="s">
        <v>400</v>
      </c>
      <c r="AF1153" s="6" t="s">
        <v>49</v>
      </c>
      <c r="AG1153" s="6" t="s">
        <v>49</v>
      </c>
      <c r="AH1153" s="1" t="s">
        <v>401</v>
      </c>
      <c r="AI1153" s="1" t="s">
        <v>200</v>
      </c>
      <c r="AJ1153" s="20" t="s">
        <v>49</v>
      </c>
      <c r="AK1153" s="20" t="s">
        <v>49</v>
      </c>
      <c r="AL1153" s="20" t="s">
        <v>49</v>
      </c>
      <c r="AM1153" s="20" t="s">
        <v>49</v>
      </c>
      <c r="AN1153" s="1" t="s">
        <v>49</v>
      </c>
      <c r="AO1153" s="1" t="s">
        <v>49</v>
      </c>
      <c r="AP1153" s="6">
        <v>0</v>
      </c>
      <c r="AQ1153" s="6" t="s">
        <v>49</v>
      </c>
      <c r="AR1153" s="6" t="s">
        <v>49</v>
      </c>
      <c r="AS1153" s="6">
        <v>0.3</v>
      </c>
      <c r="AT1153" s="6" t="s">
        <v>49</v>
      </c>
      <c r="AU1153" s="6" t="s">
        <v>49</v>
      </c>
      <c r="AV1153" s="6" t="s">
        <v>49</v>
      </c>
      <c r="AW1153" s="30" t="s">
        <v>49</v>
      </c>
    </row>
    <row r="1154" spans="1:49" ht="14.4" customHeight="1">
      <c r="A1154" s="1">
        <v>34</v>
      </c>
      <c r="B1154" s="1" t="s">
        <v>38</v>
      </c>
      <c r="C1154" s="6" t="s">
        <v>38</v>
      </c>
      <c r="D1154" s="1" t="s">
        <v>550</v>
      </c>
      <c r="E1154" s="1" t="s">
        <v>40</v>
      </c>
      <c r="F1154" s="1">
        <v>2008</v>
      </c>
      <c r="G1154" s="1" t="s">
        <v>393</v>
      </c>
      <c r="H1154" s="3" t="s">
        <v>394</v>
      </c>
      <c r="I1154" s="3" t="s">
        <v>395</v>
      </c>
      <c r="J1154" s="1" t="s">
        <v>396</v>
      </c>
      <c r="K1154" s="1" t="s">
        <v>45</v>
      </c>
      <c r="L1154" s="3" t="s">
        <v>397</v>
      </c>
      <c r="M1154" s="1" t="s">
        <v>12</v>
      </c>
      <c r="N1154" s="1" t="s">
        <v>80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77</v>
      </c>
      <c r="T1154" s="1" t="s">
        <v>78</v>
      </c>
      <c r="U1154" s="1" t="s">
        <v>398</v>
      </c>
      <c r="V1154" s="1" t="s">
        <v>399</v>
      </c>
      <c r="W1154" s="1">
        <v>35.6</v>
      </c>
      <c r="X1154" s="1">
        <v>-79.5</v>
      </c>
      <c r="Y1154" s="1" t="s">
        <v>141</v>
      </c>
      <c r="Z1154" s="6" t="s">
        <v>49</v>
      </c>
      <c r="AA1154" s="6" t="s">
        <v>49</v>
      </c>
      <c r="AB1154" s="6" t="s">
        <v>49</v>
      </c>
      <c r="AC1154" s="6" t="s">
        <v>49</v>
      </c>
      <c r="AD1154" s="1" t="s">
        <v>405</v>
      </c>
      <c r="AE1154" s="1" t="s">
        <v>403</v>
      </c>
      <c r="AF1154" s="6" t="s">
        <v>49</v>
      </c>
      <c r="AG1154" s="6" t="s">
        <v>49</v>
      </c>
      <c r="AH1154" s="1" t="s">
        <v>401</v>
      </c>
      <c r="AI1154" s="1" t="s">
        <v>200</v>
      </c>
      <c r="AJ1154" s="20" t="s">
        <v>49</v>
      </c>
      <c r="AK1154" s="20" t="s">
        <v>49</v>
      </c>
      <c r="AL1154" s="20" t="s">
        <v>49</v>
      </c>
      <c r="AM1154" s="20" t="s">
        <v>49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6" t="s">
        <v>49</v>
      </c>
      <c r="AS1154" s="6">
        <v>0.25</v>
      </c>
      <c r="AT1154" s="6" t="s">
        <v>49</v>
      </c>
      <c r="AU1154" s="6" t="s">
        <v>49</v>
      </c>
      <c r="AV1154" s="6" t="s">
        <v>49</v>
      </c>
      <c r="AW1154" s="30" t="s">
        <v>49</v>
      </c>
    </row>
    <row r="1155" spans="1:49" ht="14.4" customHeight="1">
      <c r="A1155" s="1">
        <v>34</v>
      </c>
      <c r="B1155" s="1" t="s">
        <v>38</v>
      </c>
      <c r="C1155" s="6" t="s">
        <v>38</v>
      </c>
      <c r="D1155" s="1" t="s">
        <v>550</v>
      </c>
      <c r="E1155" s="1" t="s">
        <v>40</v>
      </c>
      <c r="F1155" s="1">
        <v>2008</v>
      </c>
      <c r="G1155" s="1" t="s">
        <v>393</v>
      </c>
      <c r="H1155" s="3" t="s">
        <v>394</v>
      </c>
      <c r="I1155" s="3" t="s">
        <v>395</v>
      </c>
      <c r="J1155" s="1" t="s">
        <v>396</v>
      </c>
      <c r="K1155" s="1" t="s">
        <v>45</v>
      </c>
      <c r="L1155" s="3" t="s">
        <v>397</v>
      </c>
      <c r="M1155" s="1" t="s">
        <v>12</v>
      </c>
      <c r="N1155" s="1" t="s">
        <v>80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77</v>
      </c>
      <c r="T1155" s="1" t="s">
        <v>78</v>
      </c>
      <c r="U1155" s="1" t="s">
        <v>398</v>
      </c>
      <c r="V1155" s="1" t="s">
        <v>399</v>
      </c>
      <c r="W1155" s="1">
        <v>35.6</v>
      </c>
      <c r="X1155" s="1">
        <v>-79.5</v>
      </c>
      <c r="Y1155" s="1" t="s">
        <v>141</v>
      </c>
      <c r="Z1155" s="6" t="s">
        <v>49</v>
      </c>
      <c r="AA1155" s="6" t="s">
        <v>49</v>
      </c>
      <c r="AB1155" s="6" t="s">
        <v>49</v>
      </c>
      <c r="AC1155" s="6" t="s">
        <v>49</v>
      </c>
      <c r="AD1155" s="1" t="s">
        <v>405</v>
      </c>
      <c r="AE1155" s="1" t="s">
        <v>404</v>
      </c>
      <c r="AF1155" s="6" t="s">
        <v>49</v>
      </c>
      <c r="AG1155" s="6" t="s">
        <v>49</v>
      </c>
      <c r="AH1155" s="1" t="s">
        <v>401</v>
      </c>
      <c r="AI1155" s="1" t="s">
        <v>200</v>
      </c>
      <c r="AJ1155" s="20" t="s">
        <v>49</v>
      </c>
      <c r="AK1155" s="20" t="s">
        <v>49</v>
      </c>
      <c r="AL1155" s="20" t="s">
        <v>49</v>
      </c>
      <c r="AM1155" s="20" t="s">
        <v>49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6" t="s">
        <v>49</v>
      </c>
      <c r="AS1155" s="6">
        <v>-0.16</v>
      </c>
      <c r="AT1155" s="6" t="s">
        <v>49</v>
      </c>
      <c r="AU1155" s="6" t="s">
        <v>49</v>
      </c>
      <c r="AV1155" s="6" t="s">
        <v>49</v>
      </c>
      <c r="AW1155" s="30" t="s">
        <v>49</v>
      </c>
    </row>
    <row r="1156" spans="1:49" ht="14.4" customHeight="1">
      <c r="A1156" s="1">
        <v>34</v>
      </c>
      <c r="B1156" s="1" t="s">
        <v>38</v>
      </c>
      <c r="C1156" s="6" t="s">
        <v>38</v>
      </c>
      <c r="D1156" s="1" t="s">
        <v>550</v>
      </c>
      <c r="E1156" s="1" t="s">
        <v>40</v>
      </c>
      <c r="F1156" s="1">
        <v>2008</v>
      </c>
      <c r="G1156" s="1" t="s">
        <v>393</v>
      </c>
      <c r="H1156" s="3" t="s">
        <v>394</v>
      </c>
      <c r="I1156" s="3" t="s">
        <v>395</v>
      </c>
      <c r="J1156" s="1" t="s">
        <v>396</v>
      </c>
      <c r="K1156" s="1" t="s">
        <v>45</v>
      </c>
      <c r="L1156" s="3" t="s">
        <v>397</v>
      </c>
      <c r="M1156" s="1" t="s">
        <v>12</v>
      </c>
      <c r="N1156" s="1" t="s">
        <v>80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77</v>
      </c>
      <c r="T1156" s="1" t="s">
        <v>78</v>
      </c>
      <c r="U1156" s="1" t="s">
        <v>398</v>
      </c>
      <c r="V1156" s="1" t="s">
        <v>399</v>
      </c>
      <c r="W1156" s="1">
        <v>35.6</v>
      </c>
      <c r="X1156" s="1">
        <v>-79.5</v>
      </c>
      <c r="Y1156" s="1" t="s">
        <v>141</v>
      </c>
      <c r="Z1156" s="6" t="s">
        <v>49</v>
      </c>
      <c r="AA1156" s="6" t="s">
        <v>49</v>
      </c>
      <c r="AB1156" s="6" t="s">
        <v>49</v>
      </c>
      <c r="AC1156" s="6" t="s">
        <v>49</v>
      </c>
      <c r="AD1156" s="1" t="s">
        <v>63</v>
      </c>
      <c r="AE1156" s="1" t="s">
        <v>65</v>
      </c>
      <c r="AF1156" s="6" t="s">
        <v>49</v>
      </c>
      <c r="AG1156" s="6" t="s">
        <v>49</v>
      </c>
      <c r="AH1156" s="1" t="s">
        <v>401</v>
      </c>
      <c r="AI1156" s="1" t="s">
        <v>200</v>
      </c>
      <c r="AJ1156" s="20" t="s">
        <v>49</v>
      </c>
      <c r="AK1156" s="20" t="s">
        <v>49</v>
      </c>
      <c r="AL1156" s="20" t="s">
        <v>49</v>
      </c>
      <c r="AM1156" s="20" t="s">
        <v>49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6" t="s">
        <v>49</v>
      </c>
      <c r="AS1156" s="6">
        <v>0.06</v>
      </c>
      <c r="AT1156" s="6" t="s">
        <v>49</v>
      </c>
      <c r="AU1156" s="6" t="s">
        <v>49</v>
      </c>
      <c r="AV1156" s="6" t="s">
        <v>49</v>
      </c>
      <c r="AW1156" s="30" t="s">
        <v>49</v>
      </c>
    </row>
    <row r="1157" spans="1:49" ht="14.4" customHeight="1">
      <c r="A1157" s="1">
        <v>34</v>
      </c>
      <c r="B1157" s="1" t="s">
        <v>38</v>
      </c>
      <c r="C1157" s="6" t="s">
        <v>38</v>
      </c>
      <c r="D1157" s="1" t="s">
        <v>550</v>
      </c>
      <c r="E1157" s="1" t="s">
        <v>40</v>
      </c>
      <c r="F1157" s="1">
        <v>2008</v>
      </c>
      <c r="G1157" s="1" t="s">
        <v>393</v>
      </c>
      <c r="H1157" s="3" t="s">
        <v>394</v>
      </c>
      <c r="I1157" s="3" t="s">
        <v>395</v>
      </c>
      <c r="J1157" s="1" t="s">
        <v>396</v>
      </c>
      <c r="K1157" s="1" t="s">
        <v>45</v>
      </c>
      <c r="L1157" s="3" t="s">
        <v>397</v>
      </c>
      <c r="M1157" s="1" t="s">
        <v>12</v>
      </c>
      <c r="N1157" s="1" t="s">
        <v>80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77</v>
      </c>
      <c r="T1157" s="1" t="s">
        <v>78</v>
      </c>
      <c r="U1157" s="1" t="s">
        <v>398</v>
      </c>
      <c r="V1157" s="1" t="s">
        <v>399</v>
      </c>
      <c r="W1157" s="1">
        <v>35.6</v>
      </c>
      <c r="X1157" s="1">
        <v>-79.5</v>
      </c>
      <c r="Y1157" s="1" t="s">
        <v>141</v>
      </c>
      <c r="Z1157" s="6" t="s">
        <v>49</v>
      </c>
      <c r="AA1157" s="6" t="s">
        <v>49</v>
      </c>
      <c r="AB1157" s="6" t="s">
        <v>49</v>
      </c>
      <c r="AC1157" s="6" t="s">
        <v>49</v>
      </c>
      <c r="AD1157" s="1" t="s">
        <v>63</v>
      </c>
      <c r="AE1157" s="1" t="s">
        <v>400</v>
      </c>
      <c r="AF1157" s="6" t="s">
        <v>49</v>
      </c>
      <c r="AG1157" s="6" t="s">
        <v>49</v>
      </c>
      <c r="AH1157" s="1" t="s">
        <v>401</v>
      </c>
      <c r="AI1157" s="1" t="s">
        <v>200</v>
      </c>
      <c r="AJ1157" s="20" t="s">
        <v>49</v>
      </c>
      <c r="AK1157" s="20" t="s">
        <v>49</v>
      </c>
      <c r="AL1157" s="20" t="s">
        <v>49</v>
      </c>
      <c r="AM1157" s="20" t="s">
        <v>49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6" t="s">
        <v>49</v>
      </c>
      <c r="AS1157" s="6">
        <v>0.25</v>
      </c>
      <c r="AT1157" s="6" t="s">
        <v>49</v>
      </c>
      <c r="AU1157" s="6" t="s">
        <v>49</v>
      </c>
      <c r="AV1157" s="6" t="s">
        <v>49</v>
      </c>
      <c r="AW1157" s="30" t="s">
        <v>49</v>
      </c>
    </row>
    <row r="1158" spans="1:49" ht="14.4" customHeight="1">
      <c r="A1158" s="1">
        <v>34</v>
      </c>
      <c r="B1158" s="1" t="s">
        <v>38</v>
      </c>
      <c r="C1158" s="6" t="s">
        <v>38</v>
      </c>
      <c r="D1158" s="1" t="s">
        <v>550</v>
      </c>
      <c r="E1158" s="1" t="s">
        <v>40</v>
      </c>
      <c r="F1158" s="1">
        <v>2008</v>
      </c>
      <c r="G1158" s="1" t="s">
        <v>393</v>
      </c>
      <c r="H1158" s="3" t="s">
        <v>394</v>
      </c>
      <c r="I1158" s="3" t="s">
        <v>395</v>
      </c>
      <c r="J1158" s="1" t="s">
        <v>396</v>
      </c>
      <c r="K1158" s="1" t="s">
        <v>45</v>
      </c>
      <c r="L1158" s="3" t="s">
        <v>397</v>
      </c>
      <c r="M1158" s="1" t="s">
        <v>12</v>
      </c>
      <c r="N1158" s="1" t="s">
        <v>80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77</v>
      </c>
      <c r="T1158" s="1" t="s">
        <v>78</v>
      </c>
      <c r="U1158" s="1" t="s">
        <v>398</v>
      </c>
      <c r="V1158" s="1" t="s">
        <v>399</v>
      </c>
      <c r="W1158" s="1">
        <v>35.6</v>
      </c>
      <c r="X1158" s="1">
        <v>-79.5</v>
      </c>
      <c r="Y1158" s="1" t="s">
        <v>141</v>
      </c>
      <c r="Z1158" s="6" t="s">
        <v>49</v>
      </c>
      <c r="AA1158" s="6" t="s">
        <v>49</v>
      </c>
      <c r="AB1158" s="6" t="s">
        <v>49</v>
      </c>
      <c r="AC1158" s="6" t="s">
        <v>49</v>
      </c>
      <c r="AD1158" s="1" t="s">
        <v>63</v>
      </c>
      <c r="AE1158" s="1" t="s">
        <v>403</v>
      </c>
      <c r="AF1158" s="6" t="s">
        <v>49</v>
      </c>
      <c r="AG1158" s="6" t="s">
        <v>49</v>
      </c>
      <c r="AH1158" s="1" t="s">
        <v>401</v>
      </c>
      <c r="AI1158" s="1" t="s">
        <v>200</v>
      </c>
      <c r="AJ1158" s="20" t="s">
        <v>49</v>
      </c>
      <c r="AK1158" s="20" t="s">
        <v>49</v>
      </c>
      <c r="AL1158" s="20" t="s">
        <v>49</v>
      </c>
      <c r="AM1158" s="20" t="s">
        <v>49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6" t="s">
        <v>49</v>
      </c>
      <c r="AS1158" s="6">
        <v>0.4</v>
      </c>
      <c r="AT1158" s="6" t="s">
        <v>49</v>
      </c>
      <c r="AU1158" s="6" t="s">
        <v>49</v>
      </c>
      <c r="AV1158" s="6" t="s">
        <v>49</v>
      </c>
      <c r="AW1158" s="30" t="s">
        <v>49</v>
      </c>
    </row>
    <row r="1159" spans="1:49" ht="14.4" customHeight="1">
      <c r="A1159" s="1">
        <v>34</v>
      </c>
      <c r="B1159" s="1" t="s">
        <v>38</v>
      </c>
      <c r="C1159" s="6" t="s">
        <v>38</v>
      </c>
      <c r="D1159" s="1" t="s">
        <v>550</v>
      </c>
      <c r="E1159" s="1" t="s">
        <v>40</v>
      </c>
      <c r="F1159" s="1">
        <v>2008</v>
      </c>
      <c r="G1159" s="1" t="s">
        <v>393</v>
      </c>
      <c r="H1159" s="3" t="s">
        <v>394</v>
      </c>
      <c r="I1159" s="3" t="s">
        <v>395</v>
      </c>
      <c r="J1159" s="1" t="s">
        <v>396</v>
      </c>
      <c r="K1159" s="1" t="s">
        <v>45</v>
      </c>
      <c r="L1159" s="3" t="s">
        <v>397</v>
      </c>
      <c r="M1159" s="1" t="s">
        <v>12</v>
      </c>
      <c r="N1159" s="1" t="s">
        <v>80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77</v>
      </c>
      <c r="T1159" s="1" t="s">
        <v>78</v>
      </c>
      <c r="U1159" s="1" t="s">
        <v>398</v>
      </c>
      <c r="V1159" s="1" t="s">
        <v>399</v>
      </c>
      <c r="W1159" s="1">
        <v>35.6</v>
      </c>
      <c r="X1159" s="1">
        <v>-79.5</v>
      </c>
      <c r="Y1159" s="1" t="s">
        <v>141</v>
      </c>
      <c r="Z1159" s="6" t="s">
        <v>49</v>
      </c>
      <c r="AA1159" s="6" t="s">
        <v>49</v>
      </c>
      <c r="AB1159" s="6" t="s">
        <v>49</v>
      </c>
      <c r="AC1159" s="6" t="s">
        <v>49</v>
      </c>
      <c r="AD1159" s="1" t="s">
        <v>63</v>
      </c>
      <c r="AE1159" s="1" t="s">
        <v>404</v>
      </c>
      <c r="AF1159" s="6" t="s">
        <v>49</v>
      </c>
      <c r="AG1159" s="6" t="s">
        <v>49</v>
      </c>
      <c r="AH1159" s="1" t="s">
        <v>401</v>
      </c>
      <c r="AI1159" s="1" t="s">
        <v>200</v>
      </c>
      <c r="AJ1159" s="20" t="s">
        <v>49</v>
      </c>
      <c r="AK1159" s="20" t="s">
        <v>49</v>
      </c>
      <c r="AL1159" s="20" t="s">
        <v>49</v>
      </c>
      <c r="AM1159" s="20" t="s">
        <v>49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6" t="s">
        <v>49</v>
      </c>
      <c r="AS1159" s="6">
        <v>0.24</v>
      </c>
      <c r="AT1159" s="6" t="s">
        <v>49</v>
      </c>
      <c r="AU1159" s="6" t="s">
        <v>49</v>
      </c>
      <c r="AV1159" s="6" t="s">
        <v>49</v>
      </c>
      <c r="AW1159" s="30" t="s">
        <v>49</v>
      </c>
    </row>
    <row r="1160" spans="1:49" ht="14.4" customHeight="1">
      <c r="A1160" s="1">
        <v>34</v>
      </c>
      <c r="B1160" s="1" t="s">
        <v>38</v>
      </c>
      <c r="C1160" s="6" t="s">
        <v>38</v>
      </c>
      <c r="D1160" s="1" t="s">
        <v>550</v>
      </c>
      <c r="E1160" s="1" t="s">
        <v>40</v>
      </c>
      <c r="F1160" s="1">
        <v>2008</v>
      </c>
      <c r="G1160" s="1" t="s">
        <v>393</v>
      </c>
      <c r="H1160" s="3" t="s">
        <v>394</v>
      </c>
      <c r="I1160" s="3" t="s">
        <v>395</v>
      </c>
      <c r="J1160" s="1" t="s">
        <v>396</v>
      </c>
      <c r="K1160" s="1" t="s">
        <v>45</v>
      </c>
      <c r="L1160" s="3" t="s">
        <v>397</v>
      </c>
      <c r="M1160" s="1" t="s">
        <v>12</v>
      </c>
      <c r="N1160" s="1" t="s">
        <v>80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77</v>
      </c>
      <c r="T1160" s="1" t="s">
        <v>78</v>
      </c>
      <c r="U1160" s="1" t="s">
        <v>398</v>
      </c>
      <c r="V1160" s="1" t="s">
        <v>399</v>
      </c>
      <c r="W1160" s="1">
        <v>35.6</v>
      </c>
      <c r="X1160" s="1">
        <v>-79.5</v>
      </c>
      <c r="Y1160" s="1" t="s">
        <v>141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65</v>
      </c>
      <c r="AE1160" s="1" t="s">
        <v>400</v>
      </c>
      <c r="AF1160" s="6" t="s">
        <v>49</v>
      </c>
      <c r="AG1160" s="6" t="s">
        <v>49</v>
      </c>
      <c r="AH1160" s="1" t="s">
        <v>401</v>
      </c>
      <c r="AI1160" s="1" t="s">
        <v>200</v>
      </c>
      <c r="AJ1160" s="20" t="s">
        <v>49</v>
      </c>
      <c r="AK1160" s="20" t="s">
        <v>49</v>
      </c>
      <c r="AL1160" s="20" t="s">
        <v>49</v>
      </c>
      <c r="AM1160" s="20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 t="s">
        <v>49</v>
      </c>
      <c r="AS1160" s="6">
        <v>0.04</v>
      </c>
      <c r="AT1160" s="6" t="s">
        <v>49</v>
      </c>
      <c r="AU1160" s="6" t="s">
        <v>49</v>
      </c>
      <c r="AV1160" s="6" t="s">
        <v>49</v>
      </c>
      <c r="AW1160" s="30" t="s">
        <v>49</v>
      </c>
    </row>
    <row r="1161" spans="1:49" ht="14.4" customHeight="1">
      <c r="A1161" s="1">
        <v>34</v>
      </c>
      <c r="B1161" s="1" t="s">
        <v>38</v>
      </c>
      <c r="C1161" s="6" t="s">
        <v>38</v>
      </c>
      <c r="D1161" s="1" t="s">
        <v>550</v>
      </c>
      <c r="E1161" s="1" t="s">
        <v>40</v>
      </c>
      <c r="F1161" s="1">
        <v>2008</v>
      </c>
      <c r="G1161" s="1" t="s">
        <v>393</v>
      </c>
      <c r="H1161" s="3" t="s">
        <v>394</v>
      </c>
      <c r="I1161" s="3" t="s">
        <v>395</v>
      </c>
      <c r="J1161" s="1" t="s">
        <v>396</v>
      </c>
      <c r="K1161" s="1" t="s">
        <v>45</v>
      </c>
      <c r="L1161" s="3" t="s">
        <v>397</v>
      </c>
      <c r="M1161" s="1" t="s">
        <v>12</v>
      </c>
      <c r="N1161" s="1" t="s">
        <v>80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77</v>
      </c>
      <c r="T1161" s="1" t="s">
        <v>78</v>
      </c>
      <c r="U1161" s="1" t="s">
        <v>398</v>
      </c>
      <c r="V1161" s="1" t="s">
        <v>399</v>
      </c>
      <c r="W1161" s="1">
        <v>35.6</v>
      </c>
      <c r="X1161" s="1">
        <v>-79.5</v>
      </c>
      <c r="Y1161" s="1" t="s">
        <v>141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65</v>
      </c>
      <c r="AE1161" s="1" t="s">
        <v>403</v>
      </c>
      <c r="AF1161" s="6" t="s">
        <v>49</v>
      </c>
      <c r="AG1161" s="6" t="s">
        <v>49</v>
      </c>
      <c r="AH1161" s="1" t="s">
        <v>401</v>
      </c>
      <c r="AI1161" s="1" t="s">
        <v>200</v>
      </c>
      <c r="AJ1161" s="20" t="s">
        <v>49</v>
      </c>
      <c r="AK1161" s="20" t="s">
        <v>49</v>
      </c>
      <c r="AL1161" s="20" t="s">
        <v>49</v>
      </c>
      <c r="AM1161" s="20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 t="s">
        <v>49</v>
      </c>
      <c r="AS1161" s="6">
        <v>0.13</v>
      </c>
      <c r="AT1161" s="6" t="s">
        <v>49</v>
      </c>
      <c r="AU1161" s="6" t="s">
        <v>49</v>
      </c>
      <c r="AV1161" s="6" t="s">
        <v>49</v>
      </c>
      <c r="AW1161" s="30" t="s">
        <v>49</v>
      </c>
    </row>
    <row r="1162" spans="1:49" ht="14.4" customHeight="1">
      <c r="A1162" s="1">
        <v>34</v>
      </c>
      <c r="B1162" s="1" t="s">
        <v>38</v>
      </c>
      <c r="C1162" s="6" t="s">
        <v>38</v>
      </c>
      <c r="D1162" s="1" t="s">
        <v>550</v>
      </c>
      <c r="E1162" s="1" t="s">
        <v>40</v>
      </c>
      <c r="F1162" s="1">
        <v>2008</v>
      </c>
      <c r="G1162" s="1" t="s">
        <v>393</v>
      </c>
      <c r="H1162" s="3" t="s">
        <v>394</v>
      </c>
      <c r="I1162" s="3" t="s">
        <v>395</v>
      </c>
      <c r="J1162" s="1" t="s">
        <v>396</v>
      </c>
      <c r="K1162" s="1" t="s">
        <v>45</v>
      </c>
      <c r="L1162" s="3" t="s">
        <v>397</v>
      </c>
      <c r="M1162" s="1" t="s">
        <v>12</v>
      </c>
      <c r="N1162" s="1" t="s">
        <v>80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77</v>
      </c>
      <c r="T1162" s="1" t="s">
        <v>78</v>
      </c>
      <c r="U1162" s="1" t="s">
        <v>398</v>
      </c>
      <c r="V1162" s="1" t="s">
        <v>399</v>
      </c>
      <c r="W1162" s="1">
        <v>35.6</v>
      </c>
      <c r="X1162" s="1">
        <v>-79.5</v>
      </c>
      <c r="Y1162" s="1" t="s">
        <v>141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65</v>
      </c>
      <c r="AE1162" s="1" t="s">
        <v>404</v>
      </c>
      <c r="AF1162" s="6" t="s">
        <v>49</v>
      </c>
      <c r="AG1162" s="6" t="s">
        <v>49</v>
      </c>
      <c r="AH1162" s="1" t="s">
        <v>401</v>
      </c>
      <c r="AI1162" s="1" t="s">
        <v>200</v>
      </c>
      <c r="AJ1162" s="20" t="s">
        <v>49</v>
      </c>
      <c r="AK1162" s="20" t="s">
        <v>49</v>
      </c>
      <c r="AL1162" s="20" t="s">
        <v>49</v>
      </c>
      <c r="AM1162" s="20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 t="s">
        <v>49</v>
      </c>
      <c r="AS1162" s="6">
        <v>0.11</v>
      </c>
      <c r="AT1162" s="6" t="s">
        <v>49</v>
      </c>
      <c r="AU1162" s="6" t="s">
        <v>49</v>
      </c>
      <c r="AV1162" s="6" t="s">
        <v>49</v>
      </c>
      <c r="AW1162" s="30" t="s">
        <v>49</v>
      </c>
    </row>
    <row r="1163" spans="1:49" ht="14.4" customHeight="1">
      <c r="A1163" s="1">
        <v>34</v>
      </c>
      <c r="B1163" s="1" t="s">
        <v>38</v>
      </c>
      <c r="C1163" s="6" t="s">
        <v>38</v>
      </c>
      <c r="D1163" s="1" t="s">
        <v>550</v>
      </c>
      <c r="E1163" s="1" t="s">
        <v>40</v>
      </c>
      <c r="F1163" s="1">
        <v>2008</v>
      </c>
      <c r="G1163" s="1" t="s">
        <v>393</v>
      </c>
      <c r="H1163" s="3" t="s">
        <v>394</v>
      </c>
      <c r="I1163" s="3" t="s">
        <v>395</v>
      </c>
      <c r="J1163" s="1" t="s">
        <v>396</v>
      </c>
      <c r="K1163" s="1" t="s">
        <v>45</v>
      </c>
      <c r="L1163" s="3" t="s">
        <v>397</v>
      </c>
      <c r="M1163" s="1" t="s">
        <v>12</v>
      </c>
      <c r="N1163" s="1" t="s">
        <v>80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77</v>
      </c>
      <c r="T1163" s="1" t="s">
        <v>78</v>
      </c>
      <c r="U1163" s="1" t="s">
        <v>398</v>
      </c>
      <c r="V1163" s="1" t="s">
        <v>399</v>
      </c>
      <c r="W1163" s="1">
        <v>35.6</v>
      </c>
      <c r="X1163" s="1">
        <v>-79.5</v>
      </c>
      <c r="Y1163" s="1" t="s">
        <v>141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400</v>
      </c>
      <c r="AE1163" s="1" t="s">
        <v>403</v>
      </c>
      <c r="AF1163" s="6" t="s">
        <v>49</v>
      </c>
      <c r="AG1163" s="6" t="s">
        <v>49</v>
      </c>
      <c r="AH1163" s="1" t="s">
        <v>401</v>
      </c>
      <c r="AI1163" s="1" t="s">
        <v>200</v>
      </c>
      <c r="AJ1163" s="20" t="s">
        <v>49</v>
      </c>
      <c r="AK1163" s="20" t="s">
        <v>49</v>
      </c>
      <c r="AL1163" s="20" t="s">
        <v>49</v>
      </c>
      <c r="AM1163" s="20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 t="s">
        <v>49</v>
      </c>
      <c r="AS1163" s="6">
        <v>0.23</v>
      </c>
      <c r="AT1163" s="6" t="s">
        <v>49</v>
      </c>
      <c r="AU1163" s="6" t="s">
        <v>49</v>
      </c>
      <c r="AV1163" s="6" t="s">
        <v>49</v>
      </c>
      <c r="AW1163" s="30" t="s">
        <v>49</v>
      </c>
    </row>
    <row r="1164" spans="1:49" ht="14.4" customHeight="1">
      <c r="A1164" s="1">
        <v>34</v>
      </c>
      <c r="B1164" s="1" t="s">
        <v>38</v>
      </c>
      <c r="C1164" s="6" t="s">
        <v>38</v>
      </c>
      <c r="D1164" s="1" t="s">
        <v>550</v>
      </c>
      <c r="E1164" s="1" t="s">
        <v>40</v>
      </c>
      <c r="F1164" s="1">
        <v>2008</v>
      </c>
      <c r="G1164" s="1" t="s">
        <v>393</v>
      </c>
      <c r="H1164" s="3" t="s">
        <v>394</v>
      </c>
      <c r="I1164" s="3" t="s">
        <v>395</v>
      </c>
      <c r="J1164" s="1" t="s">
        <v>396</v>
      </c>
      <c r="K1164" s="1" t="s">
        <v>45</v>
      </c>
      <c r="L1164" s="3" t="s">
        <v>397</v>
      </c>
      <c r="M1164" s="1" t="s">
        <v>12</v>
      </c>
      <c r="N1164" s="1" t="s">
        <v>80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77</v>
      </c>
      <c r="T1164" s="1" t="s">
        <v>78</v>
      </c>
      <c r="U1164" s="1" t="s">
        <v>398</v>
      </c>
      <c r="V1164" s="1" t="s">
        <v>399</v>
      </c>
      <c r="W1164" s="1">
        <v>35.6</v>
      </c>
      <c r="X1164" s="1">
        <v>-79.5</v>
      </c>
      <c r="Y1164" s="1" t="s">
        <v>141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400</v>
      </c>
      <c r="AE1164" s="1" t="s">
        <v>404</v>
      </c>
      <c r="AF1164" s="6" t="s">
        <v>49</v>
      </c>
      <c r="AG1164" s="6" t="s">
        <v>49</v>
      </c>
      <c r="AH1164" s="1" t="s">
        <v>401</v>
      </c>
      <c r="AI1164" s="1" t="s">
        <v>200</v>
      </c>
      <c r="AJ1164" s="20" t="s">
        <v>49</v>
      </c>
      <c r="AK1164" s="20" t="s">
        <v>49</v>
      </c>
      <c r="AL1164" s="20" t="s">
        <v>49</v>
      </c>
      <c r="AM1164" s="20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 t="s">
        <v>49</v>
      </c>
      <c r="AS1164" s="6">
        <v>0.12</v>
      </c>
      <c r="AT1164" s="6" t="s">
        <v>49</v>
      </c>
      <c r="AU1164" s="6" t="s">
        <v>49</v>
      </c>
      <c r="AV1164" s="6" t="s">
        <v>49</v>
      </c>
      <c r="AW1164" s="30" t="s">
        <v>49</v>
      </c>
    </row>
    <row r="1165" spans="1:49" ht="14.4" customHeight="1">
      <c r="A1165" s="1">
        <v>34</v>
      </c>
      <c r="B1165" s="1" t="s">
        <v>38</v>
      </c>
      <c r="C1165" s="6" t="s">
        <v>38</v>
      </c>
      <c r="D1165" s="1" t="s">
        <v>550</v>
      </c>
      <c r="E1165" s="1" t="s">
        <v>40</v>
      </c>
      <c r="F1165" s="1">
        <v>2008</v>
      </c>
      <c r="G1165" s="1" t="s">
        <v>393</v>
      </c>
      <c r="H1165" s="3" t="s">
        <v>394</v>
      </c>
      <c r="I1165" s="3" t="s">
        <v>395</v>
      </c>
      <c r="J1165" s="1" t="s">
        <v>396</v>
      </c>
      <c r="K1165" s="1" t="s">
        <v>45</v>
      </c>
      <c r="L1165" s="3" t="s">
        <v>397</v>
      </c>
      <c r="M1165" s="1" t="s">
        <v>12</v>
      </c>
      <c r="N1165" s="1" t="s">
        <v>80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77</v>
      </c>
      <c r="T1165" s="1" t="s">
        <v>78</v>
      </c>
      <c r="U1165" s="1" t="s">
        <v>398</v>
      </c>
      <c r="V1165" s="1" t="s">
        <v>399</v>
      </c>
      <c r="W1165" s="1">
        <v>35.6</v>
      </c>
      <c r="X1165" s="1">
        <v>-79.5</v>
      </c>
      <c r="Y1165" s="1" t="s">
        <v>141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403</v>
      </c>
      <c r="AE1165" s="1" t="s">
        <v>404</v>
      </c>
      <c r="AF1165" s="6" t="s">
        <v>49</v>
      </c>
      <c r="AG1165" s="6" t="s">
        <v>49</v>
      </c>
      <c r="AH1165" s="1" t="s">
        <v>401</v>
      </c>
      <c r="AI1165" s="1" t="s">
        <v>200</v>
      </c>
      <c r="AJ1165" s="20" t="s">
        <v>49</v>
      </c>
      <c r="AK1165" s="20" t="s">
        <v>49</v>
      </c>
      <c r="AL1165" s="20" t="s">
        <v>49</v>
      </c>
      <c r="AM1165" s="20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 t="s">
        <v>49</v>
      </c>
      <c r="AS1165" s="6">
        <v>0.7</v>
      </c>
      <c r="AT1165" s="6" t="s">
        <v>49</v>
      </c>
      <c r="AU1165" s="6" t="s">
        <v>49</v>
      </c>
      <c r="AV1165" s="6" t="s">
        <v>49</v>
      </c>
      <c r="AW1165" s="30" t="s">
        <v>49</v>
      </c>
    </row>
    <row r="1166" spans="1:49">
      <c r="A1166" s="1">
        <v>18</v>
      </c>
      <c r="B1166" s="1" t="s">
        <v>38</v>
      </c>
      <c r="C1166" s="1" t="s">
        <v>38</v>
      </c>
      <c r="D1166" s="1" t="s">
        <v>406</v>
      </c>
      <c r="E1166" s="1" t="s">
        <v>71</v>
      </c>
      <c r="F1166" s="1">
        <v>1999</v>
      </c>
      <c r="G1166" s="1" t="s">
        <v>407</v>
      </c>
      <c r="H1166" s="3" t="s">
        <v>408</v>
      </c>
      <c r="I1166" s="3" t="s">
        <v>409</v>
      </c>
      <c r="J1166" s="1" t="s">
        <v>410</v>
      </c>
      <c r="K1166" s="1" t="s">
        <v>45</v>
      </c>
      <c r="L1166" s="3" t="s">
        <v>46</v>
      </c>
      <c r="M1166" s="1" t="s">
        <v>12</v>
      </c>
      <c r="N1166" s="1" t="s">
        <v>76</v>
      </c>
      <c r="O1166" s="1">
        <v>0.41</v>
      </c>
      <c r="P1166" s="1" t="s">
        <v>49</v>
      </c>
      <c r="Q1166" s="1">
        <v>0.41</v>
      </c>
      <c r="R1166" s="1">
        <v>1</v>
      </c>
      <c r="S1166" s="1" t="s">
        <v>117</v>
      </c>
      <c r="T1166" s="1" t="s">
        <v>411</v>
      </c>
      <c r="U1166" s="1" t="s">
        <v>412</v>
      </c>
      <c r="V1166" s="1" t="s">
        <v>413</v>
      </c>
      <c r="W1166" s="1">
        <v>41.69</v>
      </c>
      <c r="X1166" s="1">
        <v>-80.06</v>
      </c>
      <c r="Y1166" s="1" t="s">
        <v>48</v>
      </c>
      <c r="Z1166" s="1" t="s">
        <v>414</v>
      </c>
      <c r="AA1166" s="1" t="s">
        <v>50</v>
      </c>
      <c r="AB1166" s="1" t="s">
        <v>51</v>
      </c>
      <c r="AC1166" s="1" t="s">
        <v>52</v>
      </c>
      <c r="AD1166" s="1" t="s">
        <v>52</v>
      </c>
      <c r="AE1166" s="1" t="s">
        <v>52</v>
      </c>
      <c r="AF1166" s="1" t="s">
        <v>53</v>
      </c>
      <c r="AG1166" s="1" t="s">
        <v>53</v>
      </c>
      <c r="AH1166" s="1" t="s">
        <v>415</v>
      </c>
      <c r="AI1166" s="1" t="s">
        <v>55</v>
      </c>
      <c r="AJ1166" s="1">
        <v>42</v>
      </c>
      <c r="AK1166" s="1">
        <v>486</v>
      </c>
      <c r="AL1166" s="4">
        <v>0.13</v>
      </c>
      <c r="AM1166" s="1">
        <v>9.1</v>
      </c>
      <c r="AN1166" s="1">
        <v>11.12</v>
      </c>
      <c r="AO1166" s="1">
        <v>13.35</v>
      </c>
      <c r="AP1166" s="6">
        <v>1</v>
      </c>
      <c r="AQ1166" s="6" t="s">
        <v>49</v>
      </c>
      <c r="AR1166" s="6" t="s">
        <v>49</v>
      </c>
      <c r="AS1166" s="1">
        <v>1.4614</v>
      </c>
      <c r="AT1166" s="4">
        <f>AS1166/(AM1166^2)*100</f>
        <v>1.7647627098176553</v>
      </c>
      <c r="AU1166" s="5">
        <v>0</v>
      </c>
      <c r="AV1166" s="4">
        <f>AT1166*(1-AL1166)/AL1166</f>
        <v>11.810335058010462</v>
      </c>
      <c r="AW1166" s="29" t="s">
        <v>416</v>
      </c>
    </row>
    <row r="1167" spans="1:49">
      <c r="A1167" s="1">
        <v>18</v>
      </c>
      <c r="B1167" s="1" t="s">
        <v>38</v>
      </c>
      <c r="C1167" s="1" t="s">
        <v>38</v>
      </c>
      <c r="D1167" s="1" t="s">
        <v>406</v>
      </c>
      <c r="E1167" s="1" t="s">
        <v>71</v>
      </c>
      <c r="F1167" s="1">
        <v>1999</v>
      </c>
      <c r="G1167" s="1" t="s">
        <v>407</v>
      </c>
      <c r="H1167" s="3" t="s">
        <v>408</v>
      </c>
      <c r="I1167" s="3" t="s">
        <v>409</v>
      </c>
      <c r="J1167" s="1" t="s">
        <v>410</v>
      </c>
      <c r="K1167" s="1" t="s">
        <v>45</v>
      </c>
      <c r="L1167" s="3" t="s">
        <v>46</v>
      </c>
      <c r="M1167" s="1" t="s">
        <v>12</v>
      </c>
      <c r="N1167" s="1" t="s">
        <v>76</v>
      </c>
      <c r="O1167" s="1">
        <v>0.41</v>
      </c>
      <c r="P1167" s="1" t="s">
        <v>49</v>
      </c>
      <c r="Q1167" s="1">
        <v>0.41</v>
      </c>
      <c r="R1167" s="1">
        <v>1</v>
      </c>
      <c r="S1167" s="1" t="s">
        <v>117</v>
      </c>
      <c r="T1167" s="1" t="s">
        <v>411</v>
      </c>
      <c r="U1167" s="1" t="s">
        <v>412</v>
      </c>
      <c r="V1167" s="1" t="s">
        <v>413</v>
      </c>
      <c r="W1167" s="1">
        <v>41.69</v>
      </c>
      <c r="X1167" s="1">
        <v>-80.06</v>
      </c>
      <c r="Y1167" s="1" t="s">
        <v>48</v>
      </c>
      <c r="Z1167" s="1" t="s">
        <v>414</v>
      </c>
      <c r="AA1167" s="1" t="s">
        <v>50</v>
      </c>
      <c r="AB1167" s="1" t="s">
        <v>66</v>
      </c>
      <c r="AC1167" s="1" t="s">
        <v>171</v>
      </c>
      <c r="AD1167" s="1" t="s">
        <v>421</v>
      </c>
      <c r="AE1167" s="1" t="s">
        <v>421</v>
      </c>
      <c r="AF1167" s="1" t="s">
        <v>60</v>
      </c>
      <c r="AG1167" s="1" t="s">
        <v>173</v>
      </c>
      <c r="AH1167" s="1" t="s">
        <v>415</v>
      </c>
      <c r="AI1167" s="1" t="s">
        <v>55</v>
      </c>
      <c r="AJ1167" s="1">
        <v>42</v>
      </c>
      <c r="AK1167" s="1">
        <v>381</v>
      </c>
      <c r="AL1167" s="4">
        <v>0.11</v>
      </c>
      <c r="AM1167" s="1">
        <v>10.25</v>
      </c>
      <c r="AN1167" s="1">
        <v>6.8390000000000004</v>
      </c>
      <c r="AO1167" s="1">
        <v>8.52</v>
      </c>
      <c r="AP1167" s="6">
        <v>1</v>
      </c>
      <c r="AQ1167" s="6" t="s">
        <v>49</v>
      </c>
      <c r="AR1167" s="6" t="s">
        <v>49</v>
      </c>
      <c r="AS1167" s="1">
        <v>0.76319999999999999</v>
      </c>
      <c r="AT1167" s="4">
        <f>AS1167/(AM1167^2)*100</f>
        <v>0.72642474717430094</v>
      </c>
      <c r="AU1167" s="5">
        <v>0</v>
      </c>
      <c r="AV1167" s="4">
        <f>AT1167*(1-AL1167)/AL1167</f>
        <v>5.8774365907738897</v>
      </c>
      <c r="AW1167" s="29" t="s">
        <v>416</v>
      </c>
    </row>
    <row r="1168" spans="1:49">
      <c r="A1168" s="1">
        <v>18</v>
      </c>
      <c r="B1168" s="1" t="s">
        <v>38</v>
      </c>
      <c r="C1168" s="1" t="s">
        <v>38</v>
      </c>
      <c r="D1168" s="1" t="s">
        <v>406</v>
      </c>
      <c r="E1168" s="1" t="s">
        <v>71</v>
      </c>
      <c r="F1168" s="1">
        <v>1999</v>
      </c>
      <c r="G1168" s="1" t="s">
        <v>407</v>
      </c>
      <c r="H1168" s="3" t="s">
        <v>408</v>
      </c>
      <c r="I1168" s="3" t="s">
        <v>409</v>
      </c>
      <c r="J1168" s="1" t="s">
        <v>410</v>
      </c>
      <c r="K1168" s="1" t="s">
        <v>45</v>
      </c>
      <c r="L1168" s="3" t="s">
        <v>46</v>
      </c>
      <c r="M1168" s="1" t="s">
        <v>12</v>
      </c>
      <c r="N1168" s="1" t="s">
        <v>76</v>
      </c>
      <c r="O1168" s="1">
        <v>0.41</v>
      </c>
      <c r="P1168" s="1" t="s">
        <v>49</v>
      </c>
      <c r="Q1168" s="1">
        <v>0.41</v>
      </c>
      <c r="R1168" s="1">
        <v>1</v>
      </c>
      <c r="S1168" s="1" t="s">
        <v>117</v>
      </c>
      <c r="T1168" s="1" t="s">
        <v>411</v>
      </c>
      <c r="U1168" s="1" t="s">
        <v>412</v>
      </c>
      <c r="V1168" s="1" t="s">
        <v>413</v>
      </c>
      <c r="W1168" s="1">
        <v>41.69</v>
      </c>
      <c r="X1168" s="1">
        <v>-80.06</v>
      </c>
      <c r="Y1168" s="1" t="s">
        <v>48</v>
      </c>
      <c r="Z1168" s="1" t="s">
        <v>414</v>
      </c>
      <c r="AA1168" s="1" t="s">
        <v>50</v>
      </c>
      <c r="AB1168" s="1" t="s">
        <v>201</v>
      </c>
      <c r="AC1168" s="1" t="s">
        <v>202</v>
      </c>
      <c r="AD1168" s="1" t="s">
        <v>418</v>
      </c>
      <c r="AE1168" s="1" t="s">
        <v>418</v>
      </c>
      <c r="AF1168" s="1" t="s">
        <v>53</v>
      </c>
      <c r="AG1168" s="1" t="s">
        <v>53</v>
      </c>
      <c r="AH1168" s="1" t="s">
        <v>415</v>
      </c>
      <c r="AI1168" s="1" t="s">
        <v>55</v>
      </c>
      <c r="AJ1168" s="1">
        <v>42</v>
      </c>
      <c r="AK1168" s="1">
        <v>486</v>
      </c>
      <c r="AL1168" s="4">
        <v>0.38</v>
      </c>
      <c r="AM1168" s="1">
        <v>101.1</v>
      </c>
      <c r="AN1168" s="1">
        <v>452.89</v>
      </c>
      <c r="AO1168" s="1">
        <v>12.93</v>
      </c>
      <c r="AP1168" s="6">
        <v>1</v>
      </c>
      <c r="AQ1168" s="6" t="s">
        <v>49</v>
      </c>
      <c r="AR1168" s="6" t="s">
        <v>49</v>
      </c>
      <c r="AS1168" s="1">
        <v>171.08</v>
      </c>
      <c r="AT1168" s="4">
        <f>AS1168/(AM1168^2)*100</f>
        <v>1.67377443570771</v>
      </c>
      <c r="AU1168" s="5">
        <v>0</v>
      </c>
      <c r="AV1168" s="4">
        <f>AT1168*(1-AL1168)/AL1168</f>
        <v>2.7308951319441586</v>
      </c>
      <c r="AW1168" s="29" t="s">
        <v>416</v>
      </c>
    </row>
    <row r="1169" spans="1:49">
      <c r="A1169" s="1">
        <v>18</v>
      </c>
      <c r="B1169" s="1" t="s">
        <v>38</v>
      </c>
      <c r="C1169" s="1" t="s">
        <v>38</v>
      </c>
      <c r="D1169" s="1" t="s">
        <v>406</v>
      </c>
      <c r="E1169" s="1" t="s">
        <v>71</v>
      </c>
      <c r="F1169" s="1">
        <v>1999</v>
      </c>
      <c r="G1169" s="1" t="s">
        <v>407</v>
      </c>
      <c r="H1169" s="3" t="s">
        <v>408</v>
      </c>
      <c r="I1169" s="3" t="s">
        <v>409</v>
      </c>
      <c r="J1169" s="1" t="s">
        <v>410</v>
      </c>
      <c r="K1169" s="1" t="s">
        <v>45</v>
      </c>
      <c r="L1169" s="3" t="s">
        <v>46</v>
      </c>
      <c r="M1169" s="1" t="s">
        <v>12</v>
      </c>
      <c r="N1169" s="1" t="s">
        <v>76</v>
      </c>
      <c r="O1169" s="1">
        <v>0.41</v>
      </c>
      <c r="P1169" s="1" t="s">
        <v>49</v>
      </c>
      <c r="Q1169" s="1">
        <v>0.41</v>
      </c>
      <c r="R1169" s="1">
        <v>1</v>
      </c>
      <c r="S1169" s="1" t="s">
        <v>117</v>
      </c>
      <c r="T1169" s="1" t="s">
        <v>411</v>
      </c>
      <c r="U1169" s="1" t="s">
        <v>412</v>
      </c>
      <c r="V1169" s="1" t="s">
        <v>413</v>
      </c>
      <c r="W1169" s="1">
        <v>41.69</v>
      </c>
      <c r="X1169" s="1">
        <v>-80.06</v>
      </c>
      <c r="Y1169" s="1" t="s">
        <v>48</v>
      </c>
      <c r="Z1169" s="1" t="s">
        <v>414</v>
      </c>
      <c r="AA1169" s="1" t="s">
        <v>50</v>
      </c>
      <c r="AB1169" s="1" t="s">
        <v>66</v>
      </c>
      <c r="AC1169" s="1" t="s">
        <v>124</v>
      </c>
      <c r="AD1169" s="1" t="s">
        <v>126</v>
      </c>
      <c r="AE1169" s="1" t="s">
        <v>126</v>
      </c>
      <c r="AF1169" s="1" t="s">
        <v>60</v>
      </c>
      <c r="AG1169" s="1" t="s">
        <v>61</v>
      </c>
      <c r="AH1169" s="1" t="s">
        <v>415</v>
      </c>
      <c r="AI1169" s="1" t="s">
        <v>55</v>
      </c>
      <c r="AJ1169" s="1">
        <v>42</v>
      </c>
      <c r="AK1169" s="1">
        <v>486</v>
      </c>
      <c r="AL1169" s="4">
        <v>-0.14000000000000001</v>
      </c>
      <c r="AM1169" s="1">
        <v>6.86</v>
      </c>
      <c r="AN1169" s="1">
        <v>0.99270000000000003</v>
      </c>
      <c r="AO1169" s="1" t="s">
        <v>49</v>
      </c>
      <c r="AP1169" s="6">
        <v>1</v>
      </c>
      <c r="AQ1169" s="6" t="s">
        <v>49</v>
      </c>
      <c r="AR1169" s="6" t="s">
        <v>49</v>
      </c>
      <c r="AS1169" s="1">
        <v>-0.13539999999999999</v>
      </c>
      <c r="AT1169" s="4">
        <f>AS1169/(AM1169^2)*100</f>
        <v>-0.28772025261583178</v>
      </c>
      <c r="AU1169" s="5">
        <v>0</v>
      </c>
      <c r="AV1169" s="4">
        <f>AT1169*(1-AL1169)/AL1169</f>
        <v>2.3428649141574871</v>
      </c>
      <c r="AW1169" s="29" t="s">
        <v>416</v>
      </c>
    </row>
    <row r="1170" spans="1:49">
      <c r="A1170" s="1">
        <v>18</v>
      </c>
      <c r="B1170" s="1" t="s">
        <v>38</v>
      </c>
      <c r="C1170" s="1" t="s">
        <v>38</v>
      </c>
      <c r="D1170" s="1" t="s">
        <v>406</v>
      </c>
      <c r="E1170" s="1" t="s">
        <v>71</v>
      </c>
      <c r="F1170" s="1">
        <v>1999</v>
      </c>
      <c r="G1170" s="1" t="s">
        <v>407</v>
      </c>
      <c r="H1170" s="3" t="s">
        <v>408</v>
      </c>
      <c r="I1170" s="3" t="s">
        <v>409</v>
      </c>
      <c r="J1170" s="1" t="s">
        <v>410</v>
      </c>
      <c r="K1170" s="1" t="s">
        <v>45</v>
      </c>
      <c r="L1170" s="3" t="s">
        <v>46</v>
      </c>
      <c r="M1170" s="1" t="s">
        <v>12</v>
      </c>
      <c r="N1170" s="1" t="s">
        <v>76</v>
      </c>
      <c r="O1170" s="1">
        <v>0.41</v>
      </c>
      <c r="P1170" s="1" t="s">
        <v>49</v>
      </c>
      <c r="Q1170" s="1">
        <v>0.41</v>
      </c>
      <c r="R1170" s="1">
        <v>1</v>
      </c>
      <c r="S1170" s="1" t="s">
        <v>117</v>
      </c>
      <c r="T1170" s="1" t="s">
        <v>411</v>
      </c>
      <c r="U1170" s="1" t="s">
        <v>412</v>
      </c>
      <c r="V1170" s="1" t="s">
        <v>413</v>
      </c>
      <c r="W1170" s="1">
        <v>41.69</v>
      </c>
      <c r="X1170" s="1">
        <v>-80.06</v>
      </c>
      <c r="Y1170" s="1" t="s">
        <v>48</v>
      </c>
      <c r="Z1170" s="1" t="s">
        <v>414</v>
      </c>
      <c r="AA1170" s="1" t="s">
        <v>50</v>
      </c>
      <c r="AB1170" s="1" t="s">
        <v>57</v>
      </c>
      <c r="AC1170" s="1" t="s">
        <v>86</v>
      </c>
      <c r="AD1170" s="1" t="s">
        <v>234</v>
      </c>
      <c r="AE1170" s="1" t="s">
        <v>234</v>
      </c>
      <c r="AF1170" s="1" t="s">
        <v>60</v>
      </c>
      <c r="AG1170" s="1" t="s">
        <v>61</v>
      </c>
      <c r="AH1170" s="1" t="s">
        <v>415</v>
      </c>
      <c r="AI1170" s="1" t="s">
        <v>55</v>
      </c>
      <c r="AJ1170" s="1">
        <v>42</v>
      </c>
      <c r="AK1170" s="1">
        <v>486</v>
      </c>
      <c r="AL1170" s="4">
        <v>-0.25</v>
      </c>
      <c r="AM1170" s="1">
        <v>1.66</v>
      </c>
      <c r="AN1170" s="1">
        <v>0.14779999999999999</v>
      </c>
      <c r="AO1170" s="1" t="s">
        <v>49</v>
      </c>
      <c r="AP1170" s="6">
        <v>1</v>
      </c>
      <c r="AQ1170" s="6" t="s">
        <v>49</v>
      </c>
      <c r="AR1170" s="6" t="s">
        <v>49</v>
      </c>
      <c r="AS1170" s="1">
        <v>-3.6400000000000002E-2</v>
      </c>
      <c r="AT1170" s="4">
        <f>AS1170/(AM1170^2)*100</f>
        <v>-1.320946436347801</v>
      </c>
      <c r="AU1170" s="5">
        <v>0</v>
      </c>
      <c r="AV1170" s="4">
        <f>AT1170*(1-AL1170)/AL1170</f>
        <v>6.6047321817390046</v>
      </c>
      <c r="AW1170" s="29" t="s">
        <v>416</v>
      </c>
    </row>
    <row r="1171" spans="1:49">
      <c r="A1171" s="1">
        <v>18</v>
      </c>
      <c r="B1171" s="1" t="s">
        <v>38</v>
      </c>
      <c r="C1171" s="1" t="s">
        <v>38</v>
      </c>
      <c r="D1171" s="1" t="s">
        <v>406</v>
      </c>
      <c r="E1171" s="1" t="s">
        <v>71</v>
      </c>
      <c r="F1171" s="1">
        <v>1999</v>
      </c>
      <c r="G1171" s="1" t="s">
        <v>407</v>
      </c>
      <c r="H1171" s="3" t="s">
        <v>408</v>
      </c>
      <c r="I1171" s="3" t="s">
        <v>409</v>
      </c>
      <c r="J1171" s="1" t="s">
        <v>410</v>
      </c>
      <c r="K1171" s="1" t="s">
        <v>45</v>
      </c>
      <c r="L1171" s="3" t="s">
        <v>46</v>
      </c>
      <c r="M1171" s="1" t="s">
        <v>12</v>
      </c>
      <c r="N1171" s="1" t="s">
        <v>76</v>
      </c>
      <c r="O1171" s="1">
        <v>0.41</v>
      </c>
      <c r="P1171" s="1" t="s">
        <v>49</v>
      </c>
      <c r="Q1171" s="1">
        <v>0.41</v>
      </c>
      <c r="R1171" s="1">
        <v>1</v>
      </c>
      <c r="S1171" s="1" t="s">
        <v>117</v>
      </c>
      <c r="T1171" s="1" t="s">
        <v>411</v>
      </c>
      <c r="U1171" s="1" t="s">
        <v>412</v>
      </c>
      <c r="V1171" s="1" t="s">
        <v>413</v>
      </c>
      <c r="W1171" s="1">
        <v>41.69</v>
      </c>
      <c r="X1171" s="1">
        <v>-80.06</v>
      </c>
      <c r="Y1171" s="1" t="s">
        <v>48</v>
      </c>
      <c r="Z1171" s="1" t="s">
        <v>414</v>
      </c>
      <c r="AA1171" s="6" t="s">
        <v>49</v>
      </c>
      <c r="AB1171" s="6" t="s">
        <v>49</v>
      </c>
      <c r="AC1171" s="6" t="s">
        <v>49</v>
      </c>
      <c r="AD1171" s="1" t="s">
        <v>52</v>
      </c>
      <c r="AE1171" s="1" t="s">
        <v>421</v>
      </c>
      <c r="AF1171" s="6" t="s">
        <v>49</v>
      </c>
      <c r="AG1171" s="6" t="s">
        <v>49</v>
      </c>
      <c r="AH1171" s="1" t="s">
        <v>415</v>
      </c>
      <c r="AI1171" s="1" t="s">
        <v>55</v>
      </c>
      <c r="AJ1171" s="20" t="s">
        <v>49</v>
      </c>
      <c r="AK1171" s="20" t="s">
        <v>49</v>
      </c>
      <c r="AL1171" s="20" t="s">
        <v>49</v>
      </c>
      <c r="AM1171" s="20" t="s">
        <v>49</v>
      </c>
      <c r="AN1171" s="1" t="s">
        <v>49</v>
      </c>
      <c r="AO1171" s="1" t="s">
        <v>49</v>
      </c>
      <c r="AP1171" s="6">
        <v>1</v>
      </c>
      <c r="AQ1171" s="6">
        <v>0.26</v>
      </c>
      <c r="AR1171" s="6" t="s">
        <v>49</v>
      </c>
      <c r="AS1171" s="6" t="s">
        <v>49</v>
      </c>
      <c r="AT1171" s="6" t="s">
        <v>49</v>
      </c>
      <c r="AU1171" s="6" t="s">
        <v>49</v>
      </c>
      <c r="AV1171" s="6" t="s">
        <v>49</v>
      </c>
      <c r="AW1171" s="30" t="s">
        <v>49</v>
      </c>
    </row>
    <row r="1172" spans="1:49">
      <c r="A1172" s="1">
        <v>18</v>
      </c>
      <c r="B1172" s="1" t="s">
        <v>38</v>
      </c>
      <c r="C1172" s="1" t="s">
        <v>38</v>
      </c>
      <c r="D1172" s="1" t="s">
        <v>406</v>
      </c>
      <c r="E1172" s="1" t="s">
        <v>71</v>
      </c>
      <c r="F1172" s="1">
        <v>1999</v>
      </c>
      <c r="G1172" s="1" t="s">
        <v>407</v>
      </c>
      <c r="H1172" s="3" t="s">
        <v>408</v>
      </c>
      <c r="I1172" s="3" t="s">
        <v>409</v>
      </c>
      <c r="J1172" s="1" t="s">
        <v>410</v>
      </c>
      <c r="K1172" s="1" t="s">
        <v>45</v>
      </c>
      <c r="L1172" s="3" t="s">
        <v>46</v>
      </c>
      <c r="M1172" s="1" t="s">
        <v>12</v>
      </c>
      <c r="N1172" s="1" t="s">
        <v>76</v>
      </c>
      <c r="O1172" s="1">
        <v>0.41</v>
      </c>
      <c r="P1172" s="1" t="s">
        <v>49</v>
      </c>
      <c r="Q1172" s="1">
        <v>0.41</v>
      </c>
      <c r="R1172" s="1">
        <v>1</v>
      </c>
      <c r="S1172" s="1" t="s">
        <v>117</v>
      </c>
      <c r="T1172" s="1" t="s">
        <v>411</v>
      </c>
      <c r="U1172" s="1" t="s">
        <v>412</v>
      </c>
      <c r="V1172" s="1" t="s">
        <v>413</v>
      </c>
      <c r="W1172" s="1">
        <v>41.69</v>
      </c>
      <c r="X1172" s="1">
        <v>-80.06</v>
      </c>
      <c r="Y1172" s="1" t="s">
        <v>48</v>
      </c>
      <c r="Z1172" s="1" t="s">
        <v>414</v>
      </c>
      <c r="AA1172" s="6" t="s">
        <v>49</v>
      </c>
      <c r="AB1172" s="6" t="s">
        <v>49</v>
      </c>
      <c r="AC1172" s="6" t="s">
        <v>49</v>
      </c>
      <c r="AD1172" s="1" t="s">
        <v>52</v>
      </c>
      <c r="AE1172" s="1" t="s">
        <v>418</v>
      </c>
      <c r="AF1172" s="6" t="s">
        <v>49</v>
      </c>
      <c r="AG1172" s="6" t="s">
        <v>49</v>
      </c>
      <c r="AH1172" s="1" t="s">
        <v>415</v>
      </c>
      <c r="AI1172" s="1" t="s">
        <v>55</v>
      </c>
      <c r="AJ1172" s="20" t="s">
        <v>49</v>
      </c>
      <c r="AK1172" s="20" t="s">
        <v>49</v>
      </c>
      <c r="AL1172" s="20" t="s">
        <v>49</v>
      </c>
      <c r="AM1172" s="20" t="s">
        <v>49</v>
      </c>
      <c r="AN1172" s="1" t="s">
        <v>49</v>
      </c>
      <c r="AO1172" s="1" t="s">
        <v>49</v>
      </c>
      <c r="AP1172" s="6">
        <v>1</v>
      </c>
      <c r="AQ1172" s="6">
        <v>-0.06</v>
      </c>
      <c r="AR1172" s="6" t="s">
        <v>49</v>
      </c>
      <c r="AS1172" s="6" t="s">
        <v>49</v>
      </c>
      <c r="AT1172" s="6" t="s">
        <v>49</v>
      </c>
      <c r="AU1172" s="6" t="s">
        <v>49</v>
      </c>
      <c r="AV1172" s="6" t="s">
        <v>49</v>
      </c>
      <c r="AW1172" s="30" t="s">
        <v>49</v>
      </c>
    </row>
    <row r="1173" spans="1:49">
      <c r="A1173" s="1">
        <v>18</v>
      </c>
      <c r="B1173" s="1" t="s">
        <v>38</v>
      </c>
      <c r="C1173" s="1" t="s">
        <v>38</v>
      </c>
      <c r="D1173" s="1" t="s">
        <v>406</v>
      </c>
      <c r="E1173" s="1" t="s">
        <v>71</v>
      </c>
      <c r="F1173" s="1">
        <v>1999</v>
      </c>
      <c r="G1173" s="1" t="s">
        <v>407</v>
      </c>
      <c r="H1173" s="3" t="s">
        <v>408</v>
      </c>
      <c r="I1173" s="3" t="s">
        <v>409</v>
      </c>
      <c r="J1173" s="1" t="s">
        <v>410</v>
      </c>
      <c r="K1173" s="1" t="s">
        <v>45</v>
      </c>
      <c r="L1173" s="3" t="s">
        <v>46</v>
      </c>
      <c r="M1173" s="1" t="s">
        <v>12</v>
      </c>
      <c r="N1173" s="1" t="s">
        <v>76</v>
      </c>
      <c r="O1173" s="1">
        <v>0.41</v>
      </c>
      <c r="P1173" s="1" t="s">
        <v>49</v>
      </c>
      <c r="Q1173" s="1">
        <v>0.41</v>
      </c>
      <c r="R1173" s="1">
        <v>1</v>
      </c>
      <c r="S1173" s="1" t="s">
        <v>117</v>
      </c>
      <c r="T1173" s="1" t="s">
        <v>411</v>
      </c>
      <c r="U1173" s="1" t="s">
        <v>412</v>
      </c>
      <c r="V1173" s="1" t="s">
        <v>413</v>
      </c>
      <c r="W1173" s="1">
        <v>41.69</v>
      </c>
      <c r="X1173" s="1">
        <v>-80.06</v>
      </c>
      <c r="Y1173" s="1" t="s">
        <v>48</v>
      </c>
      <c r="Z1173" s="1" t="s">
        <v>414</v>
      </c>
      <c r="AA1173" s="6" t="s">
        <v>49</v>
      </c>
      <c r="AB1173" s="6" t="s">
        <v>49</v>
      </c>
      <c r="AC1173" s="6" t="s">
        <v>49</v>
      </c>
      <c r="AD1173" s="1" t="s">
        <v>52</v>
      </c>
      <c r="AE1173" s="1" t="s">
        <v>126</v>
      </c>
      <c r="AF1173" s="6" t="s">
        <v>49</v>
      </c>
      <c r="AG1173" s="6" t="s">
        <v>49</v>
      </c>
      <c r="AH1173" s="1" t="s">
        <v>415</v>
      </c>
      <c r="AI1173" s="1" t="s">
        <v>55</v>
      </c>
      <c r="AJ1173" s="20" t="s">
        <v>49</v>
      </c>
      <c r="AK1173" s="20" t="s">
        <v>49</v>
      </c>
      <c r="AL1173" s="20" t="s">
        <v>49</v>
      </c>
      <c r="AM1173" s="20" t="s">
        <v>49</v>
      </c>
      <c r="AN1173" s="1" t="s">
        <v>49</v>
      </c>
      <c r="AO1173" s="1" t="s">
        <v>49</v>
      </c>
      <c r="AP1173" s="6">
        <v>1</v>
      </c>
      <c r="AQ1173" s="6">
        <v>0.03</v>
      </c>
      <c r="AR1173" s="6" t="s">
        <v>49</v>
      </c>
      <c r="AS1173" s="6" t="s">
        <v>49</v>
      </c>
      <c r="AT1173" s="6" t="s">
        <v>49</v>
      </c>
      <c r="AU1173" s="6" t="s">
        <v>49</v>
      </c>
      <c r="AV1173" s="6" t="s">
        <v>49</v>
      </c>
      <c r="AW1173" s="30" t="s">
        <v>49</v>
      </c>
    </row>
    <row r="1174" spans="1:49">
      <c r="A1174" s="1">
        <v>18</v>
      </c>
      <c r="B1174" s="1" t="s">
        <v>38</v>
      </c>
      <c r="C1174" s="1" t="s">
        <v>38</v>
      </c>
      <c r="D1174" s="1" t="s">
        <v>406</v>
      </c>
      <c r="E1174" s="1" t="s">
        <v>71</v>
      </c>
      <c r="F1174" s="1">
        <v>1999</v>
      </c>
      <c r="G1174" s="1" t="s">
        <v>407</v>
      </c>
      <c r="H1174" s="3" t="s">
        <v>408</v>
      </c>
      <c r="I1174" s="3" t="s">
        <v>409</v>
      </c>
      <c r="J1174" s="1" t="s">
        <v>410</v>
      </c>
      <c r="K1174" s="1" t="s">
        <v>45</v>
      </c>
      <c r="L1174" s="3" t="s">
        <v>46</v>
      </c>
      <c r="M1174" s="1" t="s">
        <v>12</v>
      </c>
      <c r="N1174" s="1" t="s">
        <v>76</v>
      </c>
      <c r="O1174" s="1">
        <v>0.41</v>
      </c>
      <c r="P1174" s="1" t="s">
        <v>49</v>
      </c>
      <c r="Q1174" s="1">
        <v>0.41</v>
      </c>
      <c r="R1174" s="1">
        <v>1</v>
      </c>
      <c r="S1174" s="1" t="s">
        <v>117</v>
      </c>
      <c r="T1174" s="1" t="s">
        <v>411</v>
      </c>
      <c r="U1174" s="1" t="s">
        <v>412</v>
      </c>
      <c r="V1174" s="1" t="s">
        <v>413</v>
      </c>
      <c r="W1174" s="1">
        <v>41.69</v>
      </c>
      <c r="X1174" s="1">
        <v>-80.06</v>
      </c>
      <c r="Y1174" s="1" t="s">
        <v>48</v>
      </c>
      <c r="Z1174" s="1" t="s">
        <v>414</v>
      </c>
      <c r="AA1174" s="6" t="s">
        <v>49</v>
      </c>
      <c r="AB1174" s="6" t="s">
        <v>49</v>
      </c>
      <c r="AC1174" s="6" t="s">
        <v>49</v>
      </c>
      <c r="AD1174" s="1" t="s">
        <v>52</v>
      </c>
      <c r="AE1174" s="1" t="s">
        <v>234</v>
      </c>
      <c r="AF1174" s="6" t="s">
        <v>49</v>
      </c>
      <c r="AG1174" s="6" t="s">
        <v>49</v>
      </c>
      <c r="AH1174" s="1" t="s">
        <v>415</v>
      </c>
      <c r="AI1174" s="1" t="s">
        <v>55</v>
      </c>
      <c r="AJ1174" s="20" t="s">
        <v>49</v>
      </c>
      <c r="AK1174" s="20" t="s">
        <v>49</v>
      </c>
      <c r="AL1174" s="20" t="s">
        <v>49</v>
      </c>
      <c r="AM1174" s="20" t="s">
        <v>49</v>
      </c>
      <c r="AN1174" s="1" t="s">
        <v>49</v>
      </c>
      <c r="AO1174" s="1" t="s">
        <v>49</v>
      </c>
      <c r="AP1174" s="6">
        <v>1</v>
      </c>
      <c r="AQ1174" s="6">
        <v>0.01</v>
      </c>
      <c r="AR1174" s="6" t="s">
        <v>49</v>
      </c>
      <c r="AS1174" s="6" t="s">
        <v>49</v>
      </c>
      <c r="AT1174" s="6" t="s">
        <v>49</v>
      </c>
      <c r="AU1174" s="6" t="s">
        <v>49</v>
      </c>
      <c r="AV1174" s="6" t="s">
        <v>49</v>
      </c>
      <c r="AW1174" s="30" t="s">
        <v>49</v>
      </c>
    </row>
    <row r="1175" spans="1:49">
      <c r="A1175" s="1">
        <v>18</v>
      </c>
      <c r="B1175" s="1" t="s">
        <v>38</v>
      </c>
      <c r="C1175" s="1" t="s">
        <v>38</v>
      </c>
      <c r="D1175" s="1" t="s">
        <v>406</v>
      </c>
      <c r="E1175" s="1" t="s">
        <v>71</v>
      </c>
      <c r="F1175" s="1">
        <v>1999</v>
      </c>
      <c r="G1175" s="1" t="s">
        <v>407</v>
      </c>
      <c r="H1175" s="3" t="s">
        <v>408</v>
      </c>
      <c r="I1175" s="3" t="s">
        <v>409</v>
      </c>
      <c r="J1175" s="1" t="s">
        <v>410</v>
      </c>
      <c r="K1175" s="1" t="s">
        <v>45</v>
      </c>
      <c r="L1175" s="3" t="s">
        <v>46</v>
      </c>
      <c r="M1175" s="1" t="s">
        <v>12</v>
      </c>
      <c r="N1175" s="1" t="s">
        <v>76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117</v>
      </c>
      <c r="T1175" s="1" t="s">
        <v>411</v>
      </c>
      <c r="U1175" s="1" t="s">
        <v>412</v>
      </c>
      <c r="V1175" s="1" t="s">
        <v>413</v>
      </c>
      <c r="W1175" s="1">
        <v>41.69</v>
      </c>
      <c r="X1175" s="1">
        <v>-80.06</v>
      </c>
      <c r="Y1175" s="1" t="s">
        <v>48</v>
      </c>
      <c r="Z1175" s="1" t="s">
        <v>414</v>
      </c>
      <c r="AA1175" s="6" t="s">
        <v>49</v>
      </c>
      <c r="AB1175" s="6" t="s">
        <v>49</v>
      </c>
      <c r="AC1175" s="6" t="s">
        <v>49</v>
      </c>
      <c r="AD1175" s="1" t="s">
        <v>421</v>
      </c>
      <c r="AE1175" s="1" t="s">
        <v>418</v>
      </c>
      <c r="AF1175" s="6" t="s">
        <v>49</v>
      </c>
      <c r="AG1175" s="6" t="s">
        <v>49</v>
      </c>
      <c r="AH1175" s="1" t="s">
        <v>415</v>
      </c>
      <c r="AI1175" s="1" t="s">
        <v>55</v>
      </c>
      <c r="AJ1175" s="20" t="s">
        <v>49</v>
      </c>
      <c r="AK1175" s="20" t="s">
        <v>49</v>
      </c>
      <c r="AL1175" s="20" t="s">
        <v>49</v>
      </c>
      <c r="AM1175" s="20" t="s">
        <v>49</v>
      </c>
      <c r="AN1175" s="1" t="s">
        <v>49</v>
      </c>
      <c r="AO1175" s="1" t="s">
        <v>49</v>
      </c>
      <c r="AP1175" s="6">
        <v>1</v>
      </c>
      <c r="AQ1175" s="6">
        <v>0.56999999999999995</v>
      </c>
      <c r="AR1175" s="6" t="s">
        <v>49</v>
      </c>
      <c r="AS1175" s="6" t="s">
        <v>49</v>
      </c>
      <c r="AT1175" s="6" t="s">
        <v>49</v>
      </c>
      <c r="AU1175" s="6" t="s">
        <v>49</v>
      </c>
      <c r="AV1175" s="6" t="s">
        <v>49</v>
      </c>
      <c r="AW1175" s="30" t="s">
        <v>49</v>
      </c>
    </row>
    <row r="1176" spans="1:49">
      <c r="A1176" s="1">
        <v>18</v>
      </c>
      <c r="B1176" s="1" t="s">
        <v>38</v>
      </c>
      <c r="C1176" s="1" t="s">
        <v>38</v>
      </c>
      <c r="D1176" s="1" t="s">
        <v>406</v>
      </c>
      <c r="E1176" s="1" t="s">
        <v>71</v>
      </c>
      <c r="F1176" s="1">
        <v>1999</v>
      </c>
      <c r="G1176" s="1" t="s">
        <v>407</v>
      </c>
      <c r="H1176" s="3" t="s">
        <v>408</v>
      </c>
      <c r="I1176" s="3" t="s">
        <v>409</v>
      </c>
      <c r="J1176" s="1" t="s">
        <v>410</v>
      </c>
      <c r="K1176" s="1" t="s">
        <v>45</v>
      </c>
      <c r="L1176" s="3" t="s">
        <v>46</v>
      </c>
      <c r="M1176" s="1" t="s">
        <v>12</v>
      </c>
      <c r="N1176" s="1" t="s">
        <v>76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117</v>
      </c>
      <c r="T1176" s="1" t="s">
        <v>411</v>
      </c>
      <c r="U1176" s="1" t="s">
        <v>412</v>
      </c>
      <c r="V1176" s="1" t="s">
        <v>413</v>
      </c>
      <c r="W1176" s="1">
        <v>41.69</v>
      </c>
      <c r="X1176" s="1">
        <v>-80.06</v>
      </c>
      <c r="Y1176" s="1" t="s">
        <v>48</v>
      </c>
      <c r="Z1176" s="1" t="s">
        <v>414</v>
      </c>
      <c r="AA1176" s="6" t="s">
        <v>49</v>
      </c>
      <c r="AB1176" s="6" t="s">
        <v>49</v>
      </c>
      <c r="AC1176" s="6" t="s">
        <v>49</v>
      </c>
      <c r="AD1176" s="1" t="s">
        <v>421</v>
      </c>
      <c r="AE1176" s="1" t="s">
        <v>126</v>
      </c>
      <c r="AF1176" s="6" t="s">
        <v>49</v>
      </c>
      <c r="AG1176" s="6" t="s">
        <v>49</v>
      </c>
      <c r="AH1176" s="1" t="s">
        <v>415</v>
      </c>
      <c r="AI1176" s="1" t="s">
        <v>55</v>
      </c>
      <c r="AJ1176" s="20" t="s">
        <v>49</v>
      </c>
      <c r="AK1176" s="20" t="s">
        <v>49</v>
      </c>
      <c r="AL1176" s="20" t="s">
        <v>49</v>
      </c>
      <c r="AM1176" s="20" t="s">
        <v>49</v>
      </c>
      <c r="AN1176" s="1" t="s">
        <v>49</v>
      </c>
      <c r="AO1176" s="1" t="s">
        <v>49</v>
      </c>
      <c r="AP1176" s="6">
        <v>1</v>
      </c>
      <c r="AQ1176" s="6">
        <v>0.53</v>
      </c>
      <c r="AR1176" s="6" t="s">
        <v>49</v>
      </c>
      <c r="AS1176" s="6" t="s">
        <v>49</v>
      </c>
      <c r="AT1176" s="6" t="s">
        <v>49</v>
      </c>
      <c r="AU1176" s="6" t="s">
        <v>49</v>
      </c>
      <c r="AV1176" s="6" t="s">
        <v>49</v>
      </c>
      <c r="AW1176" s="30" t="s">
        <v>49</v>
      </c>
    </row>
    <row r="1177" spans="1:49">
      <c r="A1177" s="1">
        <v>18</v>
      </c>
      <c r="B1177" s="1" t="s">
        <v>38</v>
      </c>
      <c r="C1177" s="1" t="s">
        <v>38</v>
      </c>
      <c r="D1177" s="1" t="s">
        <v>406</v>
      </c>
      <c r="E1177" s="1" t="s">
        <v>71</v>
      </c>
      <c r="F1177" s="1">
        <v>1999</v>
      </c>
      <c r="G1177" s="1" t="s">
        <v>407</v>
      </c>
      <c r="H1177" s="3" t="s">
        <v>408</v>
      </c>
      <c r="I1177" s="3" t="s">
        <v>409</v>
      </c>
      <c r="J1177" s="1" t="s">
        <v>410</v>
      </c>
      <c r="K1177" s="1" t="s">
        <v>45</v>
      </c>
      <c r="L1177" s="3" t="s">
        <v>46</v>
      </c>
      <c r="M1177" s="1" t="s">
        <v>12</v>
      </c>
      <c r="N1177" s="1" t="s">
        <v>76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117</v>
      </c>
      <c r="T1177" s="1" t="s">
        <v>411</v>
      </c>
      <c r="U1177" s="1" t="s">
        <v>412</v>
      </c>
      <c r="V1177" s="1" t="s">
        <v>413</v>
      </c>
      <c r="W1177" s="1">
        <v>41.69</v>
      </c>
      <c r="X1177" s="1">
        <v>-80.06</v>
      </c>
      <c r="Y1177" s="1" t="s">
        <v>48</v>
      </c>
      <c r="Z1177" s="1" t="s">
        <v>414</v>
      </c>
      <c r="AA1177" s="6" t="s">
        <v>49</v>
      </c>
      <c r="AB1177" s="6" t="s">
        <v>49</v>
      </c>
      <c r="AC1177" s="6" t="s">
        <v>49</v>
      </c>
      <c r="AD1177" s="1" t="s">
        <v>421</v>
      </c>
      <c r="AE1177" s="1" t="s">
        <v>234</v>
      </c>
      <c r="AF1177" s="6" t="s">
        <v>49</v>
      </c>
      <c r="AG1177" s="6" t="s">
        <v>49</v>
      </c>
      <c r="AH1177" s="1" t="s">
        <v>415</v>
      </c>
      <c r="AI1177" s="1" t="s">
        <v>55</v>
      </c>
      <c r="AJ1177" s="20" t="s">
        <v>49</v>
      </c>
      <c r="AK1177" s="20" t="s">
        <v>49</v>
      </c>
      <c r="AL1177" s="20" t="s">
        <v>49</v>
      </c>
      <c r="AM1177" s="20" t="s">
        <v>49</v>
      </c>
      <c r="AN1177" s="1" t="s">
        <v>49</v>
      </c>
      <c r="AO1177" s="1" t="s">
        <v>49</v>
      </c>
      <c r="AP1177" s="6">
        <v>1</v>
      </c>
      <c r="AQ1177" s="6">
        <v>0.39</v>
      </c>
      <c r="AR1177" s="6" t="s">
        <v>49</v>
      </c>
      <c r="AS1177" s="6" t="s">
        <v>49</v>
      </c>
      <c r="AT1177" s="6" t="s">
        <v>49</v>
      </c>
      <c r="AU1177" s="6" t="s">
        <v>49</v>
      </c>
      <c r="AV1177" s="6" t="s">
        <v>49</v>
      </c>
      <c r="AW1177" s="30" t="s">
        <v>49</v>
      </c>
    </row>
    <row r="1178" spans="1:49">
      <c r="A1178" s="1">
        <v>18</v>
      </c>
      <c r="B1178" s="1" t="s">
        <v>38</v>
      </c>
      <c r="C1178" s="1" t="s">
        <v>38</v>
      </c>
      <c r="D1178" s="1" t="s">
        <v>406</v>
      </c>
      <c r="E1178" s="1" t="s">
        <v>71</v>
      </c>
      <c r="F1178" s="1">
        <v>1999</v>
      </c>
      <c r="G1178" s="1" t="s">
        <v>407</v>
      </c>
      <c r="H1178" s="3" t="s">
        <v>408</v>
      </c>
      <c r="I1178" s="3" t="s">
        <v>409</v>
      </c>
      <c r="J1178" s="1" t="s">
        <v>410</v>
      </c>
      <c r="K1178" s="1" t="s">
        <v>45</v>
      </c>
      <c r="L1178" s="3" t="s">
        <v>46</v>
      </c>
      <c r="M1178" s="1" t="s">
        <v>12</v>
      </c>
      <c r="N1178" s="1" t="s">
        <v>76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117</v>
      </c>
      <c r="T1178" s="1" t="s">
        <v>411</v>
      </c>
      <c r="U1178" s="1" t="s">
        <v>412</v>
      </c>
      <c r="V1178" s="1" t="s">
        <v>413</v>
      </c>
      <c r="W1178" s="1">
        <v>41.69</v>
      </c>
      <c r="X1178" s="1">
        <v>-80.06</v>
      </c>
      <c r="Y1178" s="1" t="s">
        <v>48</v>
      </c>
      <c r="Z1178" s="1" t="s">
        <v>414</v>
      </c>
      <c r="AA1178" s="6" t="s">
        <v>49</v>
      </c>
      <c r="AB1178" s="6" t="s">
        <v>49</v>
      </c>
      <c r="AC1178" s="6" t="s">
        <v>49</v>
      </c>
      <c r="AD1178" s="1" t="s">
        <v>418</v>
      </c>
      <c r="AE1178" s="1" t="s">
        <v>126</v>
      </c>
      <c r="AF1178" s="6" t="s">
        <v>49</v>
      </c>
      <c r="AG1178" s="6" t="s">
        <v>49</v>
      </c>
      <c r="AH1178" s="1" t="s">
        <v>415</v>
      </c>
      <c r="AI1178" s="1" t="s">
        <v>55</v>
      </c>
      <c r="AJ1178" s="20" t="s">
        <v>49</v>
      </c>
      <c r="AK1178" s="20" t="s">
        <v>49</v>
      </c>
      <c r="AL1178" s="20" t="s">
        <v>49</v>
      </c>
      <c r="AM1178" s="20" t="s">
        <v>49</v>
      </c>
      <c r="AN1178" s="1" t="s">
        <v>49</v>
      </c>
      <c r="AO1178" s="1" t="s">
        <v>49</v>
      </c>
      <c r="AP1178" s="6">
        <v>1</v>
      </c>
      <c r="AQ1178" s="6">
        <v>0.15</v>
      </c>
      <c r="AR1178" s="6" t="s">
        <v>49</v>
      </c>
      <c r="AS1178" s="6" t="s">
        <v>49</v>
      </c>
      <c r="AT1178" s="6" t="s">
        <v>49</v>
      </c>
      <c r="AU1178" s="6" t="s">
        <v>49</v>
      </c>
      <c r="AV1178" s="6" t="s">
        <v>49</v>
      </c>
      <c r="AW1178" s="30" t="s">
        <v>49</v>
      </c>
    </row>
    <row r="1179" spans="1:49">
      <c r="A1179" s="1">
        <v>18</v>
      </c>
      <c r="B1179" s="1" t="s">
        <v>38</v>
      </c>
      <c r="C1179" s="1" t="s">
        <v>38</v>
      </c>
      <c r="D1179" s="1" t="s">
        <v>406</v>
      </c>
      <c r="E1179" s="1" t="s">
        <v>71</v>
      </c>
      <c r="F1179" s="1">
        <v>1999</v>
      </c>
      <c r="G1179" s="1" t="s">
        <v>407</v>
      </c>
      <c r="H1179" s="3" t="s">
        <v>408</v>
      </c>
      <c r="I1179" s="3" t="s">
        <v>409</v>
      </c>
      <c r="J1179" s="1" t="s">
        <v>410</v>
      </c>
      <c r="K1179" s="1" t="s">
        <v>45</v>
      </c>
      <c r="L1179" s="3" t="s">
        <v>46</v>
      </c>
      <c r="M1179" s="1" t="s">
        <v>12</v>
      </c>
      <c r="N1179" s="1" t="s">
        <v>76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117</v>
      </c>
      <c r="T1179" s="1" t="s">
        <v>411</v>
      </c>
      <c r="U1179" s="1" t="s">
        <v>412</v>
      </c>
      <c r="V1179" s="1" t="s">
        <v>413</v>
      </c>
      <c r="W1179" s="1">
        <v>41.69</v>
      </c>
      <c r="X1179" s="1">
        <v>-80.06</v>
      </c>
      <c r="Y1179" s="1" t="s">
        <v>48</v>
      </c>
      <c r="Z1179" s="1" t="s">
        <v>414</v>
      </c>
      <c r="AA1179" s="6" t="s">
        <v>49</v>
      </c>
      <c r="AB1179" s="6" t="s">
        <v>49</v>
      </c>
      <c r="AC1179" s="6" t="s">
        <v>49</v>
      </c>
      <c r="AD1179" s="1" t="s">
        <v>418</v>
      </c>
      <c r="AE1179" s="1" t="s">
        <v>234</v>
      </c>
      <c r="AF1179" s="6" t="s">
        <v>49</v>
      </c>
      <c r="AG1179" s="6" t="s">
        <v>49</v>
      </c>
      <c r="AH1179" s="1" t="s">
        <v>415</v>
      </c>
      <c r="AI1179" s="1" t="s">
        <v>55</v>
      </c>
      <c r="AJ1179" s="20" t="s">
        <v>49</v>
      </c>
      <c r="AK1179" s="20" t="s">
        <v>49</v>
      </c>
      <c r="AL1179" s="20" t="s">
        <v>49</v>
      </c>
      <c r="AM1179" s="20" t="s">
        <v>49</v>
      </c>
      <c r="AN1179" s="1" t="s">
        <v>49</v>
      </c>
      <c r="AO1179" s="1" t="s">
        <v>49</v>
      </c>
      <c r="AP1179" s="6">
        <v>1</v>
      </c>
      <c r="AQ1179" s="6">
        <v>7.0000000000000007E-2</v>
      </c>
      <c r="AR1179" s="6" t="s">
        <v>49</v>
      </c>
      <c r="AS1179" s="6" t="s">
        <v>49</v>
      </c>
      <c r="AT1179" s="6" t="s">
        <v>49</v>
      </c>
      <c r="AU1179" s="6" t="s">
        <v>49</v>
      </c>
      <c r="AV1179" s="6" t="s">
        <v>49</v>
      </c>
      <c r="AW1179" s="30" t="s">
        <v>49</v>
      </c>
    </row>
    <row r="1180" spans="1:49">
      <c r="A1180" s="1">
        <v>18</v>
      </c>
      <c r="B1180" s="1" t="s">
        <v>38</v>
      </c>
      <c r="C1180" s="1" t="s">
        <v>38</v>
      </c>
      <c r="D1180" s="1" t="s">
        <v>406</v>
      </c>
      <c r="E1180" s="1" t="s">
        <v>71</v>
      </c>
      <c r="F1180" s="1">
        <v>1999</v>
      </c>
      <c r="G1180" s="1" t="s">
        <v>407</v>
      </c>
      <c r="H1180" s="3" t="s">
        <v>408</v>
      </c>
      <c r="I1180" s="3" t="s">
        <v>409</v>
      </c>
      <c r="J1180" s="1" t="s">
        <v>410</v>
      </c>
      <c r="K1180" s="1" t="s">
        <v>45</v>
      </c>
      <c r="L1180" s="3" t="s">
        <v>46</v>
      </c>
      <c r="M1180" s="1" t="s">
        <v>12</v>
      </c>
      <c r="N1180" s="1" t="s">
        <v>76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117</v>
      </c>
      <c r="T1180" s="1" t="s">
        <v>411</v>
      </c>
      <c r="U1180" s="1" t="s">
        <v>412</v>
      </c>
      <c r="V1180" s="1" t="s">
        <v>413</v>
      </c>
      <c r="W1180" s="1">
        <v>41.69</v>
      </c>
      <c r="X1180" s="1">
        <v>-80.06</v>
      </c>
      <c r="Y1180" s="1" t="s">
        <v>48</v>
      </c>
      <c r="Z1180" s="1" t="s">
        <v>414</v>
      </c>
      <c r="AA1180" s="6" t="s">
        <v>49</v>
      </c>
      <c r="AB1180" s="6" t="s">
        <v>49</v>
      </c>
      <c r="AC1180" s="6" t="s">
        <v>49</v>
      </c>
      <c r="AD1180" s="1" t="s">
        <v>126</v>
      </c>
      <c r="AE1180" s="1" t="s">
        <v>234</v>
      </c>
      <c r="AF1180" s="6" t="s">
        <v>49</v>
      </c>
      <c r="AG1180" s="6" t="s">
        <v>49</v>
      </c>
      <c r="AH1180" s="1" t="s">
        <v>415</v>
      </c>
      <c r="AI1180" s="1" t="s">
        <v>55</v>
      </c>
      <c r="AJ1180" s="20" t="s">
        <v>49</v>
      </c>
      <c r="AK1180" s="20" t="s">
        <v>49</v>
      </c>
      <c r="AL1180" s="20" t="s">
        <v>49</v>
      </c>
      <c r="AM1180" s="20" t="s">
        <v>49</v>
      </c>
      <c r="AN1180" s="1" t="s">
        <v>49</v>
      </c>
      <c r="AO1180" s="1" t="s">
        <v>49</v>
      </c>
      <c r="AP1180" s="6">
        <v>1</v>
      </c>
      <c r="AQ1180" s="6">
        <v>0.64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6" t="s">
        <v>49</v>
      </c>
      <c r="AW1180" s="30" t="s">
        <v>49</v>
      </c>
    </row>
    <row r="1181" spans="1:49">
      <c r="A1181" s="1">
        <v>18</v>
      </c>
      <c r="B1181" s="1" t="s">
        <v>38</v>
      </c>
      <c r="C1181" s="1" t="s">
        <v>38</v>
      </c>
      <c r="D1181" s="1" t="s">
        <v>406</v>
      </c>
      <c r="E1181" s="1" t="s">
        <v>71</v>
      </c>
      <c r="F1181" s="1">
        <v>1999</v>
      </c>
      <c r="G1181" s="1" t="s">
        <v>407</v>
      </c>
      <c r="H1181" s="3" t="s">
        <v>408</v>
      </c>
      <c r="I1181" s="3" t="s">
        <v>409</v>
      </c>
      <c r="J1181" s="1" t="s">
        <v>410</v>
      </c>
      <c r="K1181" s="1" t="s">
        <v>45</v>
      </c>
      <c r="L1181" s="3" t="s">
        <v>46</v>
      </c>
      <c r="M1181" s="1" t="s">
        <v>12</v>
      </c>
      <c r="N1181" s="1" t="s">
        <v>76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117</v>
      </c>
      <c r="T1181" s="1" t="s">
        <v>411</v>
      </c>
      <c r="U1181" s="1" t="s">
        <v>412</v>
      </c>
      <c r="V1181" s="1" t="s">
        <v>413</v>
      </c>
      <c r="W1181" s="1">
        <v>41.69</v>
      </c>
      <c r="X1181" s="1">
        <v>-80.06</v>
      </c>
      <c r="Y1181" s="1" t="s">
        <v>48</v>
      </c>
      <c r="Z1181" s="1" t="s">
        <v>417</v>
      </c>
      <c r="AA1181" s="1" t="s">
        <v>50</v>
      </c>
      <c r="AB1181" s="1" t="s">
        <v>51</v>
      </c>
      <c r="AC1181" s="1" t="s">
        <v>52</v>
      </c>
      <c r="AD1181" s="1" t="s">
        <v>52</v>
      </c>
      <c r="AE1181" s="1" t="s">
        <v>52</v>
      </c>
      <c r="AF1181" s="1" t="s">
        <v>53</v>
      </c>
      <c r="AG1181" s="1" t="s">
        <v>53</v>
      </c>
      <c r="AH1181" s="1" t="s">
        <v>415</v>
      </c>
      <c r="AI1181" s="1" t="s">
        <v>55</v>
      </c>
      <c r="AJ1181" s="1">
        <v>42</v>
      </c>
      <c r="AK1181" s="1">
        <v>522</v>
      </c>
      <c r="AL1181" s="4">
        <v>0.03</v>
      </c>
      <c r="AM1181" s="1">
        <v>10</v>
      </c>
      <c r="AN1181" s="1">
        <v>14.79</v>
      </c>
      <c r="AO1181" s="1">
        <v>6.77</v>
      </c>
      <c r="AP1181" s="6">
        <v>1</v>
      </c>
      <c r="AQ1181" s="6" t="s">
        <v>49</v>
      </c>
      <c r="AR1181" s="6" t="s">
        <v>49</v>
      </c>
      <c r="AS1181" s="1">
        <v>0.4622</v>
      </c>
      <c r="AT1181" s="4">
        <f>AS1181/(AM1181^2)*100</f>
        <v>0.4622</v>
      </c>
      <c r="AU1181" s="5">
        <v>0</v>
      </c>
      <c r="AV1181" s="4">
        <f t="shared" ref="AV1181:AV1186" si="101">AT1181*(1-AL1181)/AL1181</f>
        <v>14.944466666666667</v>
      </c>
      <c r="AW1181" s="29" t="s">
        <v>416</v>
      </c>
    </row>
    <row r="1182" spans="1:49">
      <c r="A1182" s="1">
        <v>18</v>
      </c>
      <c r="B1182" s="1" t="s">
        <v>38</v>
      </c>
      <c r="C1182" s="1" t="s">
        <v>38</v>
      </c>
      <c r="D1182" s="1" t="s">
        <v>406</v>
      </c>
      <c r="E1182" s="1" t="s">
        <v>71</v>
      </c>
      <c r="F1182" s="1">
        <v>1999</v>
      </c>
      <c r="G1182" s="1" t="s">
        <v>407</v>
      </c>
      <c r="H1182" s="3" t="s">
        <v>408</v>
      </c>
      <c r="I1182" s="3" t="s">
        <v>409</v>
      </c>
      <c r="J1182" s="1" t="s">
        <v>410</v>
      </c>
      <c r="K1182" s="1" t="s">
        <v>45</v>
      </c>
      <c r="L1182" s="3" t="s">
        <v>46</v>
      </c>
      <c r="M1182" s="1" t="s">
        <v>12</v>
      </c>
      <c r="N1182" s="1" t="s">
        <v>76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117</v>
      </c>
      <c r="T1182" s="1" t="s">
        <v>411</v>
      </c>
      <c r="U1182" s="1" t="s">
        <v>412</v>
      </c>
      <c r="V1182" s="1" t="s">
        <v>413</v>
      </c>
      <c r="W1182" s="1">
        <v>41.69</v>
      </c>
      <c r="X1182" s="1">
        <v>-80.06</v>
      </c>
      <c r="Y1182" s="1" t="s">
        <v>48</v>
      </c>
      <c r="Z1182" s="1" t="s">
        <v>417</v>
      </c>
      <c r="AA1182" s="1" t="s">
        <v>50</v>
      </c>
      <c r="AB1182" s="1" t="s">
        <v>66</v>
      </c>
      <c r="AC1182" s="1" t="s">
        <v>171</v>
      </c>
      <c r="AD1182" s="1" t="s">
        <v>421</v>
      </c>
      <c r="AE1182" s="1" t="s">
        <v>421</v>
      </c>
      <c r="AF1182" s="1" t="s">
        <v>60</v>
      </c>
      <c r="AG1182" s="1" t="s">
        <v>173</v>
      </c>
      <c r="AH1182" s="1" t="s">
        <v>415</v>
      </c>
      <c r="AI1182" s="1" t="s">
        <v>55</v>
      </c>
      <c r="AJ1182" s="1">
        <v>42</v>
      </c>
      <c r="AK1182" s="1">
        <v>401</v>
      </c>
      <c r="AL1182" s="4">
        <v>0.12</v>
      </c>
      <c r="AM1182" s="1">
        <v>18.07</v>
      </c>
      <c r="AN1182" s="1">
        <v>13.375999999999999</v>
      </c>
      <c r="AO1182" s="1">
        <v>7.11</v>
      </c>
      <c r="AP1182" s="6">
        <v>1</v>
      </c>
      <c r="AQ1182" s="6" t="s">
        <v>49</v>
      </c>
      <c r="AR1182" s="6" t="s">
        <v>49</v>
      </c>
      <c r="AS1182" s="1">
        <v>1.6527000000000001</v>
      </c>
      <c r="AT1182" s="4">
        <f>AS1182/(AM1182^2)*100</f>
        <v>0.50614822943058857</v>
      </c>
      <c r="AU1182" s="5">
        <v>0</v>
      </c>
      <c r="AV1182" s="4">
        <f t="shared" si="101"/>
        <v>3.7117536824909827</v>
      </c>
      <c r="AW1182" s="29" t="s">
        <v>416</v>
      </c>
    </row>
    <row r="1183" spans="1:49">
      <c r="A1183" s="1">
        <v>18</v>
      </c>
      <c r="B1183" s="1" t="s">
        <v>38</v>
      </c>
      <c r="C1183" s="1" t="s">
        <v>38</v>
      </c>
      <c r="D1183" s="1" t="s">
        <v>406</v>
      </c>
      <c r="E1183" s="1" t="s">
        <v>71</v>
      </c>
      <c r="F1183" s="1">
        <v>1999</v>
      </c>
      <c r="G1183" s="1" t="s">
        <v>407</v>
      </c>
      <c r="H1183" s="3" t="s">
        <v>408</v>
      </c>
      <c r="I1183" s="3" t="s">
        <v>409</v>
      </c>
      <c r="J1183" s="1" t="s">
        <v>410</v>
      </c>
      <c r="K1183" s="1" t="s">
        <v>45</v>
      </c>
      <c r="L1183" s="3" t="s">
        <v>46</v>
      </c>
      <c r="M1183" s="1" t="s">
        <v>12</v>
      </c>
      <c r="N1183" s="1" t="s">
        <v>76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117</v>
      </c>
      <c r="T1183" s="1" t="s">
        <v>411</v>
      </c>
      <c r="U1183" s="1" t="s">
        <v>412</v>
      </c>
      <c r="V1183" s="1" t="s">
        <v>413</v>
      </c>
      <c r="W1183" s="1">
        <v>41.69</v>
      </c>
      <c r="X1183" s="1">
        <v>-80.06</v>
      </c>
      <c r="Y1183" s="1" t="s">
        <v>48</v>
      </c>
      <c r="Z1183" s="1" t="s">
        <v>417</v>
      </c>
      <c r="AA1183" s="1" t="s">
        <v>50</v>
      </c>
      <c r="AB1183" s="1" t="s">
        <v>201</v>
      </c>
      <c r="AC1183" s="1" t="s">
        <v>202</v>
      </c>
      <c r="AD1183" s="1" t="s">
        <v>418</v>
      </c>
      <c r="AE1183" s="1" t="s">
        <v>418</v>
      </c>
      <c r="AF1183" s="1" t="s">
        <v>53</v>
      </c>
      <c r="AG1183" s="1" t="s">
        <v>53</v>
      </c>
      <c r="AH1183" s="1" t="s">
        <v>415</v>
      </c>
      <c r="AI1183" s="1" t="s">
        <v>55</v>
      </c>
      <c r="AJ1183" s="1">
        <v>42</v>
      </c>
      <c r="AK1183" s="1">
        <v>522</v>
      </c>
      <c r="AL1183" s="4">
        <v>-0.15</v>
      </c>
      <c r="AM1183" s="1">
        <v>99.7</v>
      </c>
      <c r="AN1183" s="1">
        <v>442.71</v>
      </c>
      <c r="AO1183" s="1" t="s">
        <v>49</v>
      </c>
      <c r="AP1183" s="6">
        <v>1</v>
      </c>
      <c r="AQ1183" s="6" t="s">
        <v>49</v>
      </c>
      <c r="AR1183" s="6" t="s">
        <v>49</v>
      </c>
      <c r="AS1183" s="1">
        <v>-67.180000000000007</v>
      </c>
      <c r="AT1183" s="4">
        <f>AS1183/(AM1183^2)*100</f>
        <v>-0.67584901142746201</v>
      </c>
      <c r="AU1183" s="5">
        <v>0</v>
      </c>
      <c r="AV1183" s="4">
        <f t="shared" si="101"/>
        <v>5.1815090876105421</v>
      </c>
      <c r="AW1183" s="29" t="s">
        <v>416</v>
      </c>
    </row>
    <row r="1184" spans="1:49" ht="15" customHeight="1">
      <c r="A1184" s="1">
        <v>18</v>
      </c>
      <c r="B1184" s="1" t="s">
        <v>38</v>
      </c>
      <c r="C1184" s="1" t="s">
        <v>38</v>
      </c>
      <c r="D1184" s="1" t="s">
        <v>406</v>
      </c>
      <c r="E1184" s="1" t="s">
        <v>71</v>
      </c>
      <c r="F1184" s="1">
        <v>1999</v>
      </c>
      <c r="G1184" s="1" t="s">
        <v>407</v>
      </c>
      <c r="H1184" s="3" t="s">
        <v>408</v>
      </c>
      <c r="I1184" s="3" t="s">
        <v>409</v>
      </c>
      <c r="J1184" s="1" t="s">
        <v>410</v>
      </c>
      <c r="K1184" s="1" t="s">
        <v>45</v>
      </c>
      <c r="L1184" s="3" t="s">
        <v>46</v>
      </c>
      <c r="M1184" s="1" t="s">
        <v>12</v>
      </c>
      <c r="N1184" s="1" t="s">
        <v>76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117</v>
      </c>
      <c r="T1184" s="1" t="s">
        <v>411</v>
      </c>
      <c r="U1184" s="1" t="s">
        <v>412</v>
      </c>
      <c r="V1184" s="1" t="s">
        <v>413</v>
      </c>
      <c r="W1184" s="1">
        <v>41.69</v>
      </c>
      <c r="X1184" s="1">
        <v>-80.06</v>
      </c>
      <c r="Y1184" s="1" t="s">
        <v>48</v>
      </c>
      <c r="Z1184" s="1" t="s">
        <v>417</v>
      </c>
      <c r="AA1184" s="1" t="s">
        <v>50</v>
      </c>
      <c r="AB1184" s="1" t="s">
        <v>66</v>
      </c>
      <c r="AC1184" s="1" t="s">
        <v>124</v>
      </c>
      <c r="AD1184" s="1" t="s">
        <v>126</v>
      </c>
      <c r="AE1184" s="1" t="s">
        <v>126</v>
      </c>
      <c r="AF1184" s="1" t="s">
        <v>60</v>
      </c>
      <c r="AG1184" s="1" t="s">
        <v>61</v>
      </c>
      <c r="AH1184" s="1" t="s">
        <v>415</v>
      </c>
      <c r="AI1184" s="1" t="s">
        <v>55</v>
      </c>
      <c r="AJ1184" s="1">
        <v>42</v>
      </c>
      <c r="AK1184" s="1">
        <v>522</v>
      </c>
      <c r="AL1184" s="4">
        <v>0.22</v>
      </c>
      <c r="AM1184" s="1">
        <v>9.93</v>
      </c>
      <c r="AN1184" s="1">
        <v>1.5333000000000001</v>
      </c>
      <c r="AO1184" s="1">
        <v>5.96</v>
      </c>
      <c r="AP1184" s="6">
        <v>1</v>
      </c>
      <c r="AQ1184" s="6" t="s">
        <v>49</v>
      </c>
      <c r="AR1184" s="6" t="s">
        <v>49</v>
      </c>
      <c r="AS1184" s="1">
        <v>0.3503</v>
      </c>
      <c r="AT1184" s="4">
        <f>AS1184/(AM1184^2)*100</f>
        <v>0.35525617895256728</v>
      </c>
      <c r="AU1184" s="5">
        <v>0</v>
      </c>
      <c r="AV1184" s="4">
        <f t="shared" si="101"/>
        <v>1.2595446344681931</v>
      </c>
      <c r="AW1184" s="29" t="s">
        <v>416</v>
      </c>
    </row>
    <row r="1185" spans="1:49">
      <c r="A1185" s="1">
        <v>18</v>
      </c>
      <c r="B1185" s="1" t="s">
        <v>38</v>
      </c>
      <c r="C1185" s="1" t="s">
        <v>38</v>
      </c>
      <c r="D1185" s="1" t="s">
        <v>406</v>
      </c>
      <c r="E1185" s="1" t="s">
        <v>71</v>
      </c>
      <c r="F1185" s="1">
        <v>1999</v>
      </c>
      <c r="G1185" s="1" t="s">
        <v>407</v>
      </c>
      <c r="H1185" s="3" t="s">
        <v>408</v>
      </c>
      <c r="I1185" s="3" t="s">
        <v>409</v>
      </c>
      <c r="J1185" s="1" t="s">
        <v>410</v>
      </c>
      <c r="K1185" s="1" t="s">
        <v>45</v>
      </c>
      <c r="L1185" s="3" t="s">
        <v>46</v>
      </c>
      <c r="M1185" s="1" t="s">
        <v>12</v>
      </c>
      <c r="N1185" s="1" t="s">
        <v>76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117</v>
      </c>
      <c r="T1185" s="1" t="s">
        <v>411</v>
      </c>
      <c r="U1185" s="1" t="s">
        <v>412</v>
      </c>
      <c r="V1185" s="1" t="s">
        <v>413</v>
      </c>
      <c r="W1185" s="1">
        <v>41.69</v>
      </c>
      <c r="X1185" s="1">
        <v>-80.06</v>
      </c>
      <c r="Y1185" s="1" t="s">
        <v>48</v>
      </c>
      <c r="Z1185" s="1" t="s">
        <v>417</v>
      </c>
      <c r="AA1185" s="1" t="s">
        <v>50</v>
      </c>
      <c r="AB1185" s="1" t="s">
        <v>57</v>
      </c>
      <c r="AC1185" s="1" t="s">
        <v>86</v>
      </c>
      <c r="AD1185" s="1" t="s">
        <v>234</v>
      </c>
      <c r="AE1185" s="1" t="s">
        <v>234</v>
      </c>
      <c r="AF1185" s="1" t="s">
        <v>60</v>
      </c>
      <c r="AG1185" s="1" t="s">
        <v>61</v>
      </c>
      <c r="AH1185" s="1" t="s">
        <v>415</v>
      </c>
      <c r="AI1185" s="1" t="s">
        <v>55</v>
      </c>
      <c r="AJ1185" s="1">
        <v>42</v>
      </c>
      <c r="AK1185" s="1">
        <v>522</v>
      </c>
      <c r="AL1185" s="4">
        <v>0.44</v>
      </c>
      <c r="AM1185" s="1">
        <v>4.55</v>
      </c>
      <c r="AN1185" s="1">
        <v>0.38400000000000001</v>
      </c>
      <c r="AO1185" s="1">
        <v>9.07</v>
      </c>
      <c r="AP1185" s="6">
        <v>1</v>
      </c>
      <c r="AQ1185" s="6" t="s">
        <v>49</v>
      </c>
      <c r="AR1185" s="6" t="s">
        <v>49</v>
      </c>
      <c r="AS1185" s="1">
        <v>0.1704</v>
      </c>
      <c r="AT1185" s="4">
        <f>((AO1185/100)^2)*100</f>
        <v>0.82264900000000007</v>
      </c>
      <c r="AU1185" s="5">
        <v>0</v>
      </c>
      <c r="AV1185" s="4">
        <f t="shared" si="101"/>
        <v>1.0470078181818183</v>
      </c>
      <c r="AW1185" s="29" t="s">
        <v>416</v>
      </c>
    </row>
    <row r="1186" spans="1:49">
      <c r="A1186" s="1">
        <v>18</v>
      </c>
      <c r="B1186" s="1" t="s">
        <v>38</v>
      </c>
      <c r="C1186" s="1" t="s">
        <v>38</v>
      </c>
      <c r="D1186" s="1" t="s">
        <v>406</v>
      </c>
      <c r="E1186" s="1" t="s">
        <v>71</v>
      </c>
      <c r="F1186" s="1">
        <v>1999</v>
      </c>
      <c r="G1186" s="1" t="s">
        <v>407</v>
      </c>
      <c r="H1186" s="3" t="s">
        <v>408</v>
      </c>
      <c r="I1186" s="3" t="s">
        <v>409</v>
      </c>
      <c r="J1186" s="1" t="s">
        <v>410</v>
      </c>
      <c r="K1186" s="1" t="s">
        <v>45</v>
      </c>
      <c r="L1186" s="3" t="s">
        <v>46</v>
      </c>
      <c r="M1186" s="1" t="s">
        <v>12</v>
      </c>
      <c r="N1186" s="1" t="s">
        <v>76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117</v>
      </c>
      <c r="T1186" s="1" t="s">
        <v>411</v>
      </c>
      <c r="U1186" s="1" t="s">
        <v>412</v>
      </c>
      <c r="V1186" s="1" t="s">
        <v>413</v>
      </c>
      <c r="W1186" s="1">
        <v>41.69</v>
      </c>
      <c r="X1186" s="1">
        <v>-80.06</v>
      </c>
      <c r="Y1186" s="1" t="s">
        <v>48</v>
      </c>
      <c r="Z1186" s="1" t="s">
        <v>417</v>
      </c>
      <c r="AA1186" s="1" t="s">
        <v>50</v>
      </c>
      <c r="AB1186" s="1" t="s">
        <v>201</v>
      </c>
      <c r="AC1186" s="1" t="s">
        <v>204</v>
      </c>
      <c r="AD1186" s="1" t="s">
        <v>419</v>
      </c>
      <c r="AE1186" s="1" t="s">
        <v>419</v>
      </c>
      <c r="AF1186" s="1" t="s">
        <v>53</v>
      </c>
      <c r="AG1186" s="1" t="s">
        <v>53</v>
      </c>
      <c r="AH1186" s="1" t="s">
        <v>415</v>
      </c>
      <c r="AI1186" s="1" t="s">
        <v>55</v>
      </c>
      <c r="AJ1186" s="1">
        <v>42</v>
      </c>
      <c r="AK1186" s="1">
        <v>522</v>
      </c>
      <c r="AL1186" s="4">
        <v>0.01</v>
      </c>
      <c r="AM1186" s="1">
        <v>300905</v>
      </c>
      <c r="AN1186" s="1">
        <v>3795000000</v>
      </c>
      <c r="AO1186" s="1">
        <v>2.19</v>
      </c>
      <c r="AP1186" s="6">
        <v>1</v>
      </c>
      <c r="AQ1186" s="6" t="s">
        <v>49</v>
      </c>
      <c r="AR1186" s="6" t="s">
        <v>49</v>
      </c>
      <c r="AS1186" s="1">
        <f>(AT1186/100)*(AM1186^2)</f>
        <v>43425721.042580247</v>
      </c>
      <c r="AT1186" s="4">
        <f>((AO1186/100)^2)*100</f>
        <v>4.7960999999999997E-2</v>
      </c>
      <c r="AU1186" s="5">
        <v>0</v>
      </c>
      <c r="AV1186" s="4">
        <f t="shared" si="101"/>
        <v>4.7481390000000001</v>
      </c>
      <c r="AW1186" s="29" t="s">
        <v>420</v>
      </c>
    </row>
    <row r="1187" spans="1:49">
      <c r="A1187" s="1">
        <v>18</v>
      </c>
      <c r="B1187" s="1" t="s">
        <v>38</v>
      </c>
      <c r="C1187" s="1" t="s">
        <v>38</v>
      </c>
      <c r="D1187" s="1" t="s">
        <v>406</v>
      </c>
      <c r="E1187" s="1" t="s">
        <v>71</v>
      </c>
      <c r="F1187" s="1">
        <v>1999</v>
      </c>
      <c r="G1187" s="1" t="s">
        <v>407</v>
      </c>
      <c r="H1187" s="3" t="s">
        <v>408</v>
      </c>
      <c r="I1187" s="3" t="s">
        <v>409</v>
      </c>
      <c r="J1187" s="1" t="s">
        <v>410</v>
      </c>
      <c r="K1187" s="1" t="s">
        <v>45</v>
      </c>
      <c r="L1187" s="3" t="s">
        <v>46</v>
      </c>
      <c r="M1187" s="1" t="s">
        <v>12</v>
      </c>
      <c r="N1187" s="1" t="s">
        <v>76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117</v>
      </c>
      <c r="T1187" s="1" t="s">
        <v>411</v>
      </c>
      <c r="U1187" s="1" t="s">
        <v>412</v>
      </c>
      <c r="V1187" s="1" t="s">
        <v>413</v>
      </c>
      <c r="W1187" s="1">
        <v>41.69</v>
      </c>
      <c r="X1187" s="1">
        <v>-80.06</v>
      </c>
      <c r="Y1187" s="1" t="s">
        <v>48</v>
      </c>
      <c r="Z1187" s="1" t="s">
        <v>417</v>
      </c>
      <c r="AA1187" s="6" t="s">
        <v>49</v>
      </c>
      <c r="AB1187" s="6" t="s">
        <v>49</v>
      </c>
      <c r="AC1187" s="6" t="s">
        <v>49</v>
      </c>
      <c r="AD1187" s="1" t="s">
        <v>52</v>
      </c>
      <c r="AE1187" s="1" t="s">
        <v>421</v>
      </c>
      <c r="AF1187" s="6" t="s">
        <v>49</v>
      </c>
      <c r="AG1187" s="6" t="s">
        <v>49</v>
      </c>
      <c r="AH1187" s="1" t="s">
        <v>415</v>
      </c>
      <c r="AI1187" s="1" t="s">
        <v>55</v>
      </c>
      <c r="AJ1187" s="20" t="s">
        <v>49</v>
      </c>
      <c r="AK1187" s="20" t="s">
        <v>49</v>
      </c>
      <c r="AL1187" s="20" t="s">
        <v>49</v>
      </c>
      <c r="AM1187" s="20" t="s">
        <v>49</v>
      </c>
      <c r="AN1187" s="1" t="s">
        <v>49</v>
      </c>
      <c r="AO1187" s="1" t="s">
        <v>49</v>
      </c>
      <c r="AP1187" s="6">
        <v>1</v>
      </c>
      <c r="AQ1187" s="6">
        <v>-0.15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6" t="s">
        <v>49</v>
      </c>
      <c r="AW1187" s="30" t="s">
        <v>49</v>
      </c>
    </row>
    <row r="1188" spans="1:49">
      <c r="A1188" s="1">
        <v>18</v>
      </c>
      <c r="B1188" s="1" t="s">
        <v>38</v>
      </c>
      <c r="C1188" s="1" t="s">
        <v>38</v>
      </c>
      <c r="D1188" s="1" t="s">
        <v>406</v>
      </c>
      <c r="E1188" s="1" t="s">
        <v>71</v>
      </c>
      <c r="F1188" s="1">
        <v>1999</v>
      </c>
      <c r="G1188" s="1" t="s">
        <v>407</v>
      </c>
      <c r="H1188" s="3" t="s">
        <v>408</v>
      </c>
      <c r="I1188" s="3" t="s">
        <v>409</v>
      </c>
      <c r="J1188" s="1" t="s">
        <v>410</v>
      </c>
      <c r="K1188" s="1" t="s">
        <v>45</v>
      </c>
      <c r="L1188" s="3" t="s">
        <v>46</v>
      </c>
      <c r="M1188" s="1" t="s">
        <v>12</v>
      </c>
      <c r="N1188" s="1" t="s">
        <v>76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117</v>
      </c>
      <c r="T1188" s="1" t="s">
        <v>411</v>
      </c>
      <c r="U1188" s="1" t="s">
        <v>412</v>
      </c>
      <c r="V1188" s="1" t="s">
        <v>413</v>
      </c>
      <c r="W1188" s="1">
        <v>41.69</v>
      </c>
      <c r="X1188" s="1">
        <v>-80.06</v>
      </c>
      <c r="Y1188" s="1" t="s">
        <v>48</v>
      </c>
      <c r="Z1188" s="1" t="s">
        <v>417</v>
      </c>
      <c r="AA1188" s="6" t="s">
        <v>49</v>
      </c>
      <c r="AB1188" s="6" t="s">
        <v>49</v>
      </c>
      <c r="AC1188" s="6" t="s">
        <v>49</v>
      </c>
      <c r="AD1188" s="1" t="s">
        <v>52</v>
      </c>
      <c r="AE1188" s="1" t="s">
        <v>418</v>
      </c>
      <c r="AF1188" s="6" t="s">
        <v>49</v>
      </c>
      <c r="AG1188" s="6" t="s">
        <v>49</v>
      </c>
      <c r="AH1188" s="1" t="s">
        <v>415</v>
      </c>
      <c r="AI1188" s="1" t="s">
        <v>55</v>
      </c>
      <c r="AJ1188" s="20" t="s">
        <v>49</v>
      </c>
      <c r="AK1188" s="20" t="s">
        <v>49</v>
      </c>
      <c r="AL1188" s="20" t="s">
        <v>49</v>
      </c>
      <c r="AM1188" s="20" t="s">
        <v>49</v>
      </c>
      <c r="AN1188" s="1" t="s">
        <v>49</v>
      </c>
      <c r="AO1188" s="1" t="s">
        <v>49</v>
      </c>
      <c r="AP1188" s="6">
        <v>1</v>
      </c>
      <c r="AQ1188" s="6">
        <v>0.06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6" t="s">
        <v>49</v>
      </c>
      <c r="AW1188" s="30" t="s">
        <v>49</v>
      </c>
    </row>
    <row r="1189" spans="1:49">
      <c r="A1189" s="1">
        <v>18</v>
      </c>
      <c r="B1189" s="1" t="s">
        <v>38</v>
      </c>
      <c r="C1189" s="1" t="s">
        <v>38</v>
      </c>
      <c r="D1189" s="1" t="s">
        <v>406</v>
      </c>
      <c r="E1189" s="1" t="s">
        <v>71</v>
      </c>
      <c r="F1189" s="1">
        <v>1999</v>
      </c>
      <c r="G1189" s="1" t="s">
        <v>407</v>
      </c>
      <c r="H1189" s="3" t="s">
        <v>408</v>
      </c>
      <c r="I1189" s="3" t="s">
        <v>409</v>
      </c>
      <c r="J1189" s="1" t="s">
        <v>410</v>
      </c>
      <c r="K1189" s="1" t="s">
        <v>45</v>
      </c>
      <c r="L1189" s="3" t="s">
        <v>46</v>
      </c>
      <c r="M1189" s="1" t="s">
        <v>12</v>
      </c>
      <c r="N1189" s="1" t="s">
        <v>76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117</v>
      </c>
      <c r="T1189" s="1" t="s">
        <v>411</v>
      </c>
      <c r="U1189" s="1" t="s">
        <v>412</v>
      </c>
      <c r="V1189" s="1" t="s">
        <v>413</v>
      </c>
      <c r="W1189" s="1">
        <v>41.69</v>
      </c>
      <c r="X1189" s="1">
        <v>-80.06</v>
      </c>
      <c r="Y1189" s="1" t="s">
        <v>48</v>
      </c>
      <c r="Z1189" s="1" t="s">
        <v>417</v>
      </c>
      <c r="AA1189" s="6" t="s">
        <v>49</v>
      </c>
      <c r="AB1189" s="6" t="s">
        <v>49</v>
      </c>
      <c r="AC1189" s="6" t="s">
        <v>49</v>
      </c>
      <c r="AD1189" s="1" t="s">
        <v>52</v>
      </c>
      <c r="AE1189" s="1" t="s">
        <v>126</v>
      </c>
      <c r="AF1189" s="6" t="s">
        <v>49</v>
      </c>
      <c r="AG1189" s="6" t="s">
        <v>49</v>
      </c>
      <c r="AH1189" s="1" t="s">
        <v>415</v>
      </c>
      <c r="AI1189" s="1" t="s">
        <v>55</v>
      </c>
      <c r="AJ1189" s="20" t="s">
        <v>49</v>
      </c>
      <c r="AK1189" s="20" t="s">
        <v>49</v>
      </c>
      <c r="AL1189" s="20" t="s">
        <v>49</v>
      </c>
      <c r="AM1189" s="20" t="s">
        <v>49</v>
      </c>
      <c r="AN1189" s="1" t="s">
        <v>49</v>
      </c>
      <c r="AO1189" s="1" t="s">
        <v>49</v>
      </c>
      <c r="AP1189" s="6">
        <v>1</v>
      </c>
      <c r="AQ1189" s="6">
        <v>0.1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6" t="s">
        <v>49</v>
      </c>
      <c r="AW1189" s="30" t="s">
        <v>49</v>
      </c>
    </row>
    <row r="1190" spans="1:49">
      <c r="A1190" s="1">
        <v>18</v>
      </c>
      <c r="B1190" s="1" t="s">
        <v>38</v>
      </c>
      <c r="C1190" s="1" t="s">
        <v>38</v>
      </c>
      <c r="D1190" s="1" t="s">
        <v>406</v>
      </c>
      <c r="E1190" s="1" t="s">
        <v>71</v>
      </c>
      <c r="F1190" s="1">
        <v>1999</v>
      </c>
      <c r="G1190" s="1" t="s">
        <v>407</v>
      </c>
      <c r="H1190" s="3" t="s">
        <v>408</v>
      </c>
      <c r="I1190" s="3" t="s">
        <v>409</v>
      </c>
      <c r="J1190" s="1" t="s">
        <v>410</v>
      </c>
      <c r="K1190" s="1" t="s">
        <v>45</v>
      </c>
      <c r="L1190" s="3" t="s">
        <v>46</v>
      </c>
      <c r="M1190" s="1" t="s">
        <v>12</v>
      </c>
      <c r="N1190" s="1" t="s">
        <v>76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117</v>
      </c>
      <c r="T1190" s="1" t="s">
        <v>411</v>
      </c>
      <c r="U1190" s="1" t="s">
        <v>412</v>
      </c>
      <c r="V1190" s="1" t="s">
        <v>413</v>
      </c>
      <c r="W1190" s="1">
        <v>41.69</v>
      </c>
      <c r="X1190" s="1">
        <v>-80.06</v>
      </c>
      <c r="Y1190" s="1" t="s">
        <v>48</v>
      </c>
      <c r="Z1190" s="1" t="s">
        <v>417</v>
      </c>
      <c r="AA1190" s="6" t="s">
        <v>49</v>
      </c>
      <c r="AB1190" s="6" t="s">
        <v>49</v>
      </c>
      <c r="AC1190" s="6" t="s">
        <v>49</v>
      </c>
      <c r="AD1190" s="1" t="s">
        <v>52</v>
      </c>
      <c r="AE1190" s="1" t="s">
        <v>234</v>
      </c>
      <c r="AF1190" s="6" t="s">
        <v>49</v>
      </c>
      <c r="AG1190" s="6" t="s">
        <v>49</v>
      </c>
      <c r="AH1190" s="1" t="s">
        <v>415</v>
      </c>
      <c r="AI1190" s="1" t="s">
        <v>55</v>
      </c>
      <c r="AJ1190" s="20" t="s">
        <v>49</v>
      </c>
      <c r="AK1190" s="20" t="s">
        <v>49</v>
      </c>
      <c r="AL1190" s="20" t="s">
        <v>49</v>
      </c>
      <c r="AM1190" s="20" t="s">
        <v>49</v>
      </c>
      <c r="AN1190" s="1" t="s">
        <v>49</v>
      </c>
      <c r="AO1190" s="1" t="s">
        <v>49</v>
      </c>
      <c r="AP1190" s="6">
        <v>1</v>
      </c>
      <c r="AQ1190" s="6">
        <v>0.15</v>
      </c>
      <c r="AR1190" s="6" t="s">
        <v>49</v>
      </c>
      <c r="AS1190" s="6" t="s">
        <v>49</v>
      </c>
      <c r="AT1190" s="6" t="s">
        <v>49</v>
      </c>
      <c r="AU1190" s="6" t="s">
        <v>49</v>
      </c>
      <c r="AV1190" s="6" t="s">
        <v>49</v>
      </c>
      <c r="AW1190" s="30" t="s">
        <v>49</v>
      </c>
    </row>
    <row r="1191" spans="1:49">
      <c r="A1191" s="1">
        <v>18</v>
      </c>
      <c r="B1191" s="1" t="s">
        <v>38</v>
      </c>
      <c r="C1191" s="1" t="s">
        <v>38</v>
      </c>
      <c r="D1191" s="1" t="s">
        <v>406</v>
      </c>
      <c r="E1191" s="1" t="s">
        <v>71</v>
      </c>
      <c r="F1191" s="1">
        <v>1999</v>
      </c>
      <c r="G1191" s="1" t="s">
        <v>407</v>
      </c>
      <c r="H1191" s="3" t="s">
        <v>408</v>
      </c>
      <c r="I1191" s="3" t="s">
        <v>409</v>
      </c>
      <c r="J1191" s="1" t="s">
        <v>410</v>
      </c>
      <c r="K1191" s="1" t="s">
        <v>45</v>
      </c>
      <c r="L1191" s="3" t="s">
        <v>46</v>
      </c>
      <c r="M1191" s="1" t="s">
        <v>12</v>
      </c>
      <c r="N1191" s="1" t="s">
        <v>76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117</v>
      </c>
      <c r="T1191" s="1" t="s">
        <v>411</v>
      </c>
      <c r="U1191" s="1" t="s">
        <v>412</v>
      </c>
      <c r="V1191" s="1" t="s">
        <v>413</v>
      </c>
      <c r="W1191" s="1">
        <v>41.69</v>
      </c>
      <c r="X1191" s="1">
        <v>-80.06</v>
      </c>
      <c r="Y1191" s="1" t="s">
        <v>48</v>
      </c>
      <c r="Z1191" s="1" t="s">
        <v>417</v>
      </c>
      <c r="AA1191" s="6" t="s">
        <v>49</v>
      </c>
      <c r="AB1191" s="6" t="s">
        <v>49</v>
      </c>
      <c r="AC1191" s="6" t="s">
        <v>49</v>
      </c>
      <c r="AD1191" s="1" t="s">
        <v>52</v>
      </c>
      <c r="AE1191" s="1" t="s">
        <v>419</v>
      </c>
      <c r="AF1191" s="6" t="s">
        <v>49</v>
      </c>
      <c r="AG1191" s="6" t="s">
        <v>49</v>
      </c>
      <c r="AH1191" s="1" t="s">
        <v>415</v>
      </c>
      <c r="AI1191" s="1" t="s">
        <v>55</v>
      </c>
      <c r="AJ1191" s="20" t="s">
        <v>49</v>
      </c>
      <c r="AK1191" s="20" t="s">
        <v>49</v>
      </c>
      <c r="AL1191" s="20" t="s">
        <v>49</v>
      </c>
      <c r="AM1191" s="20" t="s">
        <v>49</v>
      </c>
      <c r="AN1191" s="1" t="s">
        <v>49</v>
      </c>
      <c r="AO1191" s="1" t="s">
        <v>49</v>
      </c>
      <c r="AP1191" s="6">
        <v>1</v>
      </c>
      <c r="AQ1191" s="6">
        <v>-0.24</v>
      </c>
      <c r="AR1191" s="6" t="s">
        <v>49</v>
      </c>
      <c r="AS1191" s="6" t="s">
        <v>49</v>
      </c>
      <c r="AT1191" s="6" t="s">
        <v>49</v>
      </c>
      <c r="AU1191" s="6" t="s">
        <v>49</v>
      </c>
      <c r="AV1191" s="6" t="s">
        <v>49</v>
      </c>
      <c r="AW1191" s="30" t="s">
        <v>49</v>
      </c>
    </row>
    <row r="1192" spans="1:49">
      <c r="A1192" s="1">
        <v>18</v>
      </c>
      <c r="B1192" s="1" t="s">
        <v>38</v>
      </c>
      <c r="C1192" s="1" t="s">
        <v>38</v>
      </c>
      <c r="D1192" s="1" t="s">
        <v>406</v>
      </c>
      <c r="E1192" s="1" t="s">
        <v>71</v>
      </c>
      <c r="F1192" s="1">
        <v>1999</v>
      </c>
      <c r="G1192" s="1" t="s">
        <v>407</v>
      </c>
      <c r="H1192" s="3" t="s">
        <v>408</v>
      </c>
      <c r="I1192" s="3" t="s">
        <v>409</v>
      </c>
      <c r="J1192" s="1" t="s">
        <v>410</v>
      </c>
      <c r="K1192" s="1" t="s">
        <v>45</v>
      </c>
      <c r="L1192" s="3" t="s">
        <v>46</v>
      </c>
      <c r="M1192" s="1" t="s">
        <v>12</v>
      </c>
      <c r="N1192" s="1" t="s">
        <v>76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117</v>
      </c>
      <c r="T1192" s="1" t="s">
        <v>411</v>
      </c>
      <c r="U1192" s="1" t="s">
        <v>412</v>
      </c>
      <c r="V1192" s="1" t="s">
        <v>413</v>
      </c>
      <c r="W1192" s="1">
        <v>41.69</v>
      </c>
      <c r="X1192" s="1">
        <v>-80.06</v>
      </c>
      <c r="Y1192" s="1" t="s">
        <v>48</v>
      </c>
      <c r="Z1192" s="1" t="s">
        <v>417</v>
      </c>
      <c r="AA1192" s="6" t="s">
        <v>49</v>
      </c>
      <c r="AB1192" s="6" t="s">
        <v>49</v>
      </c>
      <c r="AC1192" s="6" t="s">
        <v>49</v>
      </c>
      <c r="AD1192" s="1" t="s">
        <v>421</v>
      </c>
      <c r="AE1192" s="1" t="s">
        <v>418</v>
      </c>
      <c r="AF1192" s="6" t="s">
        <v>49</v>
      </c>
      <c r="AG1192" s="6" t="s">
        <v>49</v>
      </c>
      <c r="AH1192" s="1" t="s">
        <v>415</v>
      </c>
      <c r="AI1192" s="1" t="s">
        <v>55</v>
      </c>
      <c r="AJ1192" s="20" t="s">
        <v>49</v>
      </c>
      <c r="AK1192" s="20" t="s">
        <v>49</v>
      </c>
      <c r="AL1192" s="20" t="s">
        <v>49</v>
      </c>
      <c r="AM1192" s="20" t="s">
        <v>49</v>
      </c>
      <c r="AN1192" s="1" t="s">
        <v>49</v>
      </c>
      <c r="AO1192" s="1" t="s">
        <v>49</v>
      </c>
      <c r="AP1192" s="6">
        <v>1</v>
      </c>
      <c r="AQ1192" s="6">
        <v>0.42</v>
      </c>
      <c r="AR1192" s="6" t="s">
        <v>49</v>
      </c>
      <c r="AS1192" s="6" t="s">
        <v>49</v>
      </c>
      <c r="AT1192" s="6" t="s">
        <v>49</v>
      </c>
      <c r="AU1192" s="6" t="s">
        <v>49</v>
      </c>
      <c r="AV1192" s="6" t="s">
        <v>49</v>
      </c>
      <c r="AW1192" s="30" t="s">
        <v>49</v>
      </c>
    </row>
    <row r="1193" spans="1:49">
      <c r="A1193" s="1">
        <v>18</v>
      </c>
      <c r="B1193" s="1" t="s">
        <v>38</v>
      </c>
      <c r="C1193" s="1" t="s">
        <v>38</v>
      </c>
      <c r="D1193" s="1" t="s">
        <v>406</v>
      </c>
      <c r="E1193" s="1" t="s">
        <v>71</v>
      </c>
      <c r="F1193" s="1">
        <v>1999</v>
      </c>
      <c r="G1193" s="1" t="s">
        <v>407</v>
      </c>
      <c r="H1193" s="3" t="s">
        <v>408</v>
      </c>
      <c r="I1193" s="3" t="s">
        <v>409</v>
      </c>
      <c r="J1193" s="1" t="s">
        <v>410</v>
      </c>
      <c r="K1193" s="1" t="s">
        <v>45</v>
      </c>
      <c r="L1193" s="3" t="s">
        <v>46</v>
      </c>
      <c r="M1193" s="1" t="s">
        <v>12</v>
      </c>
      <c r="N1193" s="1" t="s">
        <v>76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117</v>
      </c>
      <c r="T1193" s="1" t="s">
        <v>411</v>
      </c>
      <c r="U1193" s="1" t="s">
        <v>412</v>
      </c>
      <c r="V1193" s="1" t="s">
        <v>413</v>
      </c>
      <c r="W1193" s="1">
        <v>41.69</v>
      </c>
      <c r="X1193" s="1">
        <v>-80.06</v>
      </c>
      <c r="Y1193" s="1" t="s">
        <v>48</v>
      </c>
      <c r="Z1193" s="1" t="s">
        <v>417</v>
      </c>
      <c r="AA1193" s="6" t="s">
        <v>49</v>
      </c>
      <c r="AB1193" s="6" t="s">
        <v>49</v>
      </c>
      <c r="AC1193" s="6" t="s">
        <v>49</v>
      </c>
      <c r="AD1193" s="1" t="s">
        <v>421</v>
      </c>
      <c r="AE1193" s="1" t="s">
        <v>126</v>
      </c>
      <c r="AF1193" s="6" t="s">
        <v>49</v>
      </c>
      <c r="AG1193" s="6" t="s">
        <v>49</v>
      </c>
      <c r="AH1193" s="1" t="s">
        <v>415</v>
      </c>
      <c r="AI1193" s="1" t="s">
        <v>55</v>
      </c>
      <c r="AJ1193" s="20" t="s">
        <v>49</v>
      </c>
      <c r="AK1193" s="20" t="s">
        <v>49</v>
      </c>
      <c r="AL1193" s="20" t="s">
        <v>49</v>
      </c>
      <c r="AM1193" s="20" t="s">
        <v>49</v>
      </c>
      <c r="AN1193" s="1" t="s">
        <v>49</v>
      </c>
      <c r="AO1193" s="1" t="s">
        <v>49</v>
      </c>
      <c r="AP1193" s="6">
        <v>1</v>
      </c>
      <c r="AQ1193" s="6">
        <v>0.39</v>
      </c>
      <c r="AR1193" s="6" t="s">
        <v>49</v>
      </c>
      <c r="AS1193" s="6" t="s">
        <v>49</v>
      </c>
      <c r="AT1193" s="6" t="s">
        <v>49</v>
      </c>
      <c r="AU1193" s="6" t="s">
        <v>49</v>
      </c>
      <c r="AV1193" s="6" t="s">
        <v>49</v>
      </c>
      <c r="AW1193" s="30" t="s">
        <v>49</v>
      </c>
    </row>
    <row r="1194" spans="1:49">
      <c r="A1194" s="1">
        <v>18</v>
      </c>
      <c r="B1194" s="1" t="s">
        <v>38</v>
      </c>
      <c r="C1194" s="1" t="s">
        <v>38</v>
      </c>
      <c r="D1194" s="1" t="s">
        <v>406</v>
      </c>
      <c r="E1194" s="1" t="s">
        <v>71</v>
      </c>
      <c r="F1194" s="1">
        <v>1999</v>
      </c>
      <c r="G1194" s="1" t="s">
        <v>407</v>
      </c>
      <c r="H1194" s="3" t="s">
        <v>408</v>
      </c>
      <c r="I1194" s="3" t="s">
        <v>409</v>
      </c>
      <c r="J1194" s="1" t="s">
        <v>410</v>
      </c>
      <c r="K1194" s="1" t="s">
        <v>45</v>
      </c>
      <c r="L1194" s="3" t="s">
        <v>46</v>
      </c>
      <c r="M1194" s="1" t="s">
        <v>12</v>
      </c>
      <c r="N1194" s="1" t="s">
        <v>76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117</v>
      </c>
      <c r="T1194" s="1" t="s">
        <v>411</v>
      </c>
      <c r="U1194" s="1" t="s">
        <v>412</v>
      </c>
      <c r="V1194" s="1" t="s">
        <v>413</v>
      </c>
      <c r="W1194" s="1">
        <v>41.69</v>
      </c>
      <c r="X1194" s="1">
        <v>-80.06</v>
      </c>
      <c r="Y1194" s="1" t="s">
        <v>48</v>
      </c>
      <c r="Z1194" s="1" t="s">
        <v>417</v>
      </c>
      <c r="AA1194" s="6" t="s">
        <v>49</v>
      </c>
      <c r="AB1194" s="6" t="s">
        <v>49</v>
      </c>
      <c r="AC1194" s="6" t="s">
        <v>49</v>
      </c>
      <c r="AD1194" s="1" t="s">
        <v>421</v>
      </c>
      <c r="AE1194" s="1" t="s">
        <v>234</v>
      </c>
      <c r="AF1194" s="6" t="s">
        <v>49</v>
      </c>
      <c r="AG1194" s="6" t="s">
        <v>49</v>
      </c>
      <c r="AH1194" s="1" t="s">
        <v>415</v>
      </c>
      <c r="AI1194" s="1" t="s">
        <v>55</v>
      </c>
      <c r="AJ1194" s="20" t="s">
        <v>49</v>
      </c>
      <c r="AK1194" s="20" t="s">
        <v>49</v>
      </c>
      <c r="AL1194" s="20" t="s">
        <v>49</v>
      </c>
      <c r="AM1194" s="20" t="s">
        <v>49</v>
      </c>
      <c r="AN1194" s="1" t="s">
        <v>49</v>
      </c>
      <c r="AO1194" s="1" t="s">
        <v>49</v>
      </c>
      <c r="AP1194" s="6">
        <v>1</v>
      </c>
      <c r="AQ1194" s="6">
        <v>0.23</v>
      </c>
      <c r="AR1194" s="6" t="s">
        <v>49</v>
      </c>
      <c r="AS1194" s="6" t="s">
        <v>49</v>
      </c>
      <c r="AT1194" s="6" t="s">
        <v>49</v>
      </c>
      <c r="AU1194" s="6" t="s">
        <v>49</v>
      </c>
      <c r="AV1194" s="6" t="s">
        <v>49</v>
      </c>
      <c r="AW1194" s="30" t="s">
        <v>49</v>
      </c>
    </row>
    <row r="1195" spans="1:49">
      <c r="A1195" s="1">
        <v>18</v>
      </c>
      <c r="B1195" s="1" t="s">
        <v>38</v>
      </c>
      <c r="C1195" s="1" t="s">
        <v>38</v>
      </c>
      <c r="D1195" s="1" t="s">
        <v>406</v>
      </c>
      <c r="E1195" s="1" t="s">
        <v>71</v>
      </c>
      <c r="F1195" s="1">
        <v>1999</v>
      </c>
      <c r="G1195" s="1" t="s">
        <v>407</v>
      </c>
      <c r="H1195" s="3" t="s">
        <v>408</v>
      </c>
      <c r="I1195" s="3" t="s">
        <v>409</v>
      </c>
      <c r="J1195" s="1" t="s">
        <v>410</v>
      </c>
      <c r="K1195" s="1" t="s">
        <v>45</v>
      </c>
      <c r="L1195" s="3" t="s">
        <v>46</v>
      </c>
      <c r="M1195" s="1" t="s">
        <v>12</v>
      </c>
      <c r="N1195" s="1" t="s">
        <v>76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117</v>
      </c>
      <c r="T1195" s="1" t="s">
        <v>411</v>
      </c>
      <c r="U1195" s="1" t="s">
        <v>412</v>
      </c>
      <c r="V1195" s="1" t="s">
        <v>413</v>
      </c>
      <c r="W1195" s="1">
        <v>41.69</v>
      </c>
      <c r="X1195" s="1">
        <v>-80.06</v>
      </c>
      <c r="Y1195" s="1" t="s">
        <v>48</v>
      </c>
      <c r="Z1195" s="1" t="s">
        <v>417</v>
      </c>
      <c r="AA1195" s="6" t="s">
        <v>49</v>
      </c>
      <c r="AB1195" s="6" t="s">
        <v>49</v>
      </c>
      <c r="AC1195" s="6" t="s">
        <v>49</v>
      </c>
      <c r="AD1195" s="1" t="s">
        <v>421</v>
      </c>
      <c r="AE1195" s="1" t="s">
        <v>419</v>
      </c>
      <c r="AF1195" s="6" t="s">
        <v>49</v>
      </c>
      <c r="AG1195" s="6" t="s">
        <v>49</v>
      </c>
      <c r="AH1195" s="1" t="s">
        <v>415</v>
      </c>
      <c r="AI1195" s="1" t="s">
        <v>55</v>
      </c>
      <c r="AJ1195" s="20" t="s">
        <v>49</v>
      </c>
      <c r="AK1195" s="20" t="s">
        <v>49</v>
      </c>
      <c r="AL1195" s="20" t="s">
        <v>49</v>
      </c>
      <c r="AM1195" s="20" t="s">
        <v>49</v>
      </c>
      <c r="AN1195" s="1" t="s">
        <v>49</v>
      </c>
      <c r="AO1195" s="1" t="s">
        <v>49</v>
      </c>
      <c r="AP1195" s="6">
        <v>1</v>
      </c>
      <c r="AQ1195" s="6">
        <v>0.34</v>
      </c>
      <c r="AR1195" s="6" t="s">
        <v>49</v>
      </c>
      <c r="AS1195" s="6" t="s">
        <v>49</v>
      </c>
      <c r="AT1195" s="6" t="s">
        <v>49</v>
      </c>
      <c r="AU1195" s="6" t="s">
        <v>49</v>
      </c>
      <c r="AV1195" s="6" t="s">
        <v>49</v>
      </c>
      <c r="AW1195" s="30" t="s">
        <v>49</v>
      </c>
    </row>
    <row r="1196" spans="1:49">
      <c r="A1196" s="1">
        <v>18</v>
      </c>
      <c r="B1196" s="1" t="s">
        <v>38</v>
      </c>
      <c r="C1196" s="1" t="s">
        <v>38</v>
      </c>
      <c r="D1196" s="1" t="s">
        <v>406</v>
      </c>
      <c r="E1196" s="1" t="s">
        <v>71</v>
      </c>
      <c r="F1196" s="1">
        <v>1999</v>
      </c>
      <c r="G1196" s="1" t="s">
        <v>407</v>
      </c>
      <c r="H1196" s="3" t="s">
        <v>408</v>
      </c>
      <c r="I1196" s="3" t="s">
        <v>409</v>
      </c>
      <c r="J1196" s="1" t="s">
        <v>410</v>
      </c>
      <c r="K1196" s="1" t="s">
        <v>45</v>
      </c>
      <c r="L1196" s="3" t="s">
        <v>46</v>
      </c>
      <c r="M1196" s="1" t="s">
        <v>12</v>
      </c>
      <c r="N1196" s="1" t="s">
        <v>76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117</v>
      </c>
      <c r="T1196" s="1" t="s">
        <v>411</v>
      </c>
      <c r="U1196" s="1" t="s">
        <v>412</v>
      </c>
      <c r="V1196" s="1" t="s">
        <v>413</v>
      </c>
      <c r="W1196" s="1">
        <v>41.69</v>
      </c>
      <c r="X1196" s="1">
        <v>-80.06</v>
      </c>
      <c r="Y1196" s="1" t="s">
        <v>48</v>
      </c>
      <c r="Z1196" s="1" t="s">
        <v>417</v>
      </c>
      <c r="AA1196" s="6" t="s">
        <v>49</v>
      </c>
      <c r="AB1196" s="6" t="s">
        <v>49</v>
      </c>
      <c r="AC1196" s="6" t="s">
        <v>49</v>
      </c>
      <c r="AD1196" s="1" t="s">
        <v>418</v>
      </c>
      <c r="AE1196" s="1" t="s">
        <v>126</v>
      </c>
      <c r="AF1196" s="6" t="s">
        <v>49</v>
      </c>
      <c r="AG1196" s="6" t="s">
        <v>49</v>
      </c>
      <c r="AH1196" s="1" t="s">
        <v>415</v>
      </c>
      <c r="AI1196" s="1" t="s">
        <v>55</v>
      </c>
      <c r="AJ1196" s="20" t="s">
        <v>49</v>
      </c>
      <c r="AK1196" s="20" t="s">
        <v>49</v>
      </c>
      <c r="AL1196" s="20" t="s">
        <v>49</v>
      </c>
      <c r="AM1196" s="20" t="s">
        <v>49</v>
      </c>
      <c r="AN1196" s="1" t="s">
        <v>49</v>
      </c>
      <c r="AO1196" s="1" t="s">
        <v>49</v>
      </c>
      <c r="AP1196" s="6">
        <v>1</v>
      </c>
      <c r="AQ1196" s="6">
        <v>-0.19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6" t="s">
        <v>49</v>
      </c>
      <c r="AW1196" s="30" t="s">
        <v>49</v>
      </c>
    </row>
    <row r="1197" spans="1:49">
      <c r="A1197" s="1">
        <v>18</v>
      </c>
      <c r="B1197" s="1" t="s">
        <v>38</v>
      </c>
      <c r="C1197" s="1" t="s">
        <v>38</v>
      </c>
      <c r="D1197" s="1" t="s">
        <v>406</v>
      </c>
      <c r="E1197" s="1" t="s">
        <v>71</v>
      </c>
      <c r="F1197" s="1">
        <v>1999</v>
      </c>
      <c r="G1197" s="1" t="s">
        <v>407</v>
      </c>
      <c r="H1197" s="3" t="s">
        <v>408</v>
      </c>
      <c r="I1197" s="3" t="s">
        <v>409</v>
      </c>
      <c r="J1197" s="1" t="s">
        <v>410</v>
      </c>
      <c r="K1197" s="1" t="s">
        <v>45</v>
      </c>
      <c r="L1197" s="3" t="s">
        <v>46</v>
      </c>
      <c r="M1197" s="1" t="s">
        <v>12</v>
      </c>
      <c r="N1197" s="1" t="s">
        <v>76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117</v>
      </c>
      <c r="T1197" s="1" t="s">
        <v>411</v>
      </c>
      <c r="U1197" s="1" t="s">
        <v>412</v>
      </c>
      <c r="V1197" s="1" t="s">
        <v>413</v>
      </c>
      <c r="W1197" s="1">
        <v>41.69</v>
      </c>
      <c r="X1197" s="1">
        <v>-80.06</v>
      </c>
      <c r="Y1197" s="1" t="s">
        <v>48</v>
      </c>
      <c r="Z1197" s="1" t="s">
        <v>417</v>
      </c>
      <c r="AA1197" s="6" t="s">
        <v>49</v>
      </c>
      <c r="AB1197" s="6" t="s">
        <v>49</v>
      </c>
      <c r="AC1197" s="6" t="s">
        <v>49</v>
      </c>
      <c r="AD1197" s="1" t="s">
        <v>418</v>
      </c>
      <c r="AE1197" s="1" t="s">
        <v>234</v>
      </c>
      <c r="AF1197" s="6" t="s">
        <v>49</v>
      </c>
      <c r="AG1197" s="6" t="s">
        <v>49</v>
      </c>
      <c r="AH1197" s="1" t="s">
        <v>415</v>
      </c>
      <c r="AI1197" s="1" t="s">
        <v>55</v>
      </c>
      <c r="AJ1197" s="20" t="s">
        <v>49</v>
      </c>
      <c r="AK1197" s="20" t="s">
        <v>49</v>
      </c>
      <c r="AL1197" s="20" t="s">
        <v>49</v>
      </c>
      <c r="AM1197" s="20" t="s">
        <v>49</v>
      </c>
      <c r="AN1197" s="1" t="s">
        <v>49</v>
      </c>
      <c r="AO1197" s="1" t="s">
        <v>49</v>
      </c>
      <c r="AP1197" s="6">
        <v>1</v>
      </c>
      <c r="AQ1197" s="6">
        <v>-0.12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6" t="s">
        <v>49</v>
      </c>
      <c r="AW1197" s="30" t="s">
        <v>49</v>
      </c>
    </row>
    <row r="1198" spans="1:49">
      <c r="A1198" s="1">
        <v>18</v>
      </c>
      <c r="B1198" s="1" t="s">
        <v>38</v>
      </c>
      <c r="C1198" s="1" t="s">
        <v>38</v>
      </c>
      <c r="D1198" s="1" t="s">
        <v>406</v>
      </c>
      <c r="E1198" s="1" t="s">
        <v>71</v>
      </c>
      <c r="F1198" s="1">
        <v>1999</v>
      </c>
      <c r="G1198" s="1" t="s">
        <v>407</v>
      </c>
      <c r="H1198" s="3" t="s">
        <v>408</v>
      </c>
      <c r="I1198" s="3" t="s">
        <v>409</v>
      </c>
      <c r="J1198" s="1" t="s">
        <v>410</v>
      </c>
      <c r="K1198" s="1" t="s">
        <v>45</v>
      </c>
      <c r="L1198" s="3" t="s">
        <v>46</v>
      </c>
      <c r="M1198" s="1" t="s">
        <v>12</v>
      </c>
      <c r="N1198" s="1" t="s">
        <v>76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117</v>
      </c>
      <c r="T1198" s="1" t="s">
        <v>411</v>
      </c>
      <c r="U1198" s="1" t="s">
        <v>412</v>
      </c>
      <c r="V1198" s="1" t="s">
        <v>413</v>
      </c>
      <c r="W1198" s="1">
        <v>41.69</v>
      </c>
      <c r="X1198" s="1">
        <v>-80.06</v>
      </c>
      <c r="Y1198" s="1" t="s">
        <v>48</v>
      </c>
      <c r="Z1198" s="1" t="s">
        <v>417</v>
      </c>
      <c r="AA1198" s="6" t="s">
        <v>49</v>
      </c>
      <c r="AB1198" s="6" t="s">
        <v>49</v>
      </c>
      <c r="AC1198" s="6" t="s">
        <v>49</v>
      </c>
      <c r="AD1198" s="1" t="s">
        <v>418</v>
      </c>
      <c r="AE1198" s="1" t="s">
        <v>419</v>
      </c>
      <c r="AF1198" s="6" t="s">
        <v>49</v>
      </c>
      <c r="AG1198" s="6" t="s">
        <v>49</v>
      </c>
      <c r="AH1198" s="1" t="s">
        <v>415</v>
      </c>
      <c r="AI1198" s="1" t="s">
        <v>55</v>
      </c>
      <c r="AJ1198" s="20" t="s">
        <v>49</v>
      </c>
      <c r="AK1198" s="20" t="s">
        <v>49</v>
      </c>
      <c r="AL1198" s="20" t="s">
        <v>49</v>
      </c>
      <c r="AM1198" s="20" t="s">
        <v>49</v>
      </c>
      <c r="AN1198" s="1" t="s">
        <v>49</v>
      </c>
      <c r="AO1198" s="1" t="s">
        <v>49</v>
      </c>
      <c r="AP1198" s="6">
        <v>1</v>
      </c>
      <c r="AQ1198" s="6">
        <v>0.15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6" t="s">
        <v>49</v>
      </c>
      <c r="AW1198" s="30" t="s">
        <v>49</v>
      </c>
    </row>
    <row r="1199" spans="1:49">
      <c r="A1199" s="1">
        <v>18</v>
      </c>
      <c r="B1199" s="1" t="s">
        <v>38</v>
      </c>
      <c r="C1199" s="1" t="s">
        <v>38</v>
      </c>
      <c r="D1199" s="1" t="s">
        <v>406</v>
      </c>
      <c r="E1199" s="1" t="s">
        <v>71</v>
      </c>
      <c r="F1199" s="1">
        <v>1999</v>
      </c>
      <c r="G1199" s="1" t="s">
        <v>407</v>
      </c>
      <c r="H1199" s="3" t="s">
        <v>408</v>
      </c>
      <c r="I1199" s="3" t="s">
        <v>409</v>
      </c>
      <c r="J1199" s="1" t="s">
        <v>410</v>
      </c>
      <c r="K1199" s="1" t="s">
        <v>45</v>
      </c>
      <c r="L1199" s="3" t="s">
        <v>46</v>
      </c>
      <c r="M1199" s="1" t="s">
        <v>12</v>
      </c>
      <c r="N1199" s="1" t="s">
        <v>76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117</v>
      </c>
      <c r="T1199" s="1" t="s">
        <v>411</v>
      </c>
      <c r="U1199" s="1" t="s">
        <v>412</v>
      </c>
      <c r="V1199" s="1" t="s">
        <v>413</v>
      </c>
      <c r="W1199" s="1">
        <v>41.69</v>
      </c>
      <c r="X1199" s="1">
        <v>-80.06</v>
      </c>
      <c r="Y1199" s="1" t="s">
        <v>48</v>
      </c>
      <c r="Z1199" s="1" t="s">
        <v>417</v>
      </c>
      <c r="AA1199" s="6" t="s">
        <v>49</v>
      </c>
      <c r="AB1199" s="6" t="s">
        <v>49</v>
      </c>
      <c r="AC1199" s="6" t="s">
        <v>49</v>
      </c>
      <c r="AD1199" s="1" t="s">
        <v>126</v>
      </c>
      <c r="AE1199" s="1" t="s">
        <v>234</v>
      </c>
      <c r="AF1199" s="6" t="s">
        <v>49</v>
      </c>
      <c r="AG1199" s="6" t="s">
        <v>49</v>
      </c>
      <c r="AH1199" s="1" t="s">
        <v>415</v>
      </c>
      <c r="AI1199" s="1" t="s">
        <v>55</v>
      </c>
      <c r="AJ1199" s="20" t="s">
        <v>49</v>
      </c>
      <c r="AK1199" s="20" t="s">
        <v>49</v>
      </c>
      <c r="AL1199" s="20" t="s">
        <v>49</v>
      </c>
      <c r="AM1199" s="20" t="s">
        <v>49</v>
      </c>
      <c r="AN1199" s="1" t="s">
        <v>49</v>
      </c>
      <c r="AO1199" s="1" t="s">
        <v>49</v>
      </c>
      <c r="AP1199" s="6">
        <v>1</v>
      </c>
      <c r="AQ1199" s="6">
        <v>0.65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6" t="s">
        <v>49</v>
      </c>
      <c r="AW1199" s="30" t="s">
        <v>49</v>
      </c>
    </row>
    <row r="1200" spans="1:49">
      <c r="A1200" s="1">
        <v>18</v>
      </c>
      <c r="B1200" s="1" t="s">
        <v>38</v>
      </c>
      <c r="C1200" s="1" t="s">
        <v>38</v>
      </c>
      <c r="D1200" s="1" t="s">
        <v>406</v>
      </c>
      <c r="E1200" s="1" t="s">
        <v>71</v>
      </c>
      <c r="F1200" s="1">
        <v>1999</v>
      </c>
      <c r="G1200" s="1" t="s">
        <v>407</v>
      </c>
      <c r="H1200" s="3" t="s">
        <v>408</v>
      </c>
      <c r="I1200" s="3" t="s">
        <v>409</v>
      </c>
      <c r="J1200" s="1" t="s">
        <v>410</v>
      </c>
      <c r="K1200" s="1" t="s">
        <v>45</v>
      </c>
      <c r="L1200" s="3" t="s">
        <v>46</v>
      </c>
      <c r="M1200" s="1" t="s">
        <v>12</v>
      </c>
      <c r="N1200" s="1" t="s">
        <v>76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117</v>
      </c>
      <c r="T1200" s="1" t="s">
        <v>411</v>
      </c>
      <c r="U1200" s="1" t="s">
        <v>412</v>
      </c>
      <c r="V1200" s="1" t="s">
        <v>413</v>
      </c>
      <c r="W1200" s="1">
        <v>41.69</v>
      </c>
      <c r="X1200" s="1">
        <v>-80.06</v>
      </c>
      <c r="Y1200" s="1" t="s">
        <v>48</v>
      </c>
      <c r="Z1200" s="1" t="s">
        <v>417</v>
      </c>
      <c r="AA1200" s="6" t="s">
        <v>49</v>
      </c>
      <c r="AB1200" s="6" t="s">
        <v>49</v>
      </c>
      <c r="AC1200" s="6" t="s">
        <v>49</v>
      </c>
      <c r="AD1200" s="1" t="s">
        <v>126</v>
      </c>
      <c r="AE1200" s="1" t="s">
        <v>419</v>
      </c>
      <c r="AF1200" s="6" t="s">
        <v>49</v>
      </c>
      <c r="AG1200" s="6" t="s">
        <v>49</v>
      </c>
      <c r="AH1200" s="1" t="s">
        <v>415</v>
      </c>
      <c r="AI1200" s="1" t="s">
        <v>55</v>
      </c>
      <c r="AJ1200" s="20" t="s">
        <v>49</v>
      </c>
      <c r="AK1200" s="20" t="s">
        <v>49</v>
      </c>
      <c r="AL1200" s="20" t="s">
        <v>49</v>
      </c>
      <c r="AM1200" s="20" t="s">
        <v>49</v>
      </c>
      <c r="AN1200" s="1" t="s">
        <v>49</v>
      </c>
      <c r="AO1200" s="1" t="s">
        <v>49</v>
      </c>
      <c r="AP1200" s="6">
        <v>1</v>
      </c>
      <c r="AQ1200" s="6">
        <v>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6" t="s">
        <v>49</v>
      </c>
      <c r="AW1200" s="30" t="s">
        <v>49</v>
      </c>
    </row>
    <row r="1201" spans="1:49">
      <c r="A1201" s="1">
        <v>18</v>
      </c>
      <c r="B1201" s="1" t="s">
        <v>38</v>
      </c>
      <c r="C1201" s="1" t="s">
        <v>38</v>
      </c>
      <c r="D1201" s="1" t="s">
        <v>406</v>
      </c>
      <c r="E1201" s="1" t="s">
        <v>71</v>
      </c>
      <c r="F1201" s="1">
        <v>1999</v>
      </c>
      <c r="G1201" s="1" t="s">
        <v>407</v>
      </c>
      <c r="H1201" s="3" t="s">
        <v>408</v>
      </c>
      <c r="I1201" s="3" t="s">
        <v>409</v>
      </c>
      <c r="J1201" s="1" t="s">
        <v>410</v>
      </c>
      <c r="K1201" s="1" t="s">
        <v>45</v>
      </c>
      <c r="L1201" s="3" t="s">
        <v>46</v>
      </c>
      <c r="M1201" s="1" t="s">
        <v>12</v>
      </c>
      <c r="N1201" s="1" t="s">
        <v>76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117</v>
      </c>
      <c r="T1201" s="1" t="s">
        <v>411</v>
      </c>
      <c r="U1201" s="1" t="s">
        <v>412</v>
      </c>
      <c r="V1201" s="1" t="s">
        <v>413</v>
      </c>
      <c r="W1201" s="1">
        <v>41.69</v>
      </c>
      <c r="X1201" s="1">
        <v>-80.06</v>
      </c>
      <c r="Y1201" s="1" t="s">
        <v>48</v>
      </c>
      <c r="Z1201" s="1" t="s">
        <v>417</v>
      </c>
      <c r="AA1201" s="6" t="s">
        <v>49</v>
      </c>
      <c r="AB1201" s="6" t="s">
        <v>49</v>
      </c>
      <c r="AC1201" s="6" t="s">
        <v>49</v>
      </c>
      <c r="AD1201" s="1" t="s">
        <v>234</v>
      </c>
      <c r="AE1201" s="1" t="s">
        <v>419</v>
      </c>
      <c r="AF1201" s="6" t="s">
        <v>49</v>
      </c>
      <c r="AG1201" s="6" t="s">
        <v>49</v>
      </c>
      <c r="AH1201" s="1" t="s">
        <v>415</v>
      </c>
      <c r="AI1201" s="1" t="s">
        <v>55</v>
      </c>
      <c r="AJ1201" s="20" t="s">
        <v>49</v>
      </c>
      <c r="AK1201" s="20" t="s">
        <v>49</v>
      </c>
      <c r="AL1201" s="20" t="s">
        <v>49</v>
      </c>
      <c r="AM1201" s="20" t="s">
        <v>49</v>
      </c>
      <c r="AN1201" s="1" t="s">
        <v>49</v>
      </c>
      <c r="AO1201" s="1" t="s">
        <v>49</v>
      </c>
      <c r="AP1201" s="6">
        <v>1</v>
      </c>
      <c r="AQ1201" s="6">
        <v>0.34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6" t="s">
        <v>49</v>
      </c>
      <c r="AW1201" s="30" t="s">
        <v>49</v>
      </c>
    </row>
    <row r="1202" spans="1:49">
      <c r="A1202" s="1">
        <v>29</v>
      </c>
      <c r="B1202" s="1" t="s">
        <v>38</v>
      </c>
      <c r="C1202" s="1" t="s">
        <v>38</v>
      </c>
      <c r="D1202" s="1" t="s">
        <v>551</v>
      </c>
      <c r="E1202" s="1" t="s">
        <v>71</v>
      </c>
      <c r="F1202" s="1">
        <v>1990</v>
      </c>
      <c r="G1202" s="1" t="s">
        <v>422</v>
      </c>
      <c r="H1202" s="3" t="s">
        <v>423</v>
      </c>
      <c r="I1202" s="3" t="s">
        <v>424</v>
      </c>
      <c r="J1202" s="1" t="s">
        <v>425</v>
      </c>
      <c r="K1202" s="1" t="s">
        <v>307</v>
      </c>
      <c r="L1202" s="1" t="s">
        <v>46</v>
      </c>
      <c r="M1202" s="1" t="s">
        <v>12</v>
      </c>
      <c r="N1202" s="1" t="s">
        <v>80</v>
      </c>
      <c r="O1202" s="1">
        <v>0.221</v>
      </c>
      <c r="P1202" s="1">
        <v>0.19</v>
      </c>
      <c r="Q1202" s="1">
        <v>0.19</v>
      </c>
      <c r="R1202" s="1">
        <v>1</v>
      </c>
      <c r="S1202" s="1" t="s">
        <v>49</v>
      </c>
      <c r="T1202" s="1" t="s">
        <v>49</v>
      </c>
      <c r="U1202" s="1" t="s">
        <v>398</v>
      </c>
      <c r="V1202" s="1" t="s">
        <v>426</v>
      </c>
      <c r="W1202" s="1">
        <v>18.170000000000002</v>
      </c>
      <c r="X1202" s="1">
        <v>-77.31</v>
      </c>
      <c r="Y1202" s="1" t="s">
        <v>48</v>
      </c>
      <c r="Z1202" s="1" t="s">
        <v>49</v>
      </c>
      <c r="AA1202" s="1" t="s">
        <v>50</v>
      </c>
      <c r="AB1202" s="1" t="s">
        <v>57</v>
      </c>
      <c r="AC1202" s="1" t="s">
        <v>58</v>
      </c>
      <c r="AD1202" s="1" t="s">
        <v>85</v>
      </c>
      <c r="AE1202" s="1" t="s">
        <v>85</v>
      </c>
      <c r="AF1202" s="1" t="s">
        <v>60</v>
      </c>
      <c r="AG1202" s="1" t="s">
        <v>61</v>
      </c>
      <c r="AH1202" s="1" t="s">
        <v>199</v>
      </c>
      <c r="AI1202" s="1" t="s">
        <v>200</v>
      </c>
      <c r="AJ1202" s="1">
        <v>10</v>
      </c>
      <c r="AK1202" s="1">
        <v>250</v>
      </c>
      <c r="AL1202" s="4">
        <v>0.443</v>
      </c>
      <c r="AM1202" s="1">
        <v>23.97</v>
      </c>
      <c r="AN1202" s="1">
        <f>AS1202/AL1202</f>
        <v>3.7775269626289223</v>
      </c>
      <c r="AO1202" s="1" t="s">
        <v>49</v>
      </c>
      <c r="AP1202" s="6">
        <v>1</v>
      </c>
      <c r="AQ1202" s="6" t="s">
        <v>49</v>
      </c>
      <c r="AR1202" s="6" t="s">
        <v>49</v>
      </c>
      <c r="AS1202" s="1">
        <v>1.6734444444446126</v>
      </c>
      <c r="AT1202" s="4">
        <f>AS1202/(AM1202^2)*100</f>
        <v>0.29125623488208346</v>
      </c>
      <c r="AU1202" s="16">
        <v>0</v>
      </c>
      <c r="AV1202" s="4">
        <f>AT1202*(1-AL1202)/AL1202</f>
        <v>0.36620704927611841</v>
      </c>
      <c r="AW1202" s="29" t="s">
        <v>427</v>
      </c>
    </row>
    <row r="1203" spans="1:49">
      <c r="A1203" s="1">
        <v>29</v>
      </c>
      <c r="B1203" s="1" t="s">
        <v>38</v>
      </c>
      <c r="C1203" s="1" t="s">
        <v>38</v>
      </c>
      <c r="D1203" s="1" t="s">
        <v>551</v>
      </c>
      <c r="E1203" s="1" t="s">
        <v>71</v>
      </c>
      <c r="F1203" s="1">
        <v>1990</v>
      </c>
      <c r="G1203" s="1" t="s">
        <v>422</v>
      </c>
      <c r="H1203" s="3" t="s">
        <v>423</v>
      </c>
      <c r="I1203" s="3" t="s">
        <v>424</v>
      </c>
      <c r="J1203" s="1" t="s">
        <v>425</v>
      </c>
      <c r="K1203" s="1" t="s">
        <v>307</v>
      </c>
      <c r="L1203" s="1" t="s">
        <v>46</v>
      </c>
      <c r="M1203" s="1" t="s">
        <v>12</v>
      </c>
      <c r="N1203" s="1" t="s">
        <v>80</v>
      </c>
      <c r="O1203" s="1">
        <v>0.221</v>
      </c>
      <c r="P1203" s="1">
        <v>0.19</v>
      </c>
      <c r="Q1203" s="1">
        <v>0.19</v>
      </c>
      <c r="R1203" s="1">
        <v>1</v>
      </c>
      <c r="S1203" s="1" t="s">
        <v>49</v>
      </c>
      <c r="T1203" s="1" t="s">
        <v>49</v>
      </c>
      <c r="U1203" s="1" t="s">
        <v>398</v>
      </c>
      <c r="V1203" s="1" t="s">
        <v>426</v>
      </c>
      <c r="W1203" s="1">
        <v>18.170000000000002</v>
      </c>
      <c r="X1203" s="1">
        <v>-77.31</v>
      </c>
      <c r="Y1203" s="1" t="s">
        <v>48</v>
      </c>
      <c r="Z1203" s="1" t="s">
        <v>49</v>
      </c>
      <c r="AA1203" s="1" t="s">
        <v>50</v>
      </c>
      <c r="AB1203" s="1" t="s">
        <v>57</v>
      </c>
      <c r="AC1203" s="1" t="s">
        <v>86</v>
      </c>
      <c r="AD1203" s="1" t="s">
        <v>234</v>
      </c>
      <c r="AE1203" s="1" t="s">
        <v>234</v>
      </c>
      <c r="AF1203" s="1" t="s">
        <v>60</v>
      </c>
      <c r="AG1203" s="1" t="s">
        <v>61</v>
      </c>
      <c r="AH1203" s="1" t="s">
        <v>199</v>
      </c>
      <c r="AI1203" s="1" t="s">
        <v>200</v>
      </c>
      <c r="AJ1203" s="1">
        <v>10</v>
      </c>
      <c r="AK1203" s="1">
        <v>250</v>
      </c>
      <c r="AL1203" s="4">
        <v>0.32900000000000001</v>
      </c>
      <c r="AM1203" s="1">
        <v>20.350000000000001</v>
      </c>
      <c r="AN1203" s="1">
        <f>AS1203/AL1203</f>
        <v>2.9196217494088237</v>
      </c>
      <c r="AO1203" s="1" t="s">
        <v>49</v>
      </c>
      <c r="AP1203" s="6">
        <v>1</v>
      </c>
      <c r="AQ1203" s="6" t="s">
        <v>49</v>
      </c>
      <c r="AR1203" s="6" t="s">
        <v>49</v>
      </c>
      <c r="AS1203" s="1">
        <v>0.96055555555550298</v>
      </c>
      <c r="AT1203" s="4">
        <f>AS1203/(AM1203^2)*100</f>
        <v>0.2319496176989907</v>
      </c>
      <c r="AU1203" s="5">
        <v>0</v>
      </c>
      <c r="AV1203" s="4">
        <f>AT1203*(1-AL1203)/AL1203</f>
        <v>0.4730644178602515</v>
      </c>
      <c r="AW1203" s="29" t="s">
        <v>427</v>
      </c>
    </row>
    <row r="1204" spans="1:49">
      <c r="A1204" s="1">
        <v>29</v>
      </c>
      <c r="B1204" s="1" t="s">
        <v>38</v>
      </c>
      <c r="C1204" s="1" t="s">
        <v>38</v>
      </c>
      <c r="D1204" s="1" t="s">
        <v>551</v>
      </c>
      <c r="E1204" s="1" t="s">
        <v>71</v>
      </c>
      <c r="F1204" s="1">
        <v>1990</v>
      </c>
      <c r="G1204" s="1" t="s">
        <v>422</v>
      </c>
      <c r="H1204" s="3" t="s">
        <v>423</v>
      </c>
      <c r="I1204" s="3" t="s">
        <v>424</v>
      </c>
      <c r="J1204" s="1" t="s">
        <v>425</v>
      </c>
      <c r="K1204" s="1" t="s">
        <v>307</v>
      </c>
      <c r="L1204" s="1" t="s">
        <v>46</v>
      </c>
      <c r="M1204" s="1" t="s">
        <v>12</v>
      </c>
      <c r="N1204" s="1" t="s">
        <v>80</v>
      </c>
      <c r="O1204" s="1">
        <v>0.221</v>
      </c>
      <c r="P1204" s="1">
        <v>0.19</v>
      </c>
      <c r="Q1204" s="1">
        <v>0.19</v>
      </c>
      <c r="R1204" s="1">
        <v>1</v>
      </c>
      <c r="S1204" s="1" t="s">
        <v>49</v>
      </c>
      <c r="T1204" s="1" t="s">
        <v>49</v>
      </c>
      <c r="U1204" s="1" t="s">
        <v>398</v>
      </c>
      <c r="V1204" s="1" t="s">
        <v>426</v>
      </c>
      <c r="W1204" s="1">
        <v>18.170000000000002</v>
      </c>
      <c r="X1204" s="1">
        <v>-77.31</v>
      </c>
      <c r="Y1204" s="1" t="s">
        <v>48</v>
      </c>
      <c r="Z1204" s="1" t="s">
        <v>49</v>
      </c>
      <c r="AA1204" s="1" t="s">
        <v>50</v>
      </c>
      <c r="AB1204" s="1" t="s">
        <v>66</v>
      </c>
      <c r="AC1204" s="1" t="s">
        <v>428</v>
      </c>
      <c r="AD1204" s="1" t="s">
        <v>429</v>
      </c>
      <c r="AE1204" s="1" t="s">
        <v>429</v>
      </c>
      <c r="AF1204" s="1" t="s">
        <v>60</v>
      </c>
      <c r="AG1204" s="1" t="s">
        <v>61</v>
      </c>
      <c r="AH1204" s="1" t="s">
        <v>199</v>
      </c>
      <c r="AI1204" s="1" t="s">
        <v>200</v>
      </c>
      <c r="AJ1204" s="1">
        <v>10</v>
      </c>
      <c r="AK1204" s="1">
        <v>250</v>
      </c>
      <c r="AL1204" s="4">
        <v>0.433</v>
      </c>
      <c r="AM1204" s="1">
        <v>53.62</v>
      </c>
      <c r="AN1204" s="1">
        <f>AS1204/AL1204</f>
        <v>25.849627918910318</v>
      </c>
      <c r="AO1204" s="1" t="s">
        <v>49</v>
      </c>
      <c r="AP1204" s="6">
        <v>1</v>
      </c>
      <c r="AQ1204" s="6" t="s">
        <v>49</v>
      </c>
      <c r="AR1204" s="6" t="s">
        <v>49</v>
      </c>
      <c r="AS1204" s="1">
        <v>11.192888888888168</v>
      </c>
      <c r="AT1204" s="4">
        <f>AS1204/(AM1204^2)*100</f>
        <v>0.38930373759256082</v>
      </c>
      <c r="AU1204" s="16">
        <v>0</v>
      </c>
      <c r="AV1204" s="4">
        <f>AT1204*(1-AL1204)/AL1204</f>
        <v>0.50978110673206001</v>
      </c>
      <c r="AW1204" s="29" t="s">
        <v>427</v>
      </c>
    </row>
    <row r="1205" spans="1:49">
      <c r="A1205" s="1">
        <v>29</v>
      </c>
      <c r="B1205" s="1" t="s">
        <v>38</v>
      </c>
      <c r="C1205" s="1" t="s">
        <v>38</v>
      </c>
      <c r="D1205" s="1" t="s">
        <v>551</v>
      </c>
      <c r="E1205" s="1" t="s">
        <v>71</v>
      </c>
      <c r="F1205" s="1">
        <v>1990</v>
      </c>
      <c r="G1205" s="1" t="s">
        <v>422</v>
      </c>
      <c r="H1205" s="3" t="s">
        <v>423</v>
      </c>
      <c r="I1205" s="3" t="s">
        <v>424</v>
      </c>
      <c r="J1205" s="1" t="s">
        <v>425</v>
      </c>
      <c r="K1205" s="1" t="s">
        <v>307</v>
      </c>
      <c r="L1205" s="1" t="s">
        <v>46</v>
      </c>
      <c r="M1205" s="1" t="s">
        <v>12</v>
      </c>
      <c r="N1205" s="1" t="s">
        <v>80</v>
      </c>
      <c r="O1205" s="1">
        <v>0.221</v>
      </c>
      <c r="P1205" s="1">
        <v>0.19</v>
      </c>
      <c r="Q1205" s="1">
        <v>0.19</v>
      </c>
      <c r="R1205" s="1">
        <v>1</v>
      </c>
      <c r="S1205" s="1" t="s">
        <v>49</v>
      </c>
      <c r="T1205" s="1" t="s">
        <v>49</v>
      </c>
      <c r="U1205" s="1" t="s">
        <v>398</v>
      </c>
      <c r="V1205" s="1" t="s">
        <v>426</v>
      </c>
      <c r="W1205" s="1">
        <v>18.170000000000002</v>
      </c>
      <c r="X1205" s="1">
        <v>-77.31</v>
      </c>
      <c r="Y1205" s="1" t="s">
        <v>48</v>
      </c>
      <c r="Z1205" s="1" t="s">
        <v>49</v>
      </c>
      <c r="AA1205" s="6" t="s">
        <v>49</v>
      </c>
      <c r="AB1205" s="6" t="s">
        <v>49</v>
      </c>
      <c r="AC1205" s="6" t="s">
        <v>49</v>
      </c>
      <c r="AD1205" s="1" t="s">
        <v>85</v>
      </c>
      <c r="AE1205" s="1" t="s">
        <v>234</v>
      </c>
      <c r="AF1205" s="6" t="s">
        <v>49</v>
      </c>
      <c r="AG1205" s="6" t="s">
        <v>49</v>
      </c>
      <c r="AH1205" s="1" t="s">
        <v>199</v>
      </c>
      <c r="AI1205" s="1" t="s">
        <v>200</v>
      </c>
      <c r="AJ1205" s="20" t="s">
        <v>49</v>
      </c>
      <c r="AK1205" s="20" t="s">
        <v>49</v>
      </c>
      <c r="AL1205" s="20" t="s">
        <v>49</v>
      </c>
      <c r="AM1205" s="20" t="s">
        <v>49</v>
      </c>
      <c r="AN1205" s="1" t="s">
        <v>49</v>
      </c>
      <c r="AO1205" s="1" t="s">
        <v>49</v>
      </c>
      <c r="AP1205" s="6">
        <v>1</v>
      </c>
      <c r="AQ1205" s="6">
        <v>0.05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6" t="s">
        <v>49</v>
      </c>
      <c r="AW1205" s="30" t="s">
        <v>49</v>
      </c>
    </row>
    <row r="1206" spans="1:49">
      <c r="A1206" s="1">
        <v>29</v>
      </c>
      <c r="B1206" s="1" t="s">
        <v>38</v>
      </c>
      <c r="C1206" s="1" t="s">
        <v>38</v>
      </c>
      <c r="D1206" s="1" t="s">
        <v>551</v>
      </c>
      <c r="E1206" s="1" t="s">
        <v>71</v>
      </c>
      <c r="F1206" s="1">
        <v>1990</v>
      </c>
      <c r="G1206" s="1" t="s">
        <v>422</v>
      </c>
      <c r="H1206" s="3" t="s">
        <v>423</v>
      </c>
      <c r="I1206" s="3" t="s">
        <v>424</v>
      </c>
      <c r="J1206" s="1" t="s">
        <v>425</v>
      </c>
      <c r="K1206" s="1" t="s">
        <v>307</v>
      </c>
      <c r="L1206" s="1" t="s">
        <v>46</v>
      </c>
      <c r="M1206" s="1" t="s">
        <v>12</v>
      </c>
      <c r="N1206" s="1" t="s">
        <v>80</v>
      </c>
      <c r="O1206" s="1">
        <v>0.221</v>
      </c>
      <c r="P1206" s="1">
        <v>0.19</v>
      </c>
      <c r="Q1206" s="1">
        <v>0.19</v>
      </c>
      <c r="R1206" s="1">
        <v>1</v>
      </c>
      <c r="S1206" s="1" t="s">
        <v>49</v>
      </c>
      <c r="T1206" s="1" t="s">
        <v>49</v>
      </c>
      <c r="U1206" s="1" t="s">
        <v>398</v>
      </c>
      <c r="V1206" s="1" t="s">
        <v>426</v>
      </c>
      <c r="W1206" s="1">
        <v>18.170000000000002</v>
      </c>
      <c r="X1206" s="1">
        <v>-77.31</v>
      </c>
      <c r="Y1206" s="1" t="s">
        <v>48</v>
      </c>
      <c r="Z1206" s="1" t="s">
        <v>49</v>
      </c>
      <c r="AA1206" s="6" t="s">
        <v>49</v>
      </c>
      <c r="AB1206" s="6" t="s">
        <v>49</v>
      </c>
      <c r="AC1206" s="6" t="s">
        <v>49</v>
      </c>
      <c r="AD1206" s="1" t="s">
        <v>85</v>
      </c>
      <c r="AE1206" s="1" t="s">
        <v>429</v>
      </c>
      <c r="AF1206" s="6" t="s">
        <v>49</v>
      </c>
      <c r="AG1206" s="6" t="s">
        <v>49</v>
      </c>
      <c r="AH1206" s="1" t="s">
        <v>199</v>
      </c>
      <c r="AI1206" s="1" t="s">
        <v>200</v>
      </c>
      <c r="AJ1206" s="20" t="s">
        <v>49</v>
      </c>
      <c r="AK1206" s="20" t="s">
        <v>49</v>
      </c>
      <c r="AL1206" s="20" t="s">
        <v>49</v>
      </c>
      <c r="AM1206" s="20" t="s">
        <v>49</v>
      </c>
      <c r="AN1206" s="1" t="s">
        <v>49</v>
      </c>
      <c r="AO1206" s="1" t="s">
        <v>49</v>
      </c>
      <c r="AP1206" s="6">
        <v>1</v>
      </c>
      <c r="AQ1206" s="6">
        <v>0.05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6" t="s">
        <v>49</v>
      </c>
      <c r="AW1206" s="30" t="s">
        <v>49</v>
      </c>
    </row>
    <row r="1207" spans="1:49">
      <c r="A1207" s="1">
        <v>29</v>
      </c>
      <c r="B1207" s="1" t="s">
        <v>38</v>
      </c>
      <c r="C1207" s="1" t="s">
        <v>38</v>
      </c>
      <c r="D1207" s="1" t="s">
        <v>551</v>
      </c>
      <c r="E1207" s="1" t="s">
        <v>71</v>
      </c>
      <c r="F1207" s="1">
        <v>1990</v>
      </c>
      <c r="G1207" s="1" t="s">
        <v>422</v>
      </c>
      <c r="H1207" s="3" t="s">
        <v>423</v>
      </c>
      <c r="I1207" s="3" t="s">
        <v>424</v>
      </c>
      <c r="J1207" s="1" t="s">
        <v>425</v>
      </c>
      <c r="K1207" s="1" t="s">
        <v>307</v>
      </c>
      <c r="L1207" s="1" t="s">
        <v>46</v>
      </c>
      <c r="M1207" s="1" t="s">
        <v>12</v>
      </c>
      <c r="N1207" s="1" t="s">
        <v>80</v>
      </c>
      <c r="O1207" s="1">
        <v>0.221</v>
      </c>
      <c r="P1207" s="1">
        <v>0.19</v>
      </c>
      <c r="Q1207" s="1">
        <v>0.19</v>
      </c>
      <c r="R1207" s="1">
        <v>1</v>
      </c>
      <c r="S1207" s="1" t="s">
        <v>49</v>
      </c>
      <c r="T1207" s="1" t="s">
        <v>49</v>
      </c>
      <c r="U1207" s="1" t="s">
        <v>398</v>
      </c>
      <c r="V1207" s="1" t="s">
        <v>426</v>
      </c>
      <c r="W1207" s="1">
        <v>18.170000000000002</v>
      </c>
      <c r="X1207" s="1">
        <v>-77.31</v>
      </c>
      <c r="Y1207" s="1" t="s">
        <v>48</v>
      </c>
      <c r="Z1207" s="1" t="s">
        <v>49</v>
      </c>
      <c r="AA1207" s="6" t="s">
        <v>49</v>
      </c>
      <c r="AB1207" s="6" t="s">
        <v>49</v>
      </c>
      <c r="AC1207" s="6" t="s">
        <v>49</v>
      </c>
      <c r="AD1207" s="1" t="s">
        <v>234</v>
      </c>
      <c r="AE1207" s="1" t="s">
        <v>429</v>
      </c>
      <c r="AF1207" s="6" t="s">
        <v>49</v>
      </c>
      <c r="AG1207" s="6" t="s">
        <v>49</v>
      </c>
      <c r="AH1207" s="1" t="s">
        <v>199</v>
      </c>
      <c r="AI1207" s="1" t="s">
        <v>200</v>
      </c>
      <c r="AJ1207" s="20" t="s">
        <v>49</v>
      </c>
      <c r="AK1207" s="20" t="s">
        <v>49</v>
      </c>
      <c r="AL1207" s="20" t="s">
        <v>49</v>
      </c>
      <c r="AM1207" s="20" t="s">
        <v>49</v>
      </c>
      <c r="AN1207" s="1" t="s">
        <v>49</v>
      </c>
      <c r="AO1207" s="1" t="s">
        <v>49</v>
      </c>
      <c r="AP1207" s="6">
        <v>1</v>
      </c>
      <c r="AQ1207" s="6">
        <v>0.52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6" t="s">
        <v>49</v>
      </c>
      <c r="AW1207" s="30" t="s">
        <v>49</v>
      </c>
    </row>
    <row r="1208" spans="1:49">
      <c r="A1208" s="1">
        <v>38</v>
      </c>
      <c r="B1208" s="1" t="s">
        <v>38</v>
      </c>
      <c r="C1208" s="1" t="s">
        <v>38</v>
      </c>
      <c r="D1208" s="1" t="s">
        <v>552</v>
      </c>
      <c r="E1208" s="1" t="s">
        <v>40</v>
      </c>
      <c r="F1208" s="1">
        <v>2001</v>
      </c>
      <c r="G1208" s="3" t="s">
        <v>177</v>
      </c>
      <c r="H1208" s="3" t="s">
        <v>430</v>
      </c>
      <c r="I1208" s="3" t="s">
        <v>431</v>
      </c>
      <c r="J1208" s="1" t="s">
        <v>432</v>
      </c>
      <c r="K1208" s="1" t="s">
        <v>433</v>
      </c>
      <c r="L1208" s="1" t="s">
        <v>46</v>
      </c>
      <c r="M1208" s="1" t="s">
        <v>115</v>
      </c>
      <c r="N1208" s="1" t="s">
        <v>116</v>
      </c>
      <c r="O1208" s="1">
        <v>1</v>
      </c>
      <c r="P1208" s="1">
        <v>1</v>
      </c>
      <c r="Q1208" s="1">
        <v>1</v>
      </c>
      <c r="R1208" s="1">
        <v>1</v>
      </c>
      <c r="S1208" s="1" t="s">
        <v>77</v>
      </c>
      <c r="T1208" s="1" t="s">
        <v>78</v>
      </c>
      <c r="U1208" s="1" t="s">
        <v>119</v>
      </c>
      <c r="V1208" s="1" t="s">
        <v>434</v>
      </c>
      <c r="W1208" s="1">
        <v>39.299999999999997</v>
      </c>
      <c r="X1208" s="1">
        <v>-106.1</v>
      </c>
      <c r="Y1208" s="1" t="s">
        <v>141</v>
      </c>
      <c r="Z1208" s="1" t="s">
        <v>49</v>
      </c>
      <c r="AA1208" s="1" t="s">
        <v>50</v>
      </c>
      <c r="AB1208" s="1" t="s">
        <v>57</v>
      </c>
      <c r="AC1208" s="1" t="s">
        <v>62</v>
      </c>
      <c r="AD1208" s="1" t="s">
        <v>90</v>
      </c>
      <c r="AE1208" s="1" t="s">
        <v>90</v>
      </c>
      <c r="AF1208" s="1" t="s">
        <v>60</v>
      </c>
      <c r="AG1208" s="1" t="s">
        <v>61</v>
      </c>
      <c r="AH1208" s="1" t="s">
        <v>435</v>
      </c>
      <c r="AI1208" s="1" t="s">
        <v>55</v>
      </c>
      <c r="AJ1208" s="1">
        <v>48</v>
      </c>
      <c r="AK1208" s="1">
        <v>134</v>
      </c>
      <c r="AL1208" s="4">
        <v>0.74</v>
      </c>
      <c r="AM1208" s="4">
        <v>22.8</v>
      </c>
      <c r="AN1208" s="4">
        <f>(0.19*SQRT(AK1208))^2</f>
        <v>4.8373999999999997</v>
      </c>
      <c r="AO1208" s="1" t="s">
        <v>49</v>
      </c>
      <c r="AP1208" s="6">
        <v>1</v>
      </c>
      <c r="AQ1208" s="6" t="s">
        <v>49</v>
      </c>
      <c r="AR1208" s="6" t="s">
        <v>49</v>
      </c>
      <c r="AS1208" s="1">
        <f>AN1208*AL1208</f>
        <v>3.5796759999999996</v>
      </c>
      <c r="AT1208" s="4">
        <f>AS1208/(AM1208^2)*100</f>
        <v>0.68861111111111106</v>
      </c>
      <c r="AU1208" s="5">
        <v>0</v>
      </c>
      <c r="AV1208" s="4">
        <f>AT1208*(1-AL1208)/AL1208</f>
        <v>0.24194444444444443</v>
      </c>
      <c r="AW1208" s="32" t="s">
        <v>436</v>
      </c>
    </row>
    <row r="1209" spans="1:49">
      <c r="A1209" s="1">
        <v>38</v>
      </c>
      <c r="B1209" s="1" t="s">
        <v>38</v>
      </c>
      <c r="C1209" s="1" t="s">
        <v>38</v>
      </c>
      <c r="D1209" s="1" t="s">
        <v>552</v>
      </c>
      <c r="E1209" s="1" t="s">
        <v>40</v>
      </c>
      <c r="F1209" s="1">
        <v>2001</v>
      </c>
      <c r="G1209" s="3" t="s">
        <v>177</v>
      </c>
      <c r="H1209" s="3" t="s">
        <v>430</v>
      </c>
      <c r="I1209" s="3" t="s">
        <v>431</v>
      </c>
      <c r="J1209" s="1" t="s">
        <v>432</v>
      </c>
      <c r="K1209" s="1" t="s">
        <v>433</v>
      </c>
      <c r="L1209" s="1" t="s">
        <v>46</v>
      </c>
      <c r="M1209" s="1" t="s">
        <v>115</v>
      </c>
      <c r="N1209" s="1" t="s">
        <v>116</v>
      </c>
      <c r="O1209" s="1">
        <v>1</v>
      </c>
      <c r="P1209" s="1">
        <v>1</v>
      </c>
      <c r="Q1209" s="1">
        <v>1</v>
      </c>
      <c r="R1209" s="1">
        <v>1</v>
      </c>
      <c r="S1209" s="1" t="s">
        <v>77</v>
      </c>
      <c r="T1209" s="1" t="s">
        <v>78</v>
      </c>
      <c r="U1209" s="1" t="s">
        <v>119</v>
      </c>
      <c r="V1209" s="1" t="s">
        <v>434</v>
      </c>
      <c r="W1209" s="1">
        <v>39.299999999999997</v>
      </c>
      <c r="X1209" s="1">
        <v>-106.1</v>
      </c>
      <c r="Y1209" s="1" t="s">
        <v>141</v>
      </c>
      <c r="Z1209" s="1" t="s">
        <v>49</v>
      </c>
      <c r="AA1209" s="1" t="s">
        <v>50</v>
      </c>
      <c r="AB1209" s="1" t="s">
        <v>66</v>
      </c>
      <c r="AC1209" s="1" t="s">
        <v>67</v>
      </c>
      <c r="AD1209" s="1" t="s">
        <v>437</v>
      </c>
      <c r="AE1209" s="1" t="s">
        <v>437</v>
      </c>
      <c r="AF1209" s="1" t="s">
        <v>60</v>
      </c>
      <c r="AG1209" s="1" t="s">
        <v>61</v>
      </c>
      <c r="AH1209" s="1" t="s">
        <v>435</v>
      </c>
      <c r="AI1209" s="1" t="s">
        <v>55</v>
      </c>
      <c r="AJ1209" s="1">
        <v>48</v>
      </c>
      <c r="AK1209" s="1">
        <v>134</v>
      </c>
      <c r="AL1209" s="4">
        <v>0.8</v>
      </c>
      <c r="AM1209" s="4">
        <v>13.6</v>
      </c>
      <c r="AN1209" s="4">
        <f>(0.2*SQRT(AK1209))^2</f>
        <v>5.3600000000000012</v>
      </c>
      <c r="AO1209" s="1" t="s">
        <v>49</v>
      </c>
      <c r="AP1209" s="6">
        <v>1</v>
      </c>
      <c r="AQ1209" s="6" t="s">
        <v>49</v>
      </c>
      <c r="AR1209" s="6" t="s">
        <v>49</v>
      </c>
      <c r="AS1209" s="1">
        <f>AN1209*AL1209</f>
        <v>4.2880000000000011</v>
      </c>
      <c r="AT1209" s="4">
        <f>AS1209/(AM1209^2)*100</f>
        <v>2.3183391003460216</v>
      </c>
      <c r="AU1209" s="5">
        <v>0</v>
      </c>
      <c r="AV1209" s="4">
        <f>AT1209*(1-AL1209)/AL1209</f>
        <v>0.57958477508650519</v>
      </c>
      <c r="AW1209" s="32" t="s">
        <v>436</v>
      </c>
    </row>
    <row r="1210" spans="1:49">
      <c r="A1210" s="1">
        <v>38</v>
      </c>
      <c r="B1210" s="1" t="s">
        <v>38</v>
      </c>
      <c r="C1210" s="1" t="s">
        <v>38</v>
      </c>
      <c r="D1210" s="1" t="s">
        <v>552</v>
      </c>
      <c r="E1210" s="1" t="s">
        <v>40</v>
      </c>
      <c r="F1210" s="1">
        <v>2001</v>
      </c>
      <c r="G1210" s="3" t="s">
        <v>177</v>
      </c>
      <c r="H1210" s="3" t="s">
        <v>430</v>
      </c>
      <c r="I1210" s="3" t="s">
        <v>431</v>
      </c>
      <c r="J1210" s="1" t="s">
        <v>432</v>
      </c>
      <c r="K1210" s="1" t="s">
        <v>433</v>
      </c>
      <c r="L1210" s="1" t="s">
        <v>46</v>
      </c>
      <c r="M1210" s="1" t="s">
        <v>115</v>
      </c>
      <c r="N1210" s="1" t="s">
        <v>116</v>
      </c>
      <c r="O1210" s="1">
        <v>1</v>
      </c>
      <c r="P1210" s="1">
        <v>1</v>
      </c>
      <c r="Q1210" s="1">
        <v>1</v>
      </c>
      <c r="R1210" s="1">
        <v>1</v>
      </c>
      <c r="S1210" s="1" t="s">
        <v>77</v>
      </c>
      <c r="T1210" s="1" t="s">
        <v>78</v>
      </c>
      <c r="U1210" s="1" t="s">
        <v>119</v>
      </c>
      <c r="V1210" s="1" t="s">
        <v>434</v>
      </c>
      <c r="W1210" s="1">
        <v>39.299999999999997</v>
      </c>
      <c r="X1210" s="1">
        <v>-106.1</v>
      </c>
      <c r="Y1210" s="1" t="s">
        <v>141</v>
      </c>
      <c r="Z1210" s="1" t="s">
        <v>49</v>
      </c>
      <c r="AA1210" s="6" t="s">
        <v>49</v>
      </c>
      <c r="AB1210" s="6" t="s">
        <v>49</v>
      </c>
      <c r="AC1210" s="6" t="s">
        <v>49</v>
      </c>
      <c r="AD1210" s="1" t="s">
        <v>90</v>
      </c>
      <c r="AE1210" s="1" t="s">
        <v>437</v>
      </c>
      <c r="AF1210" s="6" t="s">
        <v>49</v>
      </c>
      <c r="AG1210" s="6" t="s">
        <v>49</v>
      </c>
      <c r="AH1210" s="1" t="s">
        <v>435</v>
      </c>
      <c r="AI1210" s="1" t="s">
        <v>55</v>
      </c>
      <c r="AJ1210" s="20" t="s">
        <v>49</v>
      </c>
      <c r="AK1210" s="20" t="s">
        <v>49</v>
      </c>
      <c r="AL1210" s="20" t="s">
        <v>49</v>
      </c>
      <c r="AM1210" s="20" t="s">
        <v>49</v>
      </c>
      <c r="AN1210" s="1" t="s">
        <v>49</v>
      </c>
      <c r="AO1210" s="1" t="s">
        <v>49</v>
      </c>
      <c r="AP1210" s="6">
        <v>1</v>
      </c>
      <c r="AQ1210" s="6">
        <v>0.7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6" t="s">
        <v>49</v>
      </c>
      <c r="AW1210" s="30" t="s">
        <v>438</v>
      </c>
    </row>
    <row r="1211" spans="1:49">
      <c r="A1211" s="1">
        <v>25</v>
      </c>
      <c r="B1211" s="1" t="s">
        <v>38</v>
      </c>
      <c r="C1211" s="1" t="s">
        <v>38</v>
      </c>
      <c r="D1211" s="1" t="s">
        <v>439</v>
      </c>
      <c r="E1211" s="1" t="s">
        <v>40</v>
      </c>
      <c r="F1211" s="1">
        <v>2008</v>
      </c>
      <c r="G1211" s="1" t="s">
        <v>146</v>
      </c>
      <c r="H1211" s="3" t="s">
        <v>440</v>
      </c>
      <c r="I1211" s="3" t="s">
        <v>441</v>
      </c>
      <c r="J1211" s="1" t="s">
        <v>442</v>
      </c>
      <c r="K1211" s="1" t="s">
        <v>433</v>
      </c>
      <c r="L1211" s="3" t="s">
        <v>46</v>
      </c>
      <c r="M1211" s="1" t="s">
        <v>115</v>
      </c>
      <c r="N1211" s="1" t="s">
        <v>116</v>
      </c>
      <c r="O1211" s="1">
        <v>1</v>
      </c>
      <c r="P1211" s="1">
        <v>1</v>
      </c>
      <c r="Q1211" s="1" t="s">
        <v>49</v>
      </c>
      <c r="R1211" s="1">
        <v>1</v>
      </c>
      <c r="S1211" s="1" t="s">
        <v>443</v>
      </c>
      <c r="T1211" s="1" t="s">
        <v>443</v>
      </c>
      <c r="U1211" s="1" t="s">
        <v>119</v>
      </c>
      <c r="V1211" s="1" t="s">
        <v>444</v>
      </c>
      <c r="W1211" s="1">
        <v>-28.208739000000001</v>
      </c>
      <c r="X1211" s="1">
        <v>-50.758688999999997</v>
      </c>
      <c r="Y1211" s="1" t="s">
        <v>121</v>
      </c>
      <c r="Z1211" s="1" t="s">
        <v>49</v>
      </c>
      <c r="AA1211" s="1" t="s">
        <v>50</v>
      </c>
      <c r="AB1211" s="1" t="s">
        <v>57</v>
      </c>
      <c r="AC1211" s="1" t="s">
        <v>62</v>
      </c>
      <c r="AD1211" s="1" t="s">
        <v>63</v>
      </c>
      <c r="AE1211" s="1" t="s">
        <v>63</v>
      </c>
      <c r="AF1211" s="1" t="s">
        <v>60</v>
      </c>
      <c r="AG1211" s="1" t="s">
        <v>61</v>
      </c>
      <c r="AH1211" s="1" t="s">
        <v>152</v>
      </c>
      <c r="AI1211" s="1" t="s">
        <v>55</v>
      </c>
      <c r="AJ1211" s="1">
        <v>44</v>
      </c>
      <c r="AK1211" s="1">
        <v>1098</v>
      </c>
      <c r="AL1211" s="4">
        <v>0.17</v>
      </c>
      <c r="AM1211" s="1">
        <v>60.17</v>
      </c>
      <c r="AN1211" s="1">
        <v>37.491</v>
      </c>
      <c r="AO1211" s="1" t="s">
        <v>49</v>
      </c>
      <c r="AP1211" s="6">
        <v>1</v>
      </c>
      <c r="AQ1211" s="6" t="s">
        <v>49</v>
      </c>
      <c r="AR1211" s="6" t="s">
        <v>49</v>
      </c>
      <c r="AS1211" s="1">
        <v>6.5995999999999997</v>
      </c>
      <c r="AT1211" s="4">
        <f>AS1211/(AM1211^2)*100</f>
        <v>0.18228779468642511</v>
      </c>
      <c r="AU1211" s="5">
        <v>0</v>
      </c>
      <c r="AV1211" s="4">
        <f>AT1211*(1-AL1211)/AL1211</f>
        <v>0.88999335052784023</v>
      </c>
      <c r="AW1211" s="29" t="s">
        <v>445</v>
      </c>
    </row>
    <row r="1212" spans="1:49">
      <c r="A1212" s="1">
        <v>25</v>
      </c>
      <c r="B1212" s="1" t="s">
        <v>38</v>
      </c>
      <c r="C1212" s="1" t="s">
        <v>38</v>
      </c>
      <c r="D1212" s="1" t="s">
        <v>439</v>
      </c>
      <c r="E1212" s="1" t="s">
        <v>40</v>
      </c>
      <c r="F1212" s="1">
        <v>2008</v>
      </c>
      <c r="G1212" s="1" t="s">
        <v>146</v>
      </c>
      <c r="H1212" s="3" t="s">
        <v>440</v>
      </c>
      <c r="I1212" s="3" t="s">
        <v>441</v>
      </c>
      <c r="J1212" s="1" t="s">
        <v>442</v>
      </c>
      <c r="K1212" s="1" t="s">
        <v>433</v>
      </c>
      <c r="L1212" s="3" t="s">
        <v>46</v>
      </c>
      <c r="M1212" s="1" t="s">
        <v>115</v>
      </c>
      <c r="N1212" s="1" t="s">
        <v>116</v>
      </c>
      <c r="O1212" s="1">
        <v>1</v>
      </c>
      <c r="P1212" s="1">
        <v>1</v>
      </c>
      <c r="Q1212" s="1" t="s">
        <v>49</v>
      </c>
      <c r="R1212" s="1">
        <v>1</v>
      </c>
      <c r="S1212" s="1" t="s">
        <v>443</v>
      </c>
      <c r="T1212" s="1" t="s">
        <v>443</v>
      </c>
      <c r="U1212" s="1" t="s">
        <v>119</v>
      </c>
      <c r="V1212" s="1" t="s">
        <v>444</v>
      </c>
      <c r="W1212" s="1">
        <v>-28.208739000000001</v>
      </c>
      <c r="X1212" s="1">
        <v>-50.758688999999997</v>
      </c>
      <c r="Y1212" s="1" t="s">
        <v>121</v>
      </c>
      <c r="Z1212" s="1" t="s">
        <v>49</v>
      </c>
      <c r="AA1212" s="1" t="s">
        <v>50</v>
      </c>
      <c r="AB1212" s="1" t="s">
        <v>66</v>
      </c>
      <c r="AC1212" s="1" t="s">
        <v>67</v>
      </c>
      <c r="AD1212" s="1" t="s">
        <v>446</v>
      </c>
      <c r="AE1212" s="1" t="s">
        <v>446</v>
      </c>
      <c r="AF1212" s="1" t="s">
        <v>60</v>
      </c>
      <c r="AG1212" s="1" t="s">
        <v>61</v>
      </c>
      <c r="AH1212" s="1" t="s">
        <v>152</v>
      </c>
      <c r="AI1212" s="1" t="s">
        <v>55</v>
      </c>
      <c r="AJ1212" s="1">
        <v>44</v>
      </c>
      <c r="AK1212" s="1">
        <v>1097</v>
      </c>
      <c r="AL1212" s="4">
        <v>3.4000000000000002E-2</v>
      </c>
      <c r="AM1212" s="1">
        <v>44.34</v>
      </c>
      <c r="AN1212" s="1">
        <v>35.066000000000003</v>
      </c>
      <c r="AO1212" s="1" t="s">
        <v>49</v>
      </c>
      <c r="AP1212" s="6">
        <v>1</v>
      </c>
      <c r="AQ1212" s="6" t="s">
        <v>49</v>
      </c>
      <c r="AR1212" s="6" t="s">
        <v>49</v>
      </c>
      <c r="AS1212" s="1">
        <v>1.0444</v>
      </c>
      <c r="AT1212" s="4">
        <f>AS1212/(AM1212^2)*100</f>
        <v>5.3122130647074745E-2</v>
      </c>
      <c r="AU1212" s="5">
        <v>0</v>
      </c>
      <c r="AV1212" s="4">
        <f>AT1212*(1-AL1212)/AL1212</f>
        <v>1.5092934766198294</v>
      </c>
      <c r="AW1212" s="29" t="s">
        <v>445</v>
      </c>
    </row>
    <row r="1213" spans="1:49">
      <c r="A1213" s="1">
        <v>25</v>
      </c>
      <c r="B1213" s="1" t="s">
        <v>38</v>
      </c>
      <c r="C1213" s="1" t="s">
        <v>38</v>
      </c>
      <c r="D1213" s="1" t="s">
        <v>439</v>
      </c>
      <c r="E1213" s="1" t="s">
        <v>40</v>
      </c>
      <c r="F1213" s="1">
        <v>2008</v>
      </c>
      <c r="G1213" s="1" t="s">
        <v>146</v>
      </c>
      <c r="H1213" s="3" t="s">
        <v>440</v>
      </c>
      <c r="I1213" s="3" t="s">
        <v>441</v>
      </c>
      <c r="J1213" s="1" t="s">
        <v>442</v>
      </c>
      <c r="K1213" s="1" t="s">
        <v>433</v>
      </c>
      <c r="L1213" s="3" t="s">
        <v>46</v>
      </c>
      <c r="M1213" s="1" t="s">
        <v>115</v>
      </c>
      <c r="N1213" s="1" t="s">
        <v>116</v>
      </c>
      <c r="O1213" s="1">
        <v>1</v>
      </c>
      <c r="P1213" s="1">
        <v>1</v>
      </c>
      <c r="Q1213" s="1" t="s">
        <v>49</v>
      </c>
      <c r="R1213" s="1">
        <v>1</v>
      </c>
      <c r="S1213" s="1" t="s">
        <v>443</v>
      </c>
      <c r="T1213" s="1" t="s">
        <v>443</v>
      </c>
      <c r="U1213" s="1" t="s">
        <v>119</v>
      </c>
      <c r="V1213" s="1" t="s">
        <v>444</v>
      </c>
      <c r="W1213" s="1">
        <v>-28.208739000000001</v>
      </c>
      <c r="X1213" s="1">
        <v>-50.758688999999997</v>
      </c>
      <c r="Y1213" s="1" t="s">
        <v>121</v>
      </c>
      <c r="Z1213" s="1" t="s">
        <v>49</v>
      </c>
      <c r="AA1213" s="1" t="s">
        <v>50</v>
      </c>
      <c r="AB1213" s="1" t="s">
        <v>66</v>
      </c>
      <c r="AC1213" s="1" t="s">
        <v>67</v>
      </c>
      <c r="AD1213" s="1" t="s">
        <v>447</v>
      </c>
      <c r="AE1213" s="1" t="s">
        <v>447</v>
      </c>
      <c r="AF1213" s="1" t="s">
        <v>60</v>
      </c>
      <c r="AG1213" s="1" t="s">
        <v>61</v>
      </c>
      <c r="AH1213" s="1" t="s">
        <v>152</v>
      </c>
      <c r="AI1213" s="1" t="s">
        <v>55</v>
      </c>
      <c r="AJ1213" s="1">
        <v>44</v>
      </c>
      <c r="AK1213" s="1">
        <v>1096</v>
      </c>
      <c r="AL1213" s="4">
        <v>4.3999999999999997E-2</v>
      </c>
      <c r="AM1213" s="1">
        <v>7.79</v>
      </c>
      <c r="AN1213" s="1">
        <v>1.266</v>
      </c>
      <c r="AO1213" s="1" t="s">
        <v>49</v>
      </c>
      <c r="AP1213" s="6">
        <v>1</v>
      </c>
      <c r="AQ1213" s="6" t="s">
        <v>49</v>
      </c>
      <c r="AR1213" s="6" t="s">
        <v>49</v>
      </c>
      <c r="AS1213" s="1">
        <v>7.1400000000000005E-2</v>
      </c>
      <c r="AT1213" s="4">
        <f>AS1213/(AM1213^2)*100</f>
        <v>0.11765849703629122</v>
      </c>
      <c r="AU1213" s="5">
        <v>0</v>
      </c>
      <c r="AV1213" s="4">
        <f>AT1213*(1-AL1213)/AL1213</f>
        <v>2.5563982537885095</v>
      </c>
      <c r="AW1213" s="29" t="s">
        <v>445</v>
      </c>
    </row>
    <row r="1214" spans="1:49">
      <c r="A1214" s="1">
        <v>25</v>
      </c>
      <c r="B1214" s="1" t="s">
        <v>38</v>
      </c>
      <c r="C1214" s="1" t="s">
        <v>38</v>
      </c>
      <c r="D1214" s="1" t="s">
        <v>439</v>
      </c>
      <c r="E1214" s="1" t="s">
        <v>40</v>
      </c>
      <c r="F1214" s="1">
        <v>2008</v>
      </c>
      <c r="G1214" s="1" t="s">
        <v>146</v>
      </c>
      <c r="H1214" s="3" t="s">
        <v>440</v>
      </c>
      <c r="I1214" s="3" t="s">
        <v>441</v>
      </c>
      <c r="J1214" s="1" t="s">
        <v>442</v>
      </c>
      <c r="K1214" s="1" t="s">
        <v>433</v>
      </c>
      <c r="L1214" s="3" t="s">
        <v>46</v>
      </c>
      <c r="M1214" s="1" t="s">
        <v>115</v>
      </c>
      <c r="N1214" s="1" t="s">
        <v>116</v>
      </c>
      <c r="O1214" s="1">
        <v>1</v>
      </c>
      <c r="P1214" s="1">
        <v>1</v>
      </c>
      <c r="Q1214" s="1" t="s">
        <v>49</v>
      </c>
      <c r="R1214" s="1">
        <v>1</v>
      </c>
      <c r="S1214" s="1" t="s">
        <v>443</v>
      </c>
      <c r="T1214" s="1" t="s">
        <v>443</v>
      </c>
      <c r="U1214" s="1" t="s">
        <v>119</v>
      </c>
      <c r="V1214" s="1" t="s">
        <v>444</v>
      </c>
      <c r="W1214" s="1">
        <v>-28.208739000000001</v>
      </c>
      <c r="X1214" s="1">
        <v>-50.758688999999997</v>
      </c>
      <c r="Y1214" s="1" t="s">
        <v>121</v>
      </c>
      <c r="Z1214" s="1" t="s">
        <v>49</v>
      </c>
      <c r="AA1214" s="1" t="s">
        <v>50</v>
      </c>
      <c r="AB1214" s="1" t="s">
        <v>185</v>
      </c>
      <c r="AC1214" s="1" t="s">
        <v>186</v>
      </c>
      <c r="AD1214" s="1" t="s">
        <v>188</v>
      </c>
      <c r="AE1214" s="1" t="s">
        <v>188</v>
      </c>
      <c r="AF1214" s="1" t="s">
        <v>60</v>
      </c>
      <c r="AG1214" s="1" t="s">
        <v>60</v>
      </c>
      <c r="AH1214" s="1" t="s">
        <v>152</v>
      </c>
      <c r="AI1214" s="1" t="s">
        <v>55</v>
      </c>
      <c r="AJ1214" s="1">
        <v>44</v>
      </c>
      <c r="AK1214" s="1">
        <v>1100</v>
      </c>
      <c r="AL1214" s="4">
        <v>1.6E-2</v>
      </c>
      <c r="AM1214" s="1">
        <v>18.100000000000001</v>
      </c>
      <c r="AN1214" s="1">
        <v>10.153</v>
      </c>
      <c r="AO1214" s="1" t="s">
        <v>49</v>
      </c>
      <c r="AP1214" s="6">
        <v>1</v>
      </c>
      <c r="AQ1214" s="6" t="s">
        <v>49</v>
      </c>
      <c r="AR1214" s="6" t="s">
        <v>49</v>
      </c>
      <c r="AS1214" s="1">
        <v>0.18179999999999999</v>
      </c>
      <c r="AT1214" s="4">
        <f>AS1214/(AM1214^2)*100</f>
        <v>5.5492811574738239E-2</v>
      </c>
      <c r="AU1214" s="5">
        <v>0</v>
      </c>
      <c r="AV1214" s="4">
        <f>AT1214*(1-AL1214)/AL1214</f>
        <v>3.4128079118464014</v>
      </c>
      <c r="AW1214" s="29" t="s">
        <v>445</v>
      </c>
    </row>
    <row r="1215" spans="1:49">
      <c r="A1215" s="1">
        <v>25</v>
      </c>
      <c r="B1215" s="1" t="s">
        <v>38</v>
      </c>
      <c r="C1215" s="1" t="s">
        <v>38</v>
      </c>
      <c r="D1215" s="1" t="s">
        <v>439</v>
      </c>
      <c r="E1215" s="1" t="s">
        <v>40</v>
      </c>
      <c r="F1215" s="1">
        <v>2008</v>
      </c>
      <c r="G1215" s="1" t="s">
        <v>146</v>
      </c>
      <c r="H1215" s="3" t="s">
        <v>440</v>
      </c>
      <c r="I1215" s="3" t="s">
        <v>441</v>
      </c>
      <c r="J1215" s="1" t="s">
        <v>442</v>
      </c>
      <c r="K1215" s="1" t="s">
        <v>433</v>
      </c>
      <c r="L1215" s="3" t="s">
        <v>46</v>
      </c>
      <c r="M1215" s="1" t="s">
        <v>115</v>
      </c>
      <c r="N1215" s="1" t="s">
        <v>116</v>
      </c>
      <c r="O1215" s="1">
        <v>1</v>
      </c>
      <c r="P1215" s="1">
        <v>1</v>
      </c>
      <c r="Q1215" s="1" t="s">
        <v>49</v>
      </c>
      <c r="R1215" s="1">
        <v>1</v>
      </c>
      <c r="S1215" s="1" t="s">
        <v>443</v>
      </c>
      <c r="T1215" s="1" t="s">
        <v>443</v>
      </c>
      <c r="U1215" s="1" t="s">
        <v>119</v>
      </c>
      <c r="V1215" s="1" t="s">
        <v>444</v>
      </c>
      <c r="W1215" s="1">
        <v>-28.208739000000001</v>
      </c>
      <c r="X1215" s="1">
        <v>-50.758688999999997</v>
      </c>
      <c r="Y1215" s="1" t="s">
        <v>121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63</v>
      </c>
      <c r="AE1215" s="1" t="s">
        <v>446</v>
      </c>
      <c r="AF1215" s="6" t="s">
        <v>49</v>
      </c>
      <c r="AG1215" s="6" t="s">
        <v>49</v>
      </c>
      <c r="AH1215" s="1" t="s">
        <v>152</v>
      </c>
      <c r="AI1215" s="1" t="s">
        <v>55</v>
      </c>
      <c r="AJ1215" s="20" t="s">
        <v>49</v>
      </c>
      <c r="AK1215" s="20" t="s">
        <v>49</v>
      </c>
      <c r="AL1215" s="20" t="s">
        <v>49</v>
      </c>
      <c r="AM1215" s="20" t="s">
        <v>49</v>
      </c>
      <c r="AN1215" s="1" t="s">
        <v>49</v>
      </c>
      <c r="AO1215" s="1" t="s">
        <v>49</v>
      </c>
      <c r="AP1215" s="6">
        <v>1</v>
      </c>
      <c r="AQ1215" s="6">
        <v>0.2641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6" t="s">
        <v>49</v>
      </c>
      <c r="AW1215" s="30" t="s">
        <v>49</v>
      </c>
    </row>
    <row r="1216" spans="1:49">
      <c r="A1216" s="1">
        <v>25</v>
      </c>
      <c r="B1216" s="1" t="s">
        <v>38</v>
      </c>
      <c r="C1216" s="1" t="s">
        <v>38</v>
      </c>
      <c r="D1216" s="1" t="s">
        <v>439</v>
      </c>
      <c r="E1216" s="1" t="s">
        <v>40</v>
      </c>
      <c r="F1216" s="1">
        <v>2008</v>
      </c>
      <c r="G1216" s="1" t="s">
        <v>146</v>
      </c>
      <c r="H1216" s="3" t="s">
        <v>440</v>
      </c>
      <c r="I1216" s="3" t="s">
        <v>441</v>
      </c>
      <c r="J1216" s="1" t="s">
        <v>442</v>
      </c>
      <c r="K1216" s="1" t="s">
        <v>433</v>
      </c>
      <c r="L1216" s="3" t="s">
        <v>46</v>
      </c>
      <c r="M1216" s="1" t="s">
        <v>115</v>
      </c>
      <c r="N1216" s="1" t="s">
        <v>116</v>
      </c>
      <c r="O1216" s="1">
        <v>1</v>
      </c>
      <c r="P1216" s="1">
        <v>1</v>
      </c>
      <c r="Q1216" s="1" t="s">
        <v>49</v>
      </c>
      <c r="R1216" s="1">
        <v>1</v>
      </c>
      <c r="S1216" s="1" t="s">
        <v>443</v>
      </c>
      <c r="T1216" s="1" t="s">
        <v>443</v>
      </c>
      <c r="U1216" s="1" t="s">
        <v>119</v>
      </c>
      <c r="V1216" s="1" t="s">
        <v>444</v>
      </c>
      <c r="W1216" s="1">
        <v>-28.208739000000001</v>
      </c>
      <c r="X1216" s="1">
        <v>-50.758688999999997</v>
      </c>
      <c r="Y1216" s="1" t="s">
        <v>121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63</v>
      </c>
      <c r="AE1216" s="1" t="s">
        <v>447</v>
      </c>
      <c r="AF1216" s="6" t="s">
        <v>49</v>
      </c>
      <c r="AG1216" s="6" t="s">
        <v>49</v>
      </c>
      <c r="AH1216" s="1" t="s">
        <v>152</v>
      </c>
      <c r="AI1216" s="1" t="s">
        <v>55</v>
      </c>
      <c r="AJ1216" s="20" t="s">
        <v>49</v>
      </c>
      <c r="AK1216" s="20" t="s">
        <v>49</v>
      </c>
      <c r="AL1216" s="20" t="s">
        <v>49</v>
      </c>
      <c r="AM1216" s="20" t="s">
        <v>49</v>
      </c>
      <c r="AN1216" s="1" t="s">
        <v>49</v>
      </c>
      <c r="AO1216" s="1" t="s">
        <v>49</v>
      </c>
      <c r="AP1216" s="6">
        <v>1</v>
      </c>
      <c r="AQ1216" s="6">
        <v>6.6E-3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6" t="s">
        <v>49</v>
      </c>
      <c r="AW1216" s="30" t="s">
        <v>49</v>
      </c>
    </row>
    <row r="1217" spans="1:49">
      <c r="A1217" s="1">
        <v>25</v>
      </c>
      <c r="B1217" s="1" t="s">
        <v>38</v>
      </c>
      <c r="C1217" s="1" t="s">
        <v>38</v>
      </c>
      <c r="D1217" s="1" t="s">
        <v>439</v>
      </c>
      <c r="E1217" s="1" t="s">
        <v>40</v>
      </c>
      <c r="F1217" s="1">
        <v>2008</v>
      </c>
      <c r="G1217" s="1" t="s">
        <v>146</v>
      </c>
      <c r="H1217" s="3" t="s">
        <v>440</v>
      </c>
      <c r="I1217" s="3" t="s">
        <v>441</v>
      </c>
      <c r="J1217" s="1" t="s">
        <v>442</v>
      </c>
      <c r="K1217" s="1" t="s">
        <v>433</v>
      </c>
      <c r="L1217" s="3" t="s">
        <v>46</v>
      </c>
      <c r="M1217" s="1" t="s">
        <v>115</v>
      </c>
      <c r="N1217" s="1" t="s">
        <v>116</v>
      </c>
      <c r="O1217" s="1">
        <v>1</v>
      </c>
      <c r="P1217" s="1">
        <v>1</v>
      </c>
      <c r="Q1217" s="1" t="s">
        <v>49</v>
      </c>
      <c r="R1217" s="1">
        <v>1</v>
      </c>
      <c r="S1217" s="1" t="s">
        <v>443</v>
      </c>
      <c r="T1217" s="1" t="s">
        <v>443</v>
      </c>
      <c r="U1217" s="1" t="s">
        <v>119</v>
      </c>
      <c r="V1217" s="1" t="s">
        <v>444</v>
      </c>
      <c r="W1217" s="1">
        <v>-28.208739000000001</v>
      </c>
      <c r="X1217" s="1">
        <v>-50.758688999999997</v>
      </c>
      <c r="Y1217" s="1" t="s">
        <v>121</v>
      </c>
      <c r="Z1217" s="1" t="s">
        <v>49</v>
      </c>
      <c r="AA1217" s="6" t="s">
        <v>49</v>
      </c>
      <c r="AB1217" s="6" t="s">
        <v>49</v>
      </c>
      <c r="AC1217" s="6" t="s">
        <v>49</v>
      </c>
      <c r="AD1217" s="1" t="s">
        <v>63</v>
      </c>
      <c r="AE1217" s="1" t="s">
        <v>188</v>
      </c>
      <c r="AF1217" s="6" t="s">
        <v>49</v>
      </c>
      <c r="AG1217" s="6" t="s">
        <v>49</v>
      </c>
      <c r="AH1217" s="1" t="s">
        <v>152</v>
      </c>
      <c r="AI1217" s="1" t="s">
        <v>55</v>
      </c>
      <c r="AJ1217" s="20" t="s">
        <v>49</v>
      </c>
      <c r="AK1217" s="20" t="s">
        <v>49</v>
      </c>
      <c r="AL1217" s="20" t="s">
        <v>49</v>
      </c>
      <c r="AM1217" s="20" t="s">
        <v>49</v>
      </c>
      <c r="AN1217" s="1" t="s">
        <v>49</v>
      </c>
      <c r="AO1217" s="1" t="s">
        <v>49</v>
      </c>
      <c r="AP1217" s="6">
        <v>1</v>
      </c>
      <c r="AQ1217" s="6">
        <v>-0.27189999999999998</v>
      </c>
      <c r="AR1217" s="6" t="s">
        <v>49</v>
      </c>
      <c r="AS1217" s="6" t="s">
        <v>49</v>
      </c>
      <c r="AT1217" s="6" t="s">
        <v>49</v>
      </c>
      <c r="AU1217" s="6" t="s">
        <v>49</v>
      </c>
      <c r="AV1217" s="6" t="s">
        <v>49</v>
      </c>
      <c r="AW1217" s="30" t="s">
        <v>49</v>
      </c>
    </row>
    <row r="1218" spans="1:49">
      <c r="A1218" s="1">
        <v>25</v>
      </c>
      <c r="B1218" s="1" t="s">
        <v>38</v>
      </c>
      <c r="C1218" s="1" t="s">
        <v>38</v>
      </c>
      <c r="D1218" s="1" t="s">
        <v>439</v>
      </c>
      <c r="E1218" s="1" t="s">
        <v>40</v>
      </c>
      <c r="F1218" s="1">
        <v>2008</v>
      </c>
      <c r="G1218" s="1" t="s">
        <v>146</v>
      </c>
      <c r="H1218" s="3" t="s">
        <v>440</v>
      </c>
      <c r="I1218" s="3" t="s">
        <v>441</v>
      </c>
      <c r="J1218" s="1" t="s">
        <v>442</v>
      </c>
      <c r="K1218" s="1" t="s">
        <v>433</v>
      </c>
      <c r="L1218" s="3" t="s">
        <v>46</v>
      </c>
      <c r="M1218" s="1" t="s">
        <v>115</v>
      </c>
      <c r="N1218" s="1" t="s">
        <v>116</v>
      </c>
      <c r="O1218" s="1">
        <v>1</v>
      </c>
      <c r="P1218" s="1">
        <v>1</v>
      </c>
      <c r="Q1218" s="1" t="s">
        <v>49</v>
      </c>
      <c r="R1218" s="1">
        <v>1</v>
      </c>
      <c r="S1218" s="1" t="s">
        <v>443</v>
      </c>
      <c r="T1218" s="1" t="s">
        <v>443</v>
      </c>
      <c r="U1218" s="1" t="s">
        <v>119</v>
      </c>
      <c r="V1218" s="1" t="s">
        <v>444</v>
      </c>
      <c r="W1218" s="1">
        <v>-28.208739000000001</v>
      </c>
      <c r="X1218" s="1">
        <v>-50.758688999999997</v>
      </c>
      <c r="Y1218" s="1" t="s">
        <v>121</v>
      </c>
      <c r="Z1218" s="1" t="s">
        <v>49</v>
      </c>
      <c r="AA1218" s="6" t="s">
        <v>49</v>
      </c>
      <c r="AB1218" s="6" t="s">
        <v>49</v>
      </c>
      <c r="AC1218" s="6" t="s">
        <v>49</v>
      </c>
      <c r="AD1218" s="1" t="s">
        <v>446</v>
      </c>
      <c r="AE1218" s="1" t="s">
        <v>447</v>
      </c>
      <c r="AF1218" s="6" t="s">
        <v>49</v>
      </c>
      <c r="AG1218" s="6" t="s">
        <v>49</v>
      </c>
      <c r="AH1218" s="1" t="s">
        <v>152</v>
      </c>
      <c r="AI1218" s="1" t="s">
        <v>55</v>
      </c>
      <c r="AJ1218" s="20" t="s">
        <v>49</v>
      </c>
      <c r="AK1218" s="20" t="s">
        <v>49</v>
      </c>
      <c r="AL1218" s="20" t="s">
        <v>49</v>
      </c>
      <c r="AM1218" s="20" t="s">
        <v>49</v>
      </c>
      <c r="AN1218" s="1" t="s">
        <v>49</v>
      </c>
      <c r="AO1218" s="1" t="s">
        <v>49</v>
      </c>
      <c r="AP1218" s="6">
        <v>1</v>
      </c>
      <c r="AQ1218" s="6">
        <v>0.59119999999999995</v>
      </c>
      <c r="AR1218" s="6" t="s">
        <v>49</v>
      </c>
      <c r="AS1218" s="6" t="s">
        <v>49</v>
      </c>
      <c r="AT1218" s="6" t="s">
        <v>49</v>
      </c>
      <c r="AU1218" s="6" t="s">
        <v>49</v>
      </c>
      <c r="AV1218" s="6" t="s">
        <v>49</v>
      </c>
      <c r="AW1218" s="30" t="s">
        <v>49</v>
      </c>
    </row>
    <row r="1219" spans="1:49">
      <c r="A1219" s="1">
        <v>25</v>
      </c>
      <c r="B1219" s="1" t="s">
        <v>38</v>
      </c>
      <c r="C1219" s="1" t="s">
        <v>38</v>
      </c>
      <c r="D1219" s="1" t="s">
        <v>439</v>
      </c>
      <c r="E1219" s="1" t="s">
        <v>40</v>
      </c>
      <c r="F1219" s="1">
        <v>2008</v>
      </c>
      <c r="G1219" s="1" t="s">
        <v>146</v>
      </c>
      <c r="H1219" s="3" t="s">
        <v>440</v>
      </c>
      <c r="I1219" s="3" t="s">
        <v>441</v>
      </c>
      <c r="J1219" s="1" t="s">
        <v>442</v>
      </c>
      <c r="K1219" s="1" t="s">
        <v>433</v>
      </c>
      <c r="L1219" s="3" t="s">
        <v>46</v>
      </c>
      <c r="M1219" s="1" t="s">
        <v>115</v>
      </c>
      <c r="N1219" s="1" t="s">
        <v>116</v>
      </c>
      <c r="O1219" s="1">
        <v>1</v>
      </c>
      <c r="P1219" s="1">
        <v>1</v>
      </c>
      <c r="Q1219" s="1" t="s">
        <v>49</v>
      </c>
      <c r="R1219" s="1">
        <v>1</v>
      </c>
      <c r="S1219" s="1" t="s">
        <v>443</v>
      </c>
      <c r="T1219" s="1" t="s">
        <v>443</v>
      </c>
      <c r="U1219" s="1" t="s">
        <v>119</v>
      </c>
      <c r="V1219" s="1" t="s">
        <v>444</v>
      </c>
      <c r="W1219" s="1">
        <v>-28.208739000000001</v>
      </c>
      <c r="X1219" s="1">
        <v>-50.758688999999997</v>
      </c>
      <c r="Y1219" s="1" t="s">
        <v>121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446</v>
      </c>
      <c r="AE1219" s="1" t="s">
        <v>188</v>
      </c>
      <c r="AF1219" s="6" t="s">
        <v>49</v>
      </c>
      <c r="AG1219" s="6" t="s">
        <v>49</v>
      </c>
      <c r="AH1219" s="1" t="s">
        <v>152</v>
      </c>
      <c r="AI1219" s="1" t="s">
        <v>55</v>
      </c>
      <c r="AJ1219" s="20" t="s">
        <v>49</v>
      </c>
      <c r="AK1219" s="20" t="s">
        <v>49</v>
      </c>
      <c r="AL1219" s="20" t="s">
        <v>49</v>
      </c>
      <c r="AM1219" s="20" t="s">
        <v>49</v>
      </c>
      <c r="AN1219" s="1" t="s">
        <v>49</v>
      </c>
      <c r="AO1219" s="1" t="s">
        <v>49</v>
      </c>
      <c r="AP1219" s="6">
        <v>1</v>
      </c>
      <c r="AQ1219" s="6">
        <v>2.0400000000000001E-2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6" t="s">
        <v>49</v>
      </c>
      <c r="AW1219" s="30" t="s">
        <v>49</v>
      </c>
    </row>
    <row r="1220" spans="1:49">
      <c r="A1220" s="1">
        <v>25</v>
      </c>
      <c r="B1220" s="1" t="s">
        <v>38</v>
      </c>
      <c r="C1220" s="1" t="s">
        <v>38</v>
      </c>
      <c r="D1220" s="1" t="s">
        <v>439</v>
      </c>
      <c r="E1220" s="1" t="s">
        <v>40</v>
      </c>
      <c r="F1220" s="1">
        <v>2008</v>
      </c>
      <c r="G1220" s="1" t="s">
        <v>146</v>
      </c>
      <c r="H1220" s="3" t="s">
        <v>440</v>
      </c>
      <c r="I1220" s="3" t="s">
        <v>441</v>
      </c>
      <c r="J1220" s="1" t="s">
        <v>442</v>
      </c>
      <c r="K1220" s="1" t="s">
        <v>433</v>
      </c>
      <c r="L1220" s="3" t="s">
        <v>46</v>
      </c>
      <c r="M1220" s="1" t="s">
        <v>115</v>
      </c>
      <c r="N1220" s="1" t="s">
        <v>116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443</v>
      </c>
      <c r="T1220" s="1" t="s">
        <v>443</v>
      </c>
      <c r="U1220" s="1" t="s">
        <v>119</v>
      </c>
      <c r="V1220" s="1" t="s">
        <v>444</v>
      </c>
      <c r="W1220" s="1">
        <v>-28.208739000000001</v>
      </c>
      <c r="X1220" s="1">
        <v>-50.758688999999997</v>
      </c>
      <c r="Y1220" s="1" t="s">
        <v>121</v>
      </c>
      <c r="Z1220" s="1" t="s">
        <v>49</v>
      </c>
      <c r="AA1220" s="6" t="s">
        <v>49</v>
      </c>
      <c r="AB1220" s="6" t="s">
        <v>49</v>
      </c>
      <c r="AC1220" s="6" t="s">
        <v>49</v>
      </c>
      <c r="AD1220" s="1" t="s">
        <v>447</v>
      </c>
      <c r="AE1220" s="1" t="s">
        <v>188</v>
      </c>
      <c r="AF1220" s="6" t="s">
        <v>49</v>
      </c>
      <c r="AG1220" s="6" t="s">
        <v>49</v>
      </c>
      <c r="AH1220" s="1" t="s">
        <v>152</v>
      </c>
      <c r="AI1220" s="1" t="s">
        <v>55</v>
      </c>
      <c r="AJ1220" s="20" t="s">
        <v>49</v>
      </c>
      <c r="AK1220" s="20" t="s">
        <v>49</v>
      </c>
      <c r="AL1220" s="20" t="s">
        <v>49</v>
      </c>
      <c r="AM1220" s="20" t="s">
        <v>49</v>
      </c>
      <c r="AN1220" s="1" t="s">
        <v>49</v>
      </c>
      <c r="AO1220" s="1" t="s">
        <v>49</v>
      </c>
      <c r="AP1220" s="6">
        <v>1</v>
      </c>
      <c r="AQ1220" s="6">
        <v>7.8200000000000006E-2</v>
      </c>
      <c r="AR1220" s="6" t="s">
        <v>49</v>
      </c>
      <c r="AS1220" s="6" t="s">
        <v>49</v>
      </c>
      <c r="AT1220" s="6" t="s">
        <v>49</v>
      </c>
      <c r="AU1220" s="6" t="s">
        <v>49</v>
      </c>
      <c r="AV1220" s="6" t="s">
        <v>49</v>
      </c>
      <c r="AW1220" s="30" t="s">
        <v>49</v>
      </c>
    </row>
    <row r="1221" spans="1:49">
      <c r="A1221" s="1">
        <v>24</v>
      </c>
      <c r="B1221" s="1" t="s">
        <v>38</v>
      </c>
      <c r="C1221" s="1" t="s">
        <v>38</v>
      </c>
      <c r="D1221" s="1" t="s">
        <v>448</v>
      </c>
      <c r="E1221" s="1" t="s">
        <v>40</v>
      </c>
      <c r="F1221" s="1">
        <v>2009</v>
      </c>
      <c r="G1221" s="1" t="s">
        <v>110</v>
      </c>
      <c r="H1221" s="3" t="s">
        <v>449</v>
      </c>
      <c r="I1221" s="3" t="s">
        <v>450</v>
      </c>
      <c r="J1221" s="1" t="s">
        <v>451</v>
      </c>
      <c r="K1221" s="1" t="s">
        <v>114</v>
      </c>
      <c r="L1221" s="33" t="s">
        <v>46</v>
      </c>
      <c r="M1221" s="1" t="s">
        <v>12</v>
      </c>
      <c r="N1221" s="1" t="s">
        <v>76</v>
      </c>
      <c r="O1221" s="1" t="s">
        <v>49</v>
      </c>
      <c r="P1221" s="1" t="s">
        <v>49</v>
      </c>
      <c r="Q1221" s="1" t="s">
        <v>49</v>
      </c>
      <c r="R1221" s="1">
        <v>0.5</v>
      </c>
      <c r="S1221" s="1" t="s">
        <v>117</v>
      </c>
      <c r="T1221" s="1" t="s">
        <v>117</v>
      </c>
      <c r="U1221" s="1" t="s">
        <v>251</v>
      </c>
      <c r="V1221" s="1" t="s">
        <v>452</v>
      </c>
      <c r="W1221" s="1">
        <v>37.049999999999997</v>
      </c>
      <c r="X1221" s="1">
        <v>-3.28</v>
      </c>
      <c r="Y1221" s="1" t="s">
        <v>121</v>
      </c>
      <c r="Z1221" s="1" t="s">
        <v>49</v>
      </c>
      <c r="AA1221" s="1" t="s">
        <v>127</v>
      </c>
      <c r="AB1221" s="1" t="s">
        <v>241</v>
      </c>
      <c r="AC1221" s="1" t="s">
        <v>457</v>
      </c>
      <c r="AD1221" s="1" t="s">
        <v>458</v>
      </c>
      <c r="AE1221" s="1" t="s">
        <v>458</v>
      </c>
      <c r="AF1221" s="1" t="s">
        <v>53</v>
      </c>
      <c r="AG1221" s="1" t="s">
        <v>53</v>
      </c>
      <c r="AH1221" s="1" t="s">
        <v>435</v>
      </c>
      <c r="AI1221" s="1" t="s">
        <v>55</v>
      </c>
      <c r="AJ1221" s="1">
        <v>332</v>
      </c>
      <c r="AK1221" s="1">
        <v>1665</v>
      </c>
      <c r="AL1221" s="4">
        <v>2E-3</v>
      </c>
      <c r="AM1221" s="1">
        <v>1.35</v>
      </c>
      <c r="AN1221" s="1">
        <v>0.95</v>
      </c>
      <c r="AO1221" s="1" t="s">
        <v>49</v>
      </c>
      <c r="AP1221" s="6">
        <v>1</v>
      </c>
      <c r="AQ1221" s="6" t="s">
        <v>49</v>
      </c>
      <c r="AR1221" s="6" t="s">
        <v>49</v>
      </c>
      <c r="AS1221" s="1">
        <f t="shared" ref="AS1221:AS1227" si="102">AN1221*AL1221</f>
        <v>1.9E-3</v>
      </c>
      <c r="AT1221" s="4">
        <f t="shared" ref="AT1221:AT1227" si="103">AS1221/(AM1221^2)*100</f>
        <v>0.10425240054869683</v>
      </c>
      <c r="AU1221" s="5">
        <v>0</v>
      </c>
      <c r="AV1221" s="4">
        <f t="shared" ref="AV1221:AV1227" si="104">AT1221*(1-AL1221)/AL1221</f>
        <v>52.021947873799718</v>
      </c>
      <c r="AW1221" s="9" t="s">
        <v>453</v>
      </c>
    </row>
    <row r="1222" spans="1:49">
      <c r="A1222" s="1">
        <v>24</v>
      </c>
      <c r="B1222" s="1" t="s">
        <v>38</v>
      </c>
      <c r="C1222" s="1" t="s">
        <v>38</v>
      </c>
      <c r="D1222" s="1" t="s">
        <v>448</v>
      </c>
      <c r="E1222" s="1" t="s">
        <v>40</v>
      </c>
      <c r="F1222" s="1">
        <v>2009</v>
      </c>
      <c r="G1222" s="1" t="s">
        <v>110</v>
      </c>
      <c r="H1222" s="3" t="s">
        <v>449</v>
      </c>
      <c r="I1222" s="3" t="s">
        <v>450</v>
      </c>
      <c r="J1222" s="1" t="s">
        <v>451</v>
      </c>
      <c r="K1222" s="1" t="s">
        <v>114</v>
      </c>
      <c r="L1222" s="33" t="s">
        <v>46</v>
      </c>
      <c r="M1222" s="1" t="s">
        <v>12</v>
      </c>
      <c r="N1222" s="1" t="s">
        <v>76</v>
      </c>
      <c r="O1222" s="1" t="s">
        <v>49</v>
      </c>
      <c r="P1222" s="1" t="s">
        <v>49</v>
      </c>
      <c r="Q1222" s="1" t="s">
        <v>49</v>
      </c>
      <c r="R1222" s="1">
        <v>0.5</v>
      </c>
      <c r="S1222" s="1" t="s">
        <v>117</v>
      </c>
      <c r="T1222" s="1" t="s">
        <v>117</v>
      </c>
      <c r="U1222" s="1" t="s">
        <v>251</v>
      </c>
      <c r="V1222" s="1" t="s">
        <v>452</v>
      </c>
      <c r="W1222" s="1">
        <v>37.049999999999997</v>
      </c>
      <c r="X1222" s="1">
        <v>-3.28</v>
      </c>
      <c r="Y1222" s="1" t="s">
        <v>121</v>
      </c>
      <c r="Z1222" s="1" t="s">
        <v>49</v>
      </c>
      <c r="AA1222" s="1" t="s">
        <v>127</v>
      </c>
      <c r="AB1222" s="1" t="s">
        <v>241</v>
      </c>
      <c r="AC1222" s="1" t="s">
        <v>455</v>
      </c>
      <c r="AD1222" s="1" t="s">
        <v>456</v>
      </c>
      <c r="AE1222" s="1" t="s">
        <v>456</v>
      </c>
      <c r="AF1222" s="1" t="s">
        <v>60</v>
      </c>
      <c r="AG1222" s="1" t="s">
        <v>61</v>
      </c>
      <c r="AH1222" s="1" t="s">
        <v>435</v>
      </c>
      <c r="AI1222" s="1" t="s">
        <v>55</v>
      </c>
      <c r="AJ1222" s="1">
        <v>332</v>
      </c>
      <c r="AK1222" s="1">
        <v>1665</v>
      </c>
      <c r="AL1222" s="4">
        <v>0.18</v>
      </c>
      <c r="AM1222" s="1">
        <v>1.85</v>
      </c>
      <c r="AN1222" s="1">
        <v>0.32</v>
      </c>
      <c r="AO1222" s="1" t="s">
        <v>49</v>
      </c>
      <c r="AP1222" s="6">
        <v>1</v>
      </c>
      <c r="AQ1222" s="6" t="s">
        <v>49</v>
      </c>
      <c r="AR1222" s="6" t="s">
        <v>49</v>
      </c>
      <c r="AS1222" s="1">
        <f t="shared" si="102"/>
        <v>5.7599999999999998E-2</v>
      </c>
      <c r="AT1222" s="4">
        <f t="shared" si="103"/>
        <v>1.6829802775748721</v>
      </c>
      <c r="AU1222" s="5">
        <v>0</v>
      </c>
      <c r="AV1222" s="4">
        <f t="shared" si="104"/>
        <v>7.6669101533966408</v>
      </c>
      <c r="AW1222" s="9" t="s">
        <v>453</v>
      </c>
    </row>
    <row r="1223" spans="1:49">
      <c r="A1223" s="1">
        <v>24</v>
      </c>
      <c r="B1223" s="1" t="s">
        <v>38</v>
      </c>
      <c r="C1223" s="1" t="s">
        <v>38</v>
      </c>
      <c r="D1223" s="1" t="s">
        <v>448</v>
      </c>
      <c r="E1223" s="1" t="s">
        <v>40</v>
      </c>
      <c r="F1223" s="1">
        <v>2009</v>
      </c>
      <c r="G1223" s="1" t="s">
        <v>110</v>
      </c>
      <c r="H1223" s="3" t="s">
        <v>449</v>
      </c>
      <c r="I1223" s="3" t="s">
        <v>450</v>
      </c>
      <c r="J1223" s="1" t="s">
        <v>451</v>
      </c>
      <c r="K1223" s="1" t="s">
        <v>114</v>
      </c>
      <c r="L1223" s="33" t="s">
        <v>46</v>
      </c>
      <c r="M1223" s="1" t="s">
        <v>12</v>
      </c>
      <c r="N1223" s="1" t="s">
        <v>76</v>
      </c>
      <c r="O1223" s="1" t="s">
        <v>49</v>
      </c>
      <c r="P1223" s="1" t="s">
        <v>49</v>
      </c>
      <c r="Q1223" s="1" t="s">
        <v>49</v>
      </c>
      <c r="R1223" s="1">
        <v>0.5</v>
      </c>
      <c r="S1223" s="1" t="s">
        <v>117</v>
      </c>
      <c r="T1223" s="1" t="s">
        <v>117</v>
      </c>
      <c r="U1223" s="1" t="s">
        <v>251</v>
      </c>
      <c r="V1223" s="1" t="s">
        <v>452</v>
      </c>
      <c r="W1223" s="1">
        <v>37.049999999999997</v>
      </c>
      <c r="X1223" s="1">
        <v>-3.28</v>
      </c>
      <c r="Y1223" s="1" t="s">
        <v>121</v>
      </c>
      <c r="Z1223" s="1" t="s">
        <v>49</v>
      </c>
      <c r="AA1223" s="1" t="s">
        <v>127</v>
      </c>
      <c r="AB1223" s="1" t="s">
        <v>241</v>
      </c>
      <c r="AC1223" s="1" t="s">
        <v>242</v>
      </c>
      <c r="AD1223" s="1" t="s">
        <v>454</v>
      </c>
      <c r="AE1223" s="1" t="s">
        <v>454</v>
      </c>
      <c r="AF1223" s="1" t="s">
        <v>60</v>
      </c>
      <c r="AG1223" s="1" t="s">
        <v>61</v>
      </c>
      <c r="AH1223" s="1" t="s">
        <v>435</v>
      </c>
      <c r="AI1223" s="1" t="s">
        <v>55</v>
      </c>
      <c r="AJ1223" s="1">
        <v>332</v>
      </c>
      <c r="AK1223" s="1">
        <v>1665</v>
      </c>
      <c r="AL1223" s="4">
        <v>0.19</v>
      </c>
      <c r="AM1223" s="1">
        <v>36.97</v>
      </c>
      <c r="AN1223" s="1">
        <v>239.73</v>
      </c>
      <c r="AO1223" s="1" t="s">
        <v>49</v>
      </c>
      <c r="AP1223" s="6">
        <v>1</v>
      </c>
      <c r="AQ1223" s="6" t="s">
        <v>49</v>
      </c>
      <c r="AR1223" s="6" t="s">
        <v>49</v>
      </c>
      <c r="AS1223" s="1">
        <f t="shared" si="102"/>
        <v>45.548699999999997</v>
      </c>
      <c r="AT1223" s="4">
        <f t="shared" si="103"/>
        <v>3.3325531546424156</v>
      </c>
      <c r="AU1223" s="5">
        <v>0</v>
      </c>
      <c r="AV1223" s="4">
        <f t="shared" si="104"/>
        <v>14.207200290843984</v>
      </c>
      <c r="AW1223" s="9" t="s">
        <v>453</v>
      </c>
    </row>
    <row r="1224" spans="1:49" ht="15" customHeight="1">
      <c r="A1224" s="1">
        <v>24</v>
      </c>
      <c r="B1224" s="1" t="s">
        <v>38</v>
      </c>
      <c r="C1224" s="1" t="s">
        <v>38</v>
      </c>
      <c r="D1224" s="1" t="s">
        <v>448</v>
      </c>
      <c r="E1224" s="1" t="s">
        <v>40</v>
      </c>
      <c r="F1224" s="1">
        <v>2009</v>
      </c>
      <c r="G1224" s="1" t="s">
        <v>110</v>
      </c>
      <c r="H1224" s="3" t="s">
        <v>449</v>
      </c>
      <c r="I1224" s="3" t="s">
        <v>450</v>
      </c>
      <c r="J1224" s="1" t="s">
        <v>451</v>
      </c>
      <c r="K1224" s="1" t="s">
        <v>114</v>
      </c>
      <c r="L1224" s="33" t="s">
        <v>46</v>
      </c>
      <c r="M1224" s="1" t="s">
        <v>12</v>
      </c>
      <c r="N1224" s="1" t="s">
        <v>76</v>
      </c>
      <c r="O1224" s="1" t="s">
        <v>49</v>
      </c>
      <c r="P1224" s="1" t="s">
        <v>49</v>
      </c>
      <c r="Q1224" s="1" t="s">
        <v>49</v>
      </c>
      <c r="R1224" s="1">
        <v>0.5</v>
      </c>
      <c r="S1224" s="1" t="s">
        <v>117</v>
      </c>
      <c r="T1224" s="1" t="s">
        <v>117</v>
      </c>
      <c r="U1224" s="1" t="s">
        <v>251</v>
      </c>
      <c r="V1224" s="1" t="s">
        <v>452</v>
      </c>
      <c r="W1224" s="1">
        <v>37.049999999999997</v>
      </c>
      <c r="X1224" s="1">
        <v>-3.28</v>
      </c>
      <c r="Y1224" s="1" t="s">
        <v>121</v>
      </c>
      <c r="Z1224" s="1" t="s">
        <v>49</v>
      </c>
      <c r="AA1224" s="1" t="s">
        <v>50</v>
      </c>
      <c r="AB1224" s="1" t="s">
        <v>51</v>
      </c>
      <c r="AC1224" s="1" t="s">
        <v>52</v>
      </c>
      <c r="AD1224" s="1" t="s">
        <v>52</v>
      </c>
      <c r="AE1224" s="1" t="s">
        <v>52</v>
      </c>
      <c r="AF1224" s="1" t="s">
        <v>53</v>
      </c>
      <c r="AG1224" s="1" t="s">
        <v>53</v>
      </c>
      <c r="AH1224" s="1" t="s">
        <v>435</v>
      </c>
      <c r="AI1224" s="1" t="s">
        <v>55</v>
      </c>
      <c r="AJ1224" s="1">
        <v>332</v>
      </c>
      <c r="AK1224" s="1">
        <v>1665</v>
      </c>
      <c r="AL1224" s="4">
        <v>1E-3</v>
      </c>
      <c r="AM1224" s="1">
        <v>40.9</v>
      </c>
      <c r="AN1224" s="1">
        <v>926.17</v>
      </c>
      <c r="AO1224" s="1" t="s">
        <v>49</v>
      </c>
      <c r="AP1224" s="6">
        <v>1</v>
      </c>
      <c r="AQ1224" s="6" t="s">
        <v>49</v>
      </c>
      <c r="AR1224" s="6" t="s">
        <v>49</v>
      </c>
      <c r="AS1224" s="1">
        <f t="shared" si="102"/>
        <v>0.92616999999999994</v>
      </c>
      <c r="AT1224" s="4">
        <f t="shared" si="103"/>
        <v>5.5366120479911053E-2</v>
      </c>
      <c r="AU1224" s="5">
        <v>0</v>
      </c>
      <c r="AV1224" s="4">
        <f t="shared" si="104"/>
        <v>55.310754359431137</v>
      </c>
      <c r="AW1224" s="9" t="s">
        <v>453</v>
      </c>
    </row>
    <row r="1225" spans="1:49">
      <c r="A1225" s="1">
        <v>24</v>
      </c>
      <c r="B1225" s="1" t="s">
        <v>38</v>
      </c>
      <c r="C1225" s="1" t="s">
        <v>38</v>
      </c>
      <c r="D1225" s="1" t="s">
        <v>448</v>
      </c>
      <c r="E1225" s="1" t="s">
        <v>40</v>
      </c>
      <c r="F1225" s="1">
        <v>2009</v>
      </c>
      <c r="G1225" s="1" t="s">
        <v>110</v>
      </c>
      <c r="H1225" s="3" t="s">
        <v>449</v>
      </c>
      <c r="I1225" s="3" t="s">
        <v>450</v>
      </c>
      <c r="J1225" s="1" t="s">
        <v>451</v>
      </c>
      <c r="K1225" s="1" t="s">
        <v>114</v>
      </c>
      <c r="L1225" s="33" t="s">
        <v>46</v>
      </c>
      <c r="M1225" s="1" t="s">
        <v>12</v>
      </c>
      <c r="N1225" s="1" t="s">
        <v>76</v>
      </c>
      <c r="O1225" s="1" t="s">
        <v>49</v>
      </c>
      <c r="P1225" s="1" t="s">
        <v>49</v>
      </c>
      <c r="Q1225" s="1" t="s">
        <v>49</v>
      </c>
      <c r="R1225" s="1">
        <v>0.5</v>
      </c>
      <c r="S1225" s="1" t="s">
        <v>117</v>
      </c>
      <c r="T1225" s="1" t="s">
        <v>117</v>
      </c>
      <c r="U1225" s="1" t="s">
        <v>251</v>
      </c>
      <c r="V1225" s="1" t="s">
        <v>452</v>
      </c>
      <c r="W1225" s="1">
        <v>37.049999999999997</v>
      </c>
      <c r="X1225" s="1">
        <v>-3.28</v>
      </c>
      <c r="Y1225" s="1" t="s">
        <v>121</v>
      </c>
      <c r="Z1225" s="1" t="s">
        <v>49</v>
      </c>
      <c r="AA1225" s="1" t="s">
        <v>50</v>
      </c>
      <c r="AB1225" s="1" t="s">
        <v>66</v>
      </c>
      <c r="AC1225" s="1" t="s">
        <v>67</v>
      </c>
      <c r="AD1225" s="1" t="s">
        <v>405</v>
      </c>
      <c r="AE1225" s="1" t="s">
        <v>405</v>
      </c>
      <c r="AF1225" s="1" t="s">
        <v>60</v>
      </c>
      <c r="AG1225" s="1" t="s">
        <v>61</v>
      </c>
      <c r="AH1225" s="1" t="s">
        <v>435</v>
      </c>
      <c r="AI1225" s="1" t="s">
        <v>55</v>
      </c>
      <c r="AJ1225" s="1">
        <v>332</v>
      </c>
      <c r="AK1225" s="1">
        <v>1665</v>
      </c>
      <c r="AL1225" s="4">
        <v>0.27</v>
      </c>
      <c r="AM1225" s="1">
        <v>10.89</v>
      </c>
      <c r="AN1225" s="1">
        <v>2.64</v>
      </c>
      <c r="AO1225" s="1" t="s">
        <v>49</v>
      </c>
      <c r="AP1225" s="6">
        <v>1</v>
      </c>
      <c r="AQ1225" s="6" t="s">
        <v>49</v>
      </c>
      <c r="AR1225" s="6" t="s">
        <v>49</v>
      </c>
      <c r="AS1225" s="1">
        <f t="shared" si="102"/>
        <v>0.7128000000000001</v>
      </c>
      <c r="AT1225" s="4">
        <f t="shared" si="103"/>
        <v>0.60105184072126228</v>
      </c>
      <c r="AU1225" s="5">
        <v>0</v>
      </c>
      <c r="AV1225" s="4">
        <f t="shared" si="104"/>
        <v>1.6250660878760053</v>
      </c>
      <c r="AW1225" s="9" t="s">
        <v>453</v>
      </c>
    </row>
    <row r="1226" spans="1:49" ht="15" customHeight="1">
      <c r="A1226" s="1">
        <v>24</v>
      </c>
      <c r="B1226" s="1" t="s">
        <v>38</v>
      </c>
      <c r="C1226" s="1" t="s">
        <v>38</v>
      </c>
      <c r="D1226" s="1" t="s">
        <v>448</v>
      </c>
      <c r="E1226" s="1" t="s">
        <v>40</v>
      </c>
      <c r="F1226" s="1">
        <v>2009</v>
      </c>
      <c r="G1226" s="1" t="s">
        <v>110</v>
      </c>
      <c r="H1226" s="3" t="s">
        <v>449</v>
      </c>
      <c r="I1226" s="3" t="s">
        <v>450</v>
      </c>
      <c r="J1226" s="1" t="s">
        <v>451</v>
      </c>
      <c r="K1226" s="1" t="s">
        <v>114</v>
      </c>
      <c r="L1226" s="33" t="s">
        <v>46</v>
      </c>
      <c r="M1226" s="1" t="s">
        <v>12</v>
      </c>
      <c r="N1226" s="1" t="s">
        <v>76</v>
      </c>
      <c r="O1226" s="1" t="s">
        <v>49</v>
      </c>
      <c r="P1226" s="1" t="s">
        <v>49</v>
      </c>
      <c r="Q1226" s="1" t="s">
        <v>49</v>
      </c>
      <c r="R1226" s="1">
        <v>0.5</v>
      </c>
      <c r="S1226" s="1" t="s">
        <v>117</v>
      </c>
      <c r="T1226" s="1" t="s">
        <v>117</v>
      </c>
      <c r="U1226" s="1" t="s">
        <v>251</v>
      </c>
      <c r="V1226" s="1" t="s">
        <v>452</v>
      </c>
      <c r="W1226" s="1">
        <v>37.049999999999997</v>
      </c>
      <c r="X1226" s="1">
        <v>-3.28</v>
      </c>
      <c r="Y1226" s="1" t="s">
        <v>121</v>
      </c>
      <c r="Z1226" s="1" t="s">
        <v>49</v>
      </c>
      <c r="AA1226" s="1" t="s">
        <v>50</v>
      </c>
      <c r="AB1226" s="1" t="s">
        <v>57</v>
      </c>
      <c r="AC1226" s="1" t="s">
        <v>62</v>
      </c>
      <c r="AD1226" s="1" t="s">
        <v>63</v>
      </c>
      <c r="AE1226" s="1" t="s">
        <v>63</v>
      </c>
      <c r="AF1226" s="1" t="s">
        <v>60</v>
      </c>
      <c r="AG1226" s="1" t="s">
        <v>61</v>
      </c>
      <c r="AH1226" s="1" t="s">
        <v>435</v>
      </c>
      <c r="AI1226" s="1" t="s">
        <v>55</v>
      </c>
      <c r="AJ1226" s="1">
        <v>332</v>
      </c>
      <c r="AK1226" s="1">
        <v>1665</v>
      </c>
      <c r="AL1226" s="4">
        <v>0.39200000000000002</v>
      </c>
      <c r="AM1226" s="1">
        <v>10.52</v>
      </c>
      <c r="AN1226" s="1">
        <v>1.94</v>
      </c>
      <c r="AO1226" s="1" t="s">
        <v>49</v>
      </c>
      <c r="AP1226" s="6">
        <v>1</v>
      </c>
      <c r="AQ1226" s="6" t="s">
        <v>49</v>
      </c>
      <c r="AR1226" s="6" t="s">
        <v>49</v>
      </c>
      <c r="AS1226" s="1">
        <f t="shared" si="102"/>
        <v>0.76048000000000004</v>
      </c>
      <c r="AT1226" s="4">
        <f t="shared" si="103"/>
        <v>0.68715754167329313</v>
      </c>
      <c r="AU1226" s="5">
        <v>0</v>
      </c>
      <c r="AV1226" s="4">
        <f t="shared" si="104"/>
        <v>1.065795370758577</v>
      </c>
      <c r="AW1226" s="9" t="s">
        <v>453</v>
      </c>
    </row>
    <row r="1227" spans="1:49">
      <c r="A1227" s="1">
        <v>24</v>
      </c>
      <c r="B1227" s="1" t="s">
        <v>38</v>
      </c>
      <c r="C1227" s="1" t="s">
        <v>38</v>
      </c>
      <c r="D1227" s="1" t="s">
        <v>448</v>
      </c>
      <c r="E1227" s="1" t="s">
        <v>40</v>
      </c>
      <c r="F1227" s="1">
        <v>2009</v>
      </c>
      <c r="G1227" s="1" t="s">
        <v>110</v>
      </c>
      <c r="H1227" s="3" t="s">
        <v>449</v>
      </c>
      <c r="I1227" s="3" t="s">
        <v>450</v>
      </c>
      <c r="J1227" s="1" t="s">
        <v>451</v>
      </c>
      <c r="K1227" s="1" t="s">
        <v>114</v>
      </c>
      <c r="L1227" s="33" t="s">
        <v>46</v>
      </c>
      <c r="M1227" s="1" t="s">
        <v>12</v>
      </c>
      <c r="N1227" s="1" t="s">
        <v>76</v>
      </c>
      <c r="O1227" s="1" t="s">
        <v>49</v>
      </c>
      <c r="P1227" s="1" t="s">
        <v>49</v>
      </c>
      <c r="Q1227" s="1" t="s">
        <v>49</v>
      </c>
      <c r="R1227" s="1">
        <v>0.5</v>
      </c>
      <c r="S1227" s="1" t="s">
        <v>117</v>
      </c>
      <c r="T1227" s="1" t="s">
        <v>117</v>
      </c>
      <c r="U1227" s="1" t="s">
        <v>251</v>
      </c>
      <c r="V1227" s="1" t="s">
        <v>452</v>
      </c>
      <c r="W1227" s="1">
        <v>37.049999999999997</v>
      </c>
      <c r="X1227" s="1">
        <v>-3.28</v>
      </c>
      <c r="Y1227" s="1" t="s">
        <v>121</v>
      </c>
      <c r="Z1227" s="1" t="s">
        <v>49</v>
      </c>
      <c r="AA1227" s="1" t="s">
        <v>50</v>
      </c>
      <c r="AB1227" s="1" t="s">
        <v>57</v>
      </c>
      <c r="AC1227" s="1" t="s">
        <v>64</v>
      </c>
      <c r="AD1227" s="1" t="s">
        <v>65</v>
      </c>
      <c r="AE1227" s="1" t="s">
        <v>65</v>
      </c>
      <c r="AF1227" s="1" t="s">
        <v>60</v>
      </c>
      <c r="AG1227" s="1" t="s">
        <v>61</v>
      </c>
      <c r="AH1227" s="1" t="s">
        <v>435</v>
      </c>
      <c r="AI1227" s="1" t="s">
        <v>55</v>
      </c>
      <c r="AJ1227" s="1">
        <v>332</v>
      </c>
      <c r="AK1227" s="1">
        <v>1665</v>
      </c>
      <c r="AL1227" s="4">
        <v>9.4E-2</v>
      </c>
      <c r="AM1227" s="1">
        <v>0.52</v>
      </c>
      <c r="AN1227" s="1">
        <v>0.95</v>
      </c>
      <c r="AO1227" s="1" t="s">
        <v>49</v>
      </c>
      <c r="AP1227" s="6">
        <v>1</v>
      </c>
      <c r="AQ1227" s="6" t="s">
        <v>49</v>
      </c>
      <c r="AR1227" s="6" t="s">
        <v>49</v>
      </c>
      <c r="AS1227" s="1">
        <f t="shared" si="102"/>
        <v>8.929999999999999E-2</v>
      </c>
      <c r="AT1227" s="4">
        <f t="shared" si="103"/>
        <v>33.025147928994073</v>
      </c>
      <c r="AU1227" s="5">
        <v>0</v>
      </c>
      <c r="AV1227" s="4">
        <f t="shared" si="104"/>
        <v>318.30621301775142</v>
      </c>
      <c r="AW1227" s="9" t="s">
        <v>453</v>
      </c>
    </row>
    <row r="1228" spans="1:49">
      <c r="A1228" s="1">
        <v>24</v>
      </c>
      <c r="B1228" s="1" t="s">
        <v>38</v>
      </c>
      <c r="C1228" s="1" t="s">
        <v>38</v>
      </c>
      <c r="D1228" s="1" t="s">
        <v>448</v>
      </c>
      <c r="E1228" s="1" t="s">
        <v>40</v>
      </c>
      <c r="F1228" s="1">
        <v>2009</v>
      </c>
      <c r="G1228" s="1" t="s">
        <v>110</v>
      </c>
      <c r="H1228" s="3" t="s">
        <v>449</v>
      </c>
      <c r="I1228" s="3" t="s">
        <v>450</v>
      </c>
      <c r="J1228" s="1" t="s">
        <v>451</v>
      </c>
      <c r="K1228" s="1" t="s">
        <v>114</v>
      </c>
      <c r="L1228" s="33" t="s">
        <v>46</v>
      </c>
      <c r="M1228" s="1" t="s">
        <v>12</v>
      </c>
      <c r="N1228" s="1" t="s">
        <v>76</v>
      </c>
      <c r="O1228" s="1" t="s">
        <v>49</v>
      </c>
      <c r="P1228" s="1" t="s">
        <v>49</v>
      </c>
      <c r="Q1228" s="1" t="s">
        <v>49</v>
      </c>
      <c r="R1228" s="1">
        <v>0.5</v>
      </c>
      <c r="S1228" s="1" t="s">
        <v>117</v>
      </c>
      <c r="T1228" s="1" t="s">
        <v>117</v>
      </c>
      <c r="U1228" s="1" t="s">
        <v>251</v>
      </c>
      <c r="V1228" s="1" t="s">
        <v>452</v>
      </c>
      <c r="W1228" s="1">
        <v>37.049999999999997</v>
      </c>
      <c r="X1228" s="1">
        <v>-3.28</v>
      </c>
      <c r="Y1228" s="1" t="s">
        <v>121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458</v>
      </c>
      <c r="AE1228" s="1" t="s">
        <v>456</v>
      </c>
      <c r="AF1228" s="6" t="s">
        <v>49</v>
      </c>
      <c r="AG1228" s="6" t="s">
        <v>49</v>
      </c>
      <c r="AH1228" s="1" t="s">
        <v>435</v>
      </c>
      <c r="AI1228" s="1" t="s">
        <v>55</v>
      </c>
      <c r="AJ1228" s="20" t="s">
        <v>49</v>
      </c>
      <c r="AK1228" s="20" t="s">
        <v>49</v>
      </c>
      <c r="AL1228" s="20" t="s">
        <v>49</v>
      </c>
      <c r="AM1228" s="20" t="s">
        <v>49</v>
      </c>
      <c r="AN1228" s="1" t="s">
        <v>49</v>
      </c>
      <c r="AO1228" s="1" t="s">
        <v>49</v>
      </c>
      <c r="AP1228" s="6">
        <v>1</v>
      </c>
      <c r="AQ1228" s="6">
        <v>0.109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6" t="s">
        <v>49</v>
      </c>
      <c r="AW1228" s="30" t="s">
        <v>49</v>
      </c>
    </row>
    <row r="1229" spans="1:49">
      <c r="A1229" s="1">
        <v>24</v>
      </c>
      <c r="B1229" s="1" t="s">
        <v>38</v>
      </c>
      <c r="C1229" s="1" t="s">
        <v>38</v>
      </c>
      <c r="D1229" s="1" t="s">
        <v>448</v>
      </c>
      <c r="E1229" s="1" t="s">
        <v>40</v>
      </c>
      <c r="F1229" s="1">
        <v>2009</v>
      </c>
      <c r="G1229" s="1" t="s">
        <v>110</v>
      </c>
      <c r="H1229" s="3" t="s">
        <v>449</v>
      </c>
      <c r="I1229" s="3" t="s">
        <v>450</v>
      </c>
      <c r="J1229" s="1" t="s">
        <v>451</v>
      </c>
      <c r="K1229" s="1" t="s">
        <v>114</v>
      </c>
      <c r="L1229" s="33" t="s">
        <v>46</v>
      </c>
      <c r="M1229" s="1" t="s">
        <v>12</v>
      </c>
      <c r="N1229" s="1" t="s">
        <v>76</v>
      </c>
      <c r="O1229" s="1" t="s">
        <v>49</v>
      </c>
      <c r="P1229" s="1" t="s">
        <v>49</v>
      </c>
      <c r="Q1229" s="1" t="s">
        <v>49</v>
      </c>
      <c r="R1229" s="1">
        <v>0.5</v>
      </c>
      <c r="S1229" s="1" t="s">
        <v>117</v>
      </c>
      <c r="T1229" s="1" t="s">
        <v>117</v>
      </c>
      <c r="U1229" s="1" t="s">
        <v>251</v>
      </c>
      <c r="V1229" s="1" t="s">
        <v>452</v>
      </c>
      <c r="W1229" s="1">
        <v>37.049999999999997</v>
      </c>
      <c r="X1229" s="1">
        <v>-3.28</v>
      </c>
      <c r="Y1229" s="1" t="s">
        <v>121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458</v>
      </c>
      <c r="AE1229" s="1" t="s">
        <v>454</v>
      </c>
      <c r="AF1229" s="6" t="s">
        <v>49</v>
      </c>
      <c r="AG1229" s="6" t="s">
        <v>49</v>
      </c>
      <c r="AH1229" s="1" t="s">
        <v>435</v>
      </c>
      <c r="AI1229" s="1" t="s">
        <v>55</v>
      </c>
      <c r="AJ1229" s="20" t="s">
        <v>49</v>
      </c>
      <c r="AK1229" s="20" t="s">
        <v>49</v>
      </c>
      <c r="AL1229" s="20" t="s">
        <v>49</v>
      </c>
      <c r="AM1229" s="20" t="s">
        <v>49</v>
      </c>
      <c r="AN1229" s="1" t="s">
        <v>49</v>
      </c>
      <c r="AO1229" s="1" t="s">
        <v>49</v>
      </c>
      <c r="AP1229" s="6">
        <v>1</v>
      </c>
      <c r="AQ1229" s="6">
        <v>0.14499999999999999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6" t="s">
        <v>49</v>
      </c>
      <c r="AW1229" s="30" t="s">
        <v>49</v>
      </c>
    </row>
    <row r="1230" spans="1:49">
      <c r="A1230" s="1">
        <v>24</v>
      </c>
      <c r="B1230" s="1" t="s">
        <v>38</v>
      </c>
      <c r="C1230" s="1" t="s">
        <v>38</v>
      </c>
      <c r="D1230" s="1" t="s">
        <v>448</v>
      </c>
      <c r="E1230" s="1" t="s">
        <v>40</v>
      </c>
      <c r="F1230" s="1">
        <v>2009</v>
      </c>
      <c r="G1230" s="1" t="s">
        <v>110</v>
      </c>
      <c r="H1230" s="3" t="s">
        <v>449</v>
      </c>
      <c r="I1230" s="3" t="s">
        <v>450</v>
      </c>
      <c r="J1230" s="1" t="s">
        <v>451</v>
      </c>
      <c r="K1230" s="1" t="s">
        <v>114</v>
      </c>
      <c r="L1230" s="33" t="s">
        <v>46</v>
      </c>
      <c r="M1230" s="1" t="s">
        <v>12</v>
      </c>
      <c r="N1230" s="1" t="s">
        <v>76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117</v>
      </c>
      <c r="T1230" s="1" t="s">
        <v>117</v>
      </c>
      <c r="U1230" s="1" t="s">
        <v>251</v>
      </c>
      <c r="V1230" s="1" t="s">
        <v>452</v>
      </c>
      <c r="W1230" s="1">
        <v>37.049999999999997</v>
      </c>
      <c r="X1230" s="1">
        <v>-3.28</v>
      </c>
      <c r="Y1230" s="1" t="s">
        <v>121</v>
      </c>
      <c r="Z1230" s="1" t="s">
        <v>49</v>
      </c>
      <c r="AA1230" s="6" t="s">
        <v>49</v>
      </c>
      <c r="AB1230" s="6" t="s">
        <v>49</v>
      </c>
      <c r="AC1230" s="6" t="s">
        <v>49</v>
      </c>
      <c r="AD1230" s="1" t="s">
        <v>458</v>
      </c>
      <c r="AE1230" s="1" t="s">
        <v>52</v>
      </c>
      <c r="AF1230" s="6" t="s">
        <v>49</v>
      </c>
      <c r="AG1230" s="6" t="s">
        <v>49</v>
      </c>
      <c r="AH1230" s="1" t="s">
        <v>435</v>
      </c>
      <c r="AI1230" s="1" t="s">
        <v>55</v>
      </c>
      <c r="AJ1230" s="20" t="s">
        <v>49</v>
      </c>
      <c r="AK1230" s="20" t="s">
        <v>49</v>
      </c>
      <c r="AL1230" s="20" t="s">
        <v>49</v>
      </c>
      <c r="AM1230" s="20" t="s">
        <v>49</v>
      </c>
      <c r="AN1230" s="1" t="s">
        <v>49</v>
      </c>
      <c r="AO1230" s="1" t="s">
        <v>49</v>
      </c>
      <c r="AP1230" s="6">
        <v>1</v>
      </c>
      <c r="AQ1230" s="6">
        <v>0.70299999999999996</v>
      </c>
      <c r="AR1230" s="6" t="s">
        <v>49</v>
      </c>
      <c r="AS1230" s="6" t="s">
        <v>49</v>
      </c>
      <c r="AT1230" s="6" t="s">
        <v>49</v>
      </c>
      <c r="AU1230" s="6" t="s">
        <v>49</v>
      </c>
      <c r="AV1230" s="6" t="s">
        <v>49</v>
      </c>
      <c r="AW1230" s="30" t="s">
        <v>49</v>
      </c>
    </row>
    <row r="1231" spans="1:49">
      <c r="A1231" s="1">
        <v>24</v>
      </c>
      <c r="B1231" s="1" t="s">
        <v>38</v>
      </c>
      <c r="C1231" s="1" t="s">
        <v>38</v>
      </c>
      <c r="D1231" s="1" t="s">
        <v>448</v>
      </c>
      <c r="E1231" s="1" t="s">
        <v>40</v>
      </c>
      <c r="F1231" s="1">
        <v>2009</v>
      </c>
      <c r="G1231" s="1" t="s">
        <v>110</v>
      </c>
      <c r="H1231" s="3" t="s">
        <v>449</v>
      </c>
      <c r="I1231" s="3" t="s">
        <v>450</v>
      </c>
      <c r="J1231" s="1" t="s">
        <v>451</v>
      </c>
      <c r="K1231" s="1" t="s">
        <v>114</v>
      </c>
      <c r="L1231" s="33" t="s">
        <v>46</v>
      </c>
      <c r="M1231" s="1" t="s">
        <v>12</v>
      </c>
      <c r="N1231" s="1" t="s">
        <v>76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117</v>
      </c>
      <c r="T1231" s="1" t="s">
        <v>117</v>
      </c>
      <c r="U1231" s="1" t="s">
        <v>251</v>
      </c>
      <c r="V1231" s="1" t="s">
        <v>452</v>
      </c>
      <c r="W1231" s="1">
        <v>37.049999999999997</v>
      </c>
      <c r="X1231" s="1">
        <v>-3.28</v>
      </c>
      <c r="Y1231" s="1" t="s">
        <v>121</v>
      </c>
      <c r="Z1231" s="1" t="s">
        <v>49</v>
      </c>
      <c r="AA1231" s="6" t="s">
        <v>49</v>
      </c>
      <c r="AB1231" s="6" t="s">
        <v>49</v>
      </c>
      <c r="AC1231" s="6" t="s">
        <v>49</v>
      </c>
      <c r="AD1231" s="1" t="s">
        <v>458</v>
      </c>
      <c r="AE1231" s="1" t="s">
        <v>405</v>
      </c>
      <c r="AF1231" s="6" t="s">
        <v>49</v>
      </c>
      <c r="AG1231" s="6" t="s">
        <v>49</v>
      </c>
      <c r="AH1231" s="1" t="s">
        <v>435</v>
      </c>
      <c r="AI1231" s="1" t="s">
        <v>55</v>
      </c>
      <c r="AJ1231" s="20" t="s">
        <v>49</v>
      </c>
      <c r="AK1231" s="20" t="s">
        <v>49</v>
      </c>
      <c r="AL1231" s="20" t="s">
        <v>49</v>
      </c>
      <c r="AM1231" s="20" t="s">
        <v>49</v>
      </c>
      <c r="AN1231" s="1" t="s">
        <v>49</v>
      </c>
      <c r="AO1231" s="1" t="s">
        <v>49</v>
      </c>
      <c r="AP1231" s="6">
        <v>1</v>
      </c>
      <c r="AQ1231" s="6">
        <v>-4.0000000000000001E-3</v>
      </c>
      <c r="AR1231" s="6" t="s">
        <v>49</v>
      </c>
      <c r="AS1231" s="6" t="s">
        <v>49</v>
      </c>
      <c r="AT1231" s="6" t="s">
        <v>49</v>
      </c>
      <c r="AU1231" s="6" t="s">
        <v>49</v>
      </c>
      <c r="AV1231" s="6" t="s">
        <v>49</v>
      </c>
      <c r="AW1231" s="30" t="s">
        <v>49</v>
      </c>
    </row>
    <row r="1232" spans="1:49">
      <c r="A1232" s="1">
        <v>24</v>
      </c>
      <c r="B1232" s="1" t="s">
        <v>38</v>
      </c>
      <c r="C1232" s="1" t="s">
        <v>38</v>
      </c>
      <c r="D1232" s="1" t="s">
        <v>448</v>
      </c>
      <c r="E1232" s="1" t="s">
        <v>40</v>
      </c>
      <c r="F1232" s="1">
        <v>2009</v>
      </c>
      <c r="G1232" s="1" t="s">
        <v>110</v>
      </c>
      <c r="H1232" s="3" t="s">
        <v>449</v>
      </c>
      <c r="I1232" s="3" t="s">
        <v>450</v>
      </c>
      <c r="J1232" s="1" t="s">
        <v>451</v>
      </c>
      <c r="K1232" s="1" t="s">
        <v>114</v>
      </c>
      <c r="L1232" s="33" t="s">
        <v>46</v>
      </c>
      <c r="M1232" s="1" t="s">
        <v>12</v>
      </c>
      <c r="N1232" s="1" t="s">
        <v>76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117</v>
      </c>
      <c r="T1232" s="1" t="s">
        <v>117</v>
      </c>
      <c r="U1232" s="1" t="s">
        <v>251</v>
      </c>
      <c r="V1232" s="1" t="s">
        <v>452</v>
      </c>
      <c r="W1232" s="1">
        <v>37.049999999999997</v>
      </c>
      <c r="X1232" s="1">
        <v>-3.28</v>
      </c>
      <c r="Y1232" s="1" t="s">
        <v>121</v>
      </c>
      <c r="Z1232" s="1" t="s">
        <v>49</v>
      </c>
      <c r="AA1232" s="6" t="s">
        <v>49</v>
      </c>
      <c r="AB1232" s="6" t="s">
        <v>49</v>
      </c>
      <c r="AC1232" s="6" t="s">
        <v>49</v>
      </c>
      <c r="AD1232" s="1" t="s">
        <v>458</v>
      </c>
      <c r="AE1232" s="1" t="s">
        <v>63</v>
      </c>
      <c r="AF1232" s="6" t="s">
        <v>49</v>
      </c>
      <c r="AG1232" s="6" t="s">
        <v>49</v>
      </c>
      <c r="AH1232" s="1" t="s">
        <v>435</v>
      </c>
      <c r="AI1232" s="1" t="s">
        <v>55</v>
      </c>
      <c r="AJ1232" s="20" t="s">
        <v>49</v>
      </c>
      <c r="AK1232" s="20" t="s">
        <v>49</v>
      </c>
      <c r="AL1232" s="20" t="s">
        <v>49</v>
      </c>
      <c r="AM1232" s="20" t="s">
        <v>49</v>
      </c>
      <c r="AN1232" s="1" t="s">
        <v>49</v>
      </c>
      <c r="AO1232" s="1" t="s">
        <v>49</v>
      </c>
      <c r="AP1232" s="6">
        <v>1</v>
      </c>
      <c r="AQ1232" s="6">
        <v>-9.4E-2</v>
      </c>
      <c r="AR1232" s="6" t="s">
        <v>49</v>
      </c>
      <c r="AS1232" s="6" t="s">
        <v>49</v>
      </c>
      <c r="AT1232" s="6" t="s">
        <v>49</v>
      </c>
      <c r="AU1232" s="6" t="s">
        <v>49</v>
      </c>
      <c r="AV1232" s="6" t="s">
        <v>49</v>
      </c>
      <c r="AW1232" s="30" t="s">
        <v>49</v>
      </c>
    </row>
    <row r="1233" spans="1:49">
      <c r="A1233" s="1">
        <v>24</v>
      </c>
      <c r="B1233" s="1" t="s">
        <v>38</v>
      </c>
      <c r="C1233" s="1" t="s">
        <v>38</v>
      </c>
      <c r="D1233" s="1" t="s">
        <v>448</v>
      </c>
      <c r="E1233" s="1" t="s">
        <v>40</v>
      </c>
      <c r="F1233" s="1">
        <v>2009</v>
      </c>
      <c r="G1233" s="1" t="s">
        <v>110</v>
      </c>
      <c r="H1233" s="3" t="s">
        <v>449</v>
      </c>
      <c r="I1233" s="3" t="s">
        <v>450</v>
      </c>
      <c r="J1233" s="1" t="s">
        <v>451</v>
      </c>
      <c r="K1233" s="1" t="s">
        <v>114</v>
      </c>
      <c r="L1233" s="33" t="s">
        <v>46</v>
      </c>
      <c r="M1233" s="1" t="s">
        <v>12</v>
      </c>
      <c r="N1233" s="1" t="s">
        <v>76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117</v>
      </c>
      <c r="T1233" s="1" t="s">
        <v>117</v>
      </c>
      <c r="U1233" s="1" t="s">
        <v>251</v>
      </c>
      <c r="V1233" s="1" t="s">
        <v>452</v>
      </c>
      <c r="W1233" s="1">
        <v>37.049999999999997</v>
      </c>
      <c r="X1233" s="1">
        <v>-3.28</v>
      </c>
      <c r="Y1233" s="1" t="s">
        <v>121</v>
      </c>
      <c r="Z1233" s="1" t="s">
        <v>49</v>
      </c>
      <c r="AA1233" s="6" t="s">
        <v>49</v>
      </c>
      <c r="AB1233" s="6" t="s">
        <v>49</v>
      </c>
      <c r="AC1233" s="6" t="s">
        <v>49</v>
      </c>
      <c r="AD1233" s="1" t="s">
        <v>458</v>
      </c>
      <c r="AE1233" s="1" t="s">
        <v>65</v>
      </c>
      <c r="AF1233" s="6" t="s">
        <v>49</v>
      </c>
      <c r="AG1233" s="6" t="s">
        <v>49</v>
      </c>
      <c r="AH1233" s="1" t="s">
        <v>435</v>
      </c>
      <c r="AI1233" s="1" t="s">
        <v>55</v>
      </c>
      <c r="AJ1233" s="20" t="s">
        <v>49</v>
      </c>
      <c r="AK1233" s="20" t="s">
        <v>49</v>
      </c>
      <c r="AL1233" s="20" t="s">
        <v>49</v>
      </c>
      <c r="AM1233" s="20" t="s">
        <v>49</v>
      </c>
      <c r="AN1233" s="1" t="s">
        <v>49</v>
      </c>
      <c r="AO1233" s="1" t="s">
        <v>49</v>
      </c>
      <c r="AP1233" s="6">
        <v>1</v>
      </c>
      <c r="AQ1233" s="6">
        <v>-9.5000000000000001E-2</v>
      </c>
      <c r="AR1233" s="6" t="s">
        <v>49</v>
      </c>
      <c r="AS1233" s="6" t="s">
        <v>49</v>
      </c>
      <c r="AT1233" s="6" t="s">
        <v>49</v>
      </c>
      <c r="AU1233" s="6" t="s">
        <v>49</v>
      </c>
      <c r="AV1233" s="6" t="s">
        <v>49</v>
      </c>
      <c r="AW1233" s="30" t="s">
        <v>49</v>
      </c>
    </row>
    <row r="1234" spans="1:49">
      <c r="A1234" s="1">
        <v>24</v>
      </c>
      <c r="B1234" s="1" t="s">
        <v>38</v>
      </c>
      <c r="C1234" s="1" t="s">
        <v>38</v>
      </c>
      <c r="D1234" s="1" t="s">
        <v>448</v>
      </c>
      <c r="E1234" s="1" t="s">
        <v>40</v>
      </c>
      <c r="F1234" s="1">
        <v>2009</v>
      </c>
      <c r="G1234" s="1" t="s">
        <v>110</v>
      </c>
      <c r="H1234" s="3" t="s">
        <v>449</v>
      </c>
      <c r="I1234" s="3" t="s">
        <v>450</v>
      </c>
      <c r="J1234" s="1" t="s">
        <v>451</v>
      </c>
      <c r="K1234" s="1" t="s">
        <v>114</v>
      </c>
      <c r="L1234" s="33" t="s">
        <v>46</v>
      </c>
      <c r="M1234" s="1" t="s">
        <v>12</v>
      </c>
      <c r="N1234" s="1" t="s">
        <v>76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117</v>
      </c>
      <c r="T1234" s="1" t="s">
        <v>117</v>
      </c>
      <c r="U1234" s="1" t="s">
        <v>251</v>
      </c>
      <c r="V1234" s="1" t="s">
        <v>452</v>
      </c>
      <c r="W1234" s="1">
        <v>37.049999999999997</v>
      </c>
      <c r="X1234" s="1">
        <v>-3.28</v>
      </c>
      <c r="Y1234" s="1" t="s">
        <v>121</v>
      </c>
      <c r="Z1234" s="1" t="s">
        <v>49</v>
      </c>
      <c r="AA1234" s="6" t="s">
        <v>49</v>
      </c>
      <c r="AB1234" s="6" t="s">
        <v>49</v>
      </c>
      <c r="AC1234" s="6" t="s">
        <v>49</v>
      </c>
      <c r="AD1234" s="1" t="s">
        <v>456</v>
      </c>
      <c r="AE1234" s="1" t="s">
        <v>454</v>
      </c>
      <c r="AF1234" s="6" t="s">
        <v>49</v>
      </c>
      <c r="AG1234" s="6" t="s">
        <v>49</v>
      </c>
      <c r="AH1234" s="1" t="s">
        <v>435</v>
      </c>
      <c r="AI1234" s="1" t="s">
        <v>55</v>
      </c>
      <c r="AJ1234" s="20" t="s">
        <v>49</v>
      </c>
      <c r="AK1234" s="20" t="s">
        <v>49</v>
      </c>
      <c r="AL1234" s="20" t="s">
        <v>49</v>
      </c>
      <c r="AM1234" s="20" t="s">
        <v>49</v>
      </c>
      <c r="AN1234" s="1" t="s">
        <v>49</v>
      </c>
      <c r="AO1234" s="1" t="s">
        <v>49</v>
      </c>
      <c r="AP1234" s="6">
        <v>1</v>
      </c>
      <c r="AQ1234" s="6">
        <v>0.255</v>
      </c>
      <c r="AR1234" s="6" t="s">
        <v>49</v>
      </c>
      <c r="AS1234" s="6" t="s">
        <v>49</v>
      </c>
      <c r="AT1234" s="6" t="s">
        <v>49</v>
      </c>
      <c r="AU1234" s="6" t="s">
        <v>49</v>
      </c>
      <c r="AV1234" s="6" t="s">
        <v>49</v>
      </c>
      <c r="AW1234" s="30" t="s">
        <v>49</v>
      </c>
    </row>
    <row r="1235" spans="1:49">
      <c r="A1235" s="1">
        <v>24</v>
      </c>
      <c r="B1235" s="1" t="s">
        <v>38</v>
      </c>
      <c r="C1235" s="1" t="s">
        <v>38</v>
      </c>
      <c r="D1235" s="1" t="s">
        <v>448</v>
      </c>
      <c r="E1235" s="1" t="s">
        <v>40</v>
      </c>
      <c r="F1235" s="1">
        <v>2009</v>
      </c>
      <c r="G1235" s="1" t="s">
        <v>110</v>
      </c>
      <c r="H1235" s="3" t="s">
        <v>449</v>
      </c>
      <c r="I1235" s="3" t="s">
        <v>450</v>
      </c>
      <c r="J1235" s="1" t="s">
        <v>451</v>
      </c>
      <c r="K1235" s="1" t="s">
        <v>114</v>
      </c>
      <c r="L1235" s="33" t="s">
        <v>46</v>
      </c>
      <c r="M1235" s="1" t="s">
        <v>12</v>
      </c>
      <c r="N1235" s="1" t="s">
        <v>76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117</v>
      </c>
      <c r="T1235" s="1" t="s">
        <v>117</v>
      </c>
      <c r="U1235" s="1" t="s">
        <v>251</v>
      </c>
      <c r="V1235" s="1" t="s">
        <v>452</v>
      </c>
      <c r="W1235" s="1">
        <v>37.049999999999997</v>
      </c>
      <c r="X1235" s="1">
        <v>-3.28</v>
      </c>
      <c r="Y1235" s="1" t="s">
        <v>121</v>
      </c>
      <c r="Z1235" s="1" t="s">
        <v>49</v>
      </c>
      <c r="AA1235" s="6" t="s">
        <v>49</v>
      </c>
      <c r="AB1235" s="6" t="s">
        <v>49</v>
      </c>
      <c r="AC1235" s="6" t="s">
        <v>49</v>
      </c>
      <c r="AD1235" s="1" t="s">
        <v>456</v>
      </c>
      <c r="AE1235" s="1" t="s">
        <v>52</v>
      </c>
      <c r="AF1235" s="6" t="s">
        <v>49</v>
      </c>
      <c r="AG1235" s="6" t="s">
        <v>49</v>
      </c>
      <c r="AH1235" s="1" t="s">
        <v>435</v>
      </c>
      <c r="AI1235" s="1" t="s">
        <v>55</v>
      </c>
      <c r="AJ1235" s="20" t="s">
        <v>49</v>
      </c>
      <c r="AK1235" s="20" t="s">
        <v>49</v>
      </c>
      <c r="AL1235" s="20" t="s">
        <v>49</v>
      </c>
      <c r="AM1235" s="20" t="s">
        <v>49</v>
      </c>
      <c r="AN1235" s="1" t="s">
        <v>49</v>
      </c>
      <c r="AO1235" s="1" t="s">
        <v>49</v>
      </c>
      <c r="AP1235" s="6">
        <v>1</v>
      </c>
      <c r="AQ1235" s="6">
        <v>0.311</v>
      </c>
      <c r="AR1235" s="6" t="s">
        <v>49</v>
      </c>
      <c r="AS1235" s="6" t="s">
        <v>49</v>
      </c>
      <c r="AT1235" s="6" t="s">
        <v>49</v>
      </c>
      <c r="AU1235" s="6" t="s">
        <v>49</v>
      </c>
      <c r="AV1235" s="6" t="s">
        <v>49</v>
      </c>
      <c r="AW1235" s="30" t="s">
        <v>49</v>
      </c>
    </row>
    <row r="1236" spans="1:49">
      <c r="A1236" s="1">
        <v>24</v>
      </c>
      <c r="B1236" s="1" t="s">
        <v>38</v>
      </c>
      <c r="C1236" s="1" t="s">
        <v>38</v>
      </c>
      <c r="D1236" s="1" t="s">
        <v>448</v>
      </c>
      <c r="E1236" s="1" t="s">
        <v>40</v>
      </c>
      <c r="F1236" s="1">
        <v>2009</v>
      </c>
      <c r="G1236" s="1" t="s">
        <v>110</v>
      </c>
      <c r="H1236" s="3" t="s">
        <v>449</v>
      </c>
      <c r="I1236" s="3" t="s">
        <v>450</v>
      </c>
      <c r="J1236" s="1" t="s">
        <v>451</v>
      </c>
      <c r="K1236" s="1" t="s">
        <v>114</v>
      </c>
      <c r="L1236" s="33" t="s">
        <v>46</v>
      </c>
      <c r="M1236" s="1" t="s">
        <v>12</v>
      </c>
      <c r="N1236" s="1" t="s">
        <v>76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117</v>
      </c>
      <c r="T1236" s="1" t="s">
        <v>117</v>
      </c>
      <c r="U1236" s="1" t="s">
        <v>251</v>
      </c>
      <c r="V1236" s="1" t="s">
        <v>452</v>
      </c>
      <c r="W1236" s="1">
        <v>37.049999999999997</v>
      </c>
      <c r="X1236" s="1">
        <v>-3.28</v>
      </c>
      <c r="Y1236" s="1" t="s">
        <v>121</v>
      </c>
      <c r="Z1236" s="1" t="s">
        <v>49</v>
      </c>
      <c r="AA1236" s="6" t="s">
        <v>49</v>
      </c>
      <c r="AB1236" s="6" t="s">
        <v>49</v>
      </c>
      <c r="AC1236" s="6" t="s">
        <v>49</v>
      </c>
      <c r="AD1236" s="1" t="s">
        <v>456</v>
      </c>
      <c r="AE1236" s="1" t="s">
        <v>405</v>
      </c>
      <c r="AF1236" s="6" t="s">
        <v>49</v>
      </c>
      <c r="AG1236" s="6" t="s">
        <v>49</v>
      </c>
      <c r="AH1236" s="1" t="s">
        <v>435</v>
      </c>
      <c r="AI1236" s="1" t="s">
        <v>55</v>
      </c>
      <c r="AJ1236" s="20" t="s">
        <v>49</v>
      </c>
      <c r="AK1236" s="20" t="s">
        <v>49</v>
      </c>
      <c r="AL1236" s="20" t="s">
        <v>49</v>
      </c>
      <c r="AM1236" s="20" t="s">
        <v>49</v>
      </c>
      <c r="AN1236" s="1" t="s">
        <v>49</v>
      </c>
      <c r="AO1236" s="1" t="s">
        <v>49</v>
      </c>
      <c r="AP1236" s="6">
        <v>1</v>
      </c>
      <c r="AQ1236" s="6">
        <v>7.8E-2</v>
      </c>
      <c r="AR1236" s="6" t="s">
        <v>49</v>
      </c>
      <c r="AS1236" s="6" t="s">
        <v>49</v>
      </c>
      <c r="AT1236" s="6" t="s">
        <v>49</v>
      </c>
      <c r="AU1236" s="6" t="s">
        <v>49</v>
      </c>
      <c r="AV1236" s="6" t="s">
        <v>49</v>
      </c>
      <c r="AW1236" s="30" t="s">
        <v>49</v>
      </c>
    </row>
    <row r="1237" spans="1:49">
      <c r="A1237" s="1">
        <v>24</v>
      </c>
      <c r="B1237" s="1" t="s">
        <v>38</v>
      </c>
      <c r="C1237" s="1" t="s">
        <v>38</v>
      </c>
      <c r="D1237" s="1" t="s">
        <v>448</v>
      </c>
      <c r="E1237" s="1" t="s">
        <v>40</v>
      </c>
      <c r="F1237" s="1">
        <v>2009</v>
      </c>
      <c r="G1237" s="1" t="s">
        <v>110</v>
      </c>
      <c r="H1237" s="3" t="s">
        <v>449</v>
      </c>
      <c r="I1237" s="3" t="s">
        <v>450</v>
      </c>
      <c r="J1237" s="1" t="s">
        <v>451</v>
      </c>
      <c r="K1237" s="1" t="s">
        <v>114</v>
      </c>
      <c r="L1237" s="33" t="s">
        <v>46</v>
      </c>
      <c r="M1237" s="1" t="s">
        <v>12</v>
      </c>
      <c r="N1237" s="1" t="s">
        <v>76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117</v>
      </c>
      <c r="T1237" s="1" t="s">
        <v>117</v>
      </c>
      <c r="U1237" s="1" t="s">
        <v>251</v>
      </c>
      <c r="V1237" s="1" t="s">
        <v>452</v>
      </c>
      <c r="W1237" s="1">
        <v>37.049999999999997</v>
      </c>
      <c r="X1237" s="1">
        <v>-3.28</v>
      </c>
      <c r="Y1237" s="1" t="s">
        <v>121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456</v>
      </c>
      <c r="AE1237" s="1" t="s">
        <v>63</v>
      </c>
      <c r="AF1237" s="6" t="s">
        <v>49</v>
      </c>
      <c r="AG1237" s="6" t="s">
        <v>49</v>
      </c>
      <c r="AH1237" s="1" t="s">
        <v>435</v>
      </c>
      <c r="AI1237" s="1" t="s">
        <v>55</v>
      </c>
      <c r="AJ1237" s="20" t="s">
        <v>49</v>
      </c>
      <c r="AK1237" s="20" t="s">
        <v>49</v>
      </c>
      <c r="AL1237" s="20" t="s">
        <v>49</v>
      </c>
      <c r="AM1237" s="20" t="s">
        <v>49</v>
      </c>
      <c r="AN1237" s="1" t="s">
        <v>49</v>
      </c>
      <c r="AO1237" s="1" t="s">
        <v>49</v>
      </c>
      <c r="AP1237" s="6">
        <v>1</v>
      </c>
      <c r="AQ1237" s="6">
        <v>3.6999999999999998E-2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6" t="s">
        <v>49</v>
      </c>
      <c r="AW1237" s="30" t="s">
        <v>49</v>
      </c>
    </row>
    <row r="1238" spans="1:49">
      <c r="A1238" s="1">
        <v>24</v>
      </c>
      <c r="B1238" s="1" t="s">
        <v>38</v>
      </c>
      <c r="C1238" s="1" t="s">
        <v>38</v>
      </c>
      <c r="D1238" s="1" t="s">
        <v>448</v>
      </c>
      <c r="E1238" s="1" t="s">
        <v>40</v>
      </c>
      <c r="F1238" s="1">
        <v>2009</v>
      </c>
      <c r="G1238" s="1" t="s">
        <v>110</v>
      </c>
      <c r="H1238" s="3" t="s">
        <v>449</v>
      </c>
      <c r="I1238" s="3" t="s">
        <v>450</v>
      </c>
      <c r="J1238" s="1" t="s">
        <v>451</v>
      </c>
      <c r="K1238" s="1" t="s">
        <v>114</v>
      </c>
      <c r="L1238" s="33" t="s">
        <v>46</v>
      </c>
      <c r="M1238" s="1" t="s">
        <v>12</v>
      </c>
      <c r="N1238" s="1" t="s">
        <v>76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117</v>
      </c>
      <c r="T1238" s="1" t="s">
        <v>117</v>
      </c>
      <c r="U1238" s="1" t="s">
        <v>251</v>
      </c>
      <c r="V1238" s="1" t="s">
        <v>452</v>
      </c>
      <c r="W1238" s="1">
        <v>37.049999999999997</v>
      </c>
      <c r="X1238" s="1">
        <v>-3.28</v>
      </c>
      <c r="Y1238" s="1" t="s">
        <v>121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456</v>
      </c>
      <c r="AE1238" s="1" t="s">
        <v>65</v>
      </c>
      <c r="AF1238" s="6" t="s">
        <v>49</v>
      </c>
      <c r="AG1238" s="6" t="s">
        <v>49</v>
      </c>
      <c r="AH1238" s="1" t="s">
        <v>435</v>
      </c>
      <c r="AI1238" s="1" t="s">
        <v>55</v>
      </c>
      <c r="AJ1238" s="20" t="s">
        <v>49</v>
      </c>
      <c r="AK1238" s="20" t="s">
        <v>49</v>
      </c>
      <c r="AL1238" s="20" t="s">
        <v>49</v>
      </c>
      <c r="AM1238" s="20" t="s">
        <v>49</v>
      </c>
      <c r="AN1238" s="1" t="s">
        <v>49</v>
      </c>
      <c r="AO1238" s="1" t="s">
        <v>49</v>
      </c>
      <c r="AP1238" s="6">
        <v>1</v>
      </c>
      <c r="AQ1238" s="6">
        <v>-2.9000000000000001E-2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6" t="s">
        <v>49</v>
      </c>
      <c r="AW1238" s="30" t="s">
        <v>49</v>
      </c>
    </row>
    <row r="1239" spans="1:49">
      <c r="A1239" s="1">
        <v>24</v>
      </c>
      <c r="B1239" s="1" t="s">
        <v>38</v>
      </c>
      <c r="C1239" s="1" t="s">
        <v>38</v>
      </c>
      <c r="D1239" s="1" t="s">
        <v>448</v>
      </c>
      <c r="E1239" s="1" t="s">
        <v>40</v>
      </c>
      <c r="F1239" s="1">
        <v>2009</v>
      </c>
      <c r="G1239" s="1" t="s">
        <v>110</v>
      </c>
      <c r="H1239" s="3" t="s">
        <v>449</v>
      </c>
      <c r="I1239" s="3" t="s">
        <v>450</v>
      </c>
      <c r="J1239" s="1" t="s">
        <v>451</v>
      </c>
      <c r="K1239" s="1" t="s">
        <v>114</v>
      </c>
      <c r="L1239" s="33" t="s">
        <v>46</v>
      </c>
      <c r="M1239" s="1" t="s">
        <v>12</v>
      </c>
      <c r="N1239" s="1" t="s">
        <v>76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117</v>
      </c>
      <c r="T1239" s="1" t="s">
        <v>117</v>
      </c>
      <c r="U1239" s="1" t="s">
        <v>251</v>
      </c>
      <c r="V1239" s="1" t="s">
        <v>452</v>
      </c>
      <c r="W1239" s="1">
        <v>37.049999999999997</v>
      </c>
      <c r="X1239" s="1">
        <v>-3.28</v>
      </c>
      <c r="Y1239" s="1" t="s">
        <v>121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454</v>
      </c>
      <c r="AE1239" s="1" t="s">
        <v>52</v>
      </c>
      <c r="AF1239" s="6" t="s">
        <v>49</v>
      </c>
      <c r="AG1239" s="6" t="s">
        <v>49</v>
      </c>
      <c r="AH1239" s="1" t="s">
        <v>435</v>
      </c>
      <c r="AI1239" s="1" t="s">
        <v>55</v>
      </c>
      <c r="AJ1239" s="20" t="s">
        <v>49</v>
      </c>
      <c r="AK1239" s="20" t="s">
        <v>49</v>
      </c>
      <c r="AL1239" s="20" t="s">
        <v>49</v>
      </c>
      <c r="AM1239" s="20" t="s">
        <v>49</v>
      </c>
      <c r="AN1239" s="1" t="s">
        <v>49</v>
      </c>
      <c r="AO1239" s="1" t="s">
        <v>49</v>
      </c>
      <c r="AP1239" s="6">
        <v>1</v>
      </c>
      <c r="AQ1239" s="6">
        <v>0.45800000000000002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6" t="s">
        <v>49</v>
      </c>
      <c r="AW1239" s="30" t="s">
        <v>49</v>
      </c>
    </row>
    <row r="1240" spans="1:49">
      <c r="A1240" s="1">
        <v>24</v>
      </c>
      <c r="B1240" s="1" t="s">
        <v>38</v>
      </c>
      <c r="C1240" s="1" t="s">
        <v>38</v>
      </c>
      <c r="D1240" s="1" t="s">
        <v>448</v>
      </c>
      <c r="E1240" s="1" t="s">
        <v>40</v>
      </c>
      <c r="F1240" s="1">
        <v>2009</v>
      </c>
      <c r="G1240" s="1" t="s">
        <v>110</v>
      </c>
      <c r="H1240" s="3" t="s">
        <v>449</v>
      </c>
      <c r="I1240" s="3" t="s">
        <v>450</v>
      </c>
      <c r="J1240" s="1" t="s">
        <v>451</v>
      </c>
      <c r="K1240" s="1" t="s">
        <v>114</v>
      </c>
      <c r="L1240" s="33" t="s">
        <v>46</v>
      </c>
      <c r="M1240" s="1" t="s">
        <v>12</v>
      </c>
      <c r="N1240" s="1" t="s">
        <v>76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117</v>
      </c>
      <c r="T1240" s="1" t="s">
        <v>117</v>
      </c>
      <c r="U1240" s="1" t="s">
        <v>251</v>
      </c>
      <c r="V1240" s="1" t="s">
        <v>452</v>
      </c>
      <c r="W1240" s="1">
        <v>37.049999999999997</v>
      </c>
      <c r="X1240" s="1">
        <v>-3.28</v>
      </c>
      <c r="Y1240" s="1" t="s">
        <v>121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454</v>
      </c>
      <c r="AE1240" s="1" t="s">
        <v>405</v>
      </c>
      <c r="AF1240" s="6" t="s">
        <v>49</v>
      </c>
      <c r="AG1240" s="6" t="s">
        <v>49</v>
      </c>
      <c r="AH1240" s="1" t="s">
        <v>435</v>
      </c>
      <c r="AI1240" s="1" t="s">
        <v>55</v>
      </c>
      <c r="AJ1240" s="20" t="s">
        <v>49</v>
      </c>
      <c r="AK1240" s="20" t="s">
        <v>49</v>
      </c>
      <c r="AL1240" s="20" t="s">
        <v>49</v>
      </c>
      <c r="AM1240" s="20" t="s">
        <v>49</v>
      </c>
      <c r="AN1240" s="1" t="s">
        <v>49</v>
      </c>
      <c r="AO1240" s="1" t="s">
        <v>49</v>
      </c>
      <c r="AP1240" s="6">
        <v>1</v>
      </c>
      <c r="AQ1240" s="6">
        <v>0.122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6" t="s">
        <v>49</v>
      </c>
      <c r="AW1240" s="30" t="s">
        <v>49</v>
      </c>
    </row>
    <row r="1241" spans="1:49">
      <c r="A1241" s="1">
        <v>24</v>
      </c>
      <c r="B1241" s="1" t="s">
        <v>38</v>
      </c>
      <c r="C1241" s="1" t="s">
        <v>38</v>
      </c>
      <c r="D1241" s="1" t="s">
        <v>448</v>
      </c>
      <c r="E1241" s="1" t="s">
        <v>40</v>
      </c>
      <c r="F1241" s="1">
        <v>2009</v>
      </c>
      <c r="G1241" s="1" t="s">
        <v>110</v>
      </c>
      <c r="H1241" s="3" t="s">
        <v>449</v>
      </c>
      <c r="I1241" s="3" t="s">
        <v>450</v>
      </c>
      <c r="J1241" s="1" t="s">
        <v>451</v>
      </c>
      <c r="K1241" s="1" t="s">
        <v>114</v>
      </c>
      <c r="L1241" s="33" t="s">
        <v>46</v>
      </c>
      <c r="M1241" s="1" t="s">
        <v>12</v>
      </c>
      <c r="N1241" s="1" t="s">
        <v>76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117</v>
      </c>
      <c r="T1241" s="1" t="s">
        <v>117</v>
      </c>
      <c r="U1241" s="1" t="s">
        <v>251</v>
      </c>
      <c r="V1241" s="1" t="s">
        <v>452</v>
      </c>
      <c r="W1241" s="1">
        <v>37.049999999999997</v>
      </c>
      <c r="X1241" s="1">
        <v>-3.28</v>
      </c>
      <c r="Y1241" s="1" t="s">
        <v>121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454</v>
      </c>
      <c r="AE1241" s="1" t="s">
        <v>63</v>
      </c>
      <c r="AF1241" s="6" t="s">
        <v>49</v>
      </c>
      <c r="AG1241" s="6" t="s">
        <v>49</v>
      </c>
      <c r="AH1241" s="1" t="s">
        <v>435</v>
      </c>
      <c r="AI1241" s="1" t="s">
        <v>55</v>
      </c>
      <c r="AJ1241" s="20" t="s">
        <v>49</v>
      </c>
      <c r="AK1241" s="20" t="s">
        <v>49</v>
      </c>
      <c r="AL1241" s="20" t="s">
        <v>49</v>
      </c>
      <c r="AM1241" s="20" t="s">
        <v>49</v>
      </c>
      <c r="AN1241" s="1" t="s">
        <v>49</v>
      </c>
      <c r="AO1241" s="1" t="s">
        <v>49</v>
      </c>
      <c r="AP1241" s="6">
        <v>1</v>
      </c>
      <c r="AQ1241" s="6">
        <v>-2.1000000000000001E-2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6" t="s">
        <v>49</v>
      </c>
      <c r="AW1241" s="30" t="s">
        <v>49</v>
      </c>
    </row>
    <row r="1242" spans="1:49">
      <c r="A1242" s="1">
        <v>24</v>
      </c>
      <c r="B1242" s="1" t="s">
        <v>38</v>
      </c>
      <c r="C1242" s="1" t="s">
        <v>38</v>
      </c>
      <c r="D1242" s="1" t="s">
        <v>448</v>
      </c>
      <c r="E1242" s="1" t="s">
        <v>40</v>
      </c>
      <c r="F1242" s="1">
        <v>2009</v>
      </c>
      <c r="G1242" s="1" t="s">
        <v>110</v>
      </c>
      <c r="H1242" s="3" t="s">
        <v>449</v>
      </c>
      <c r="I1242" s="3" t="s">
        <v>450</v>
      </c>
      <c r="J1242" s="1" t="s">
        <v>451</v>
      </c>
      <c r="K1242" s="1" t="s">
        <v>114</v>
      </c>
      <c r="L1242" s="33" t="s">
        <v>46</v>
      </c>
      <c r="M1242" s="1" t="s">
        <v>12</v>
      </c>
      <c r="N1242" s="1" t="s">
        <v>76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117</v>
      </c>
      <c r="T1242" s="1" t="s">
        <v>117</v>
      </c>
      <c r="U1242" s="1" t="s">
        <v>251</v>
      </c>
      <c r="V1242" s="1" t="s">
        <v>452</v>
      </c>
      <c r="W1242" s="1">
        <v>37.049999999999997</v>
      </c>
      <c r="X1242" s="1">
        <v>-3.28</v>
      </c>
      <c r="Y1242" s="1" t="s">
        <v>121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454</v>
      </c>
      <c r="AE1242" s="1" t="s">
        <v>65</v>
      </c>
      <c r="AF1242" s="6" t="s">
        <v>49</v>
      </c>
      <c r="AG1242" s="6" t="s">
        <v>49</v>
      </c>
      <c r="AH1242" s="1" t="s">
        <v>435</v>
      </c>
      <c r="AI1242" s="1" t="s">
        <v>55</v>
      </c>
      <c r="AJ1242" s="20" t="s">
        <v>49</v>
      </c>
      <c r="AK1242" s="20" t="s">
        <v>49</v>
      </c>
      <c r="AL1242" s="20" t="s">
        <v>49</v>
      </c>
      <c r="AM1242" s="20" t="s">
        <v>49</v>
      </c>
      <c r="AN1242" s="1" t="s">
        <v>49</v>
      </c>
      <c r="AO1242" s="1" t="s">
        <v>49</v>
      </c>
      <c r="AP1242" s="6">
        <v>1</v>
      </c>
      <c r="AQ1242" s="6">
        <v>-0.06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6" t="s">
        <v>49</v>
      </c>
      <c r="AW1242" s="30" t="s">
        <v>49</v>
      </c>
    </row>
    <row r="1243" spans="1:49">
      <c r="A1243" s="1">
        <v>24</v>
      </c>
      <c r="B1243" s="1" t="s">
        <v>38</v>
      </c>
      <c r="C1243" s="1" t="s">
        <v>38</v>
      </c>
      <c r="D1243" s="1" t="s">
        <v>448</v>
      </c>
      <c r="E1243" s="1" t="s">
        <v>40</v>
      </c>
      <c r="F1243" s="1">
        <v>2009</v>
      </c>
      <c r="G1243" s="1" t="s">
        <v>110</v>
      </c>
      <c r="H1243" s="3" t="s">
        <v>449</v>
      </c>
      <c r="I1243" s="3" t="s">
        <v>450</v>
      </c>
      <c r="J1243" s="1" t="s">
        <v>451</v>
      </c>
      <c r="K1243" s="1" t="s">
        <v>114</v>
      </c>
      <c r="L1243" s="33" t="s">
        <v>46</v>
      </c>
      <c r="M1243" s="1" t="s">
        <v>12</v>
      </c>
      <c r="N1243" s="1" t="s">
        <v>76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117</v>
      </c>
      <c r="T1243" s="1" t="s">
        <v>117</v>
      </c>
      <c r="U1243" s="1" t="s">
        <v>251</v>
      </c>
      <c r="V1243" s="1" t="s">
        <v>452</v>
      </c>
      <c r="W1243" s="1">
        <v>37.049999999999997</v>
      </c>
      <c r="X1243" s="1">
        <v>-3.28</v>
      </c>
      <c r="Y1243" s="1" t="s">
        <v>121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52</v>
      </c>
      <c r="AE1243" s="1" t="s">
        <v>405</v>
      </c>
      <c r="AF1243" s="6" t="s">
        <v>49</v>
      </c>
      <c r="AG1243" s="6" t="s">
        <v>49</v>
      </c>
      <c r="AH1243" s="1" t="s">
        <v>435</v>
      </c>
      <c r="AI1243" s="1" t="s">
        <v>55</v>
      </c>
      <c r="AJ1243" s="20" t="s">
        <v>49</v>
      </c>
      <c r="AK1243" s="20" t="s">
        <v>49</v>
      </c>
      <c r="AL1243" s="20" t="s">
        <v>49</v>
      </c>
      <c r="AM1243" s="20" t="s">
        <v>49</v>
      </c>
      <c r="AN1243" s="1" t="s">
        <v>49</v>
      </c>
      <c r="AO1243" s="1" t="s">
        <v>49</v>
      </c>
      <c r="AP1243" s="6">
        <v>1</v>
      </c>
      <c r="AQ1243" s="6">
        <v>0.115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6" t="s">
        <v>49</v>
      </c>
      <c r="AW1243" s="30" t="s">
        <v>49</v>
      </c>
    </row>
    <row r="1244" spans="1:49">
      <c r="A1244" s="1">
        <v>24</v>
      </c>
      <c r="B1244" s="1" t="s">
        <v>38</v>
      </c>
      <c r="C1244" s="1" t="s">
        <v>38</v>
      </c>
      <c r="D1244" s="1" t="s">
        <v>448</v>
      </c>
      <c r="E1244" s="1" t="s">
        <v>40</v>
      </c>
      <c r="F1244" s="1">
        <v>2009</v>
      </c>
      <c r="G1244" s="1" t="s">
        <v>110</v>
      </c>
      <c r="H1244" s="3" t="s">
        <v>449</v>
      </c>
      <c r="I1244" s="3" t="s">
        <v>450</v>
      </c>
      <c r="J1244" s="1" t="s">
        <v>451</v>
      </c>
      <c r="K1244" s="1" t="s">
        <v>114</v>
      </c>
      <c r="L1244" s="33" t="s">
        <v>46</v>
      </c>
      <c r="M1244" s="1" t="s">
        <v>12</v>
      </c>
      <c r="N1244" s="1" t="s">
        <v>76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117</v>
      </c>
      <c r="T1244" s="1" t="s">
        <v>117</v>
      </c>
      <c r="U1244" s="1" t="s">
        <v>251</v>
      </c>
      <c r="V1244" s="1" t="s">
        <v>452</v>
      </c>
      <c r="W1244" s="1">
        <v>37.049999999999997</v>
      </c>
      <c r="X1244" s="1">
        <v>-3.28</v>
      </c>
      <c r="Y1244" s="1" t="s">
        <v>121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52</v>
      </c>
      <c r="AE1244" s="1" t="s">
        <v>63</v>
      </c>
      <c r="AF1244" s="6" t="s">
        <v>49</v>
      </c>
      <c r="AG1244" s="6" t="s">
        <v>49</v>
      </c>
      <c r="AH1244" s="1" t="s">
        <v>435</v>
      </c>
      <c r="AI1244" s="1" t="s">
        <v>55</v>
      </c>
      <c r="AJ1244" s="20" t="s">
        <v>49</v>
      </c>
      <c r="AK1244" s="20" t="s">
        <v>49</v>
      </c>
      <c r="AL1244" s="20" t="s">
        <v>49</v>
      </c>
      <c r="AM1244" s="20" t="s">
        <v>49</v>
      </c>
      <c r="AN1244" s="1" t="s">
        <v>49</v>
      </c>
      <c r="AO1244" s="1" t="s">
        <v>49</v>
      </c>
      <c r="AP1244" s="6">
        <v>1</v>
      </c>
      <c r="AQ1244" s="6">
        <v>2.3E-2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6" t="s">
        <v>49</v>
      </c>
      <c r="AW1244" s="30" t="s">
        <v>49</v>
      </c>
    </row>
    <row r="1245" spans="1:49">
      <c r="A1245" s="1">
        <v>24</v>
      </c>
      <c r="B1245" s="1" t="s">
        <v>38</v>
      </c>
      <c r="C1245" s="1" t="s">
        <v>38</v>
      </c>
      <c r="D1245" s="1" t="s">
        <v>448</v>
      </c>
      <c r="E1245" s="1" t="s">
        <v>40</v>
      </c>
      <c r="F1245" s="1">
        <v>2009</v>
      </c>
      <c r="G1245" s="1" t="s">
        <v>110</v>
      </c>
      <c r="H1245" s="3" t="s">
        <v>449</v>
      </c>
      <c r="I1245" s="3" t="s">
        <v>450</v>
      </c>
      <c r="J1245" s="1" t="s">
        <v>451</v>
      </c>
      <c r="K1245" s="1" t="s">
        <v>114</v>
      </c>
      <c r="L1245" s="33" t="s">
        <v>46</v>
      </c>
      <c r="M1245" s="1" t="s">
        <v>12</v>
      </c>
      <c r="N1245" s="1" t="s">
        <v>76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117</v>
      </c>
      <c r="T1245" s="1" t="s">
        <v>117</v>
      </c>
      <c r="U1245" s="1" t="s">
        <v>251</v>
      </c>
      <c r="V1245" s="1" t="s">
        <v>452</v>
      </c>
      <c r="W1245" s="1">
        <v>37.049999999999997</v>
      </c>
      <c r="X1245" s="1">
        <v>-3.28</v>
      </c>
      <c r="Y1245" s="1" t="s">
        <v>121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52</v>
      </c>
      <c r="AE1245" s="1" t="s">
        <v>65</v>
      </c>
      <c r="AF1245" s="6" t="s">
        <v>49</v>
      </c>
      <c r="AG1245" s="6" t="s">
        <v>49</v>
      </c>
      <c r="AH1245" s="1" t="s">
        <v>435</v>
      </c>
      <c r="AI1245" s="1" t="s">
        <v>55</v>
      </c>
      <c r="AJ1245" s="20" t="s">
        <v>49</v>
      </c>
      <c r="AK1245" s="20" t="s">
        <v>49</v>
      </c>
      <c r="AL1245" s="20" t="s">
        <v>49</v>
      </c>
      <c r="AM1245" s="20" t="s">
        <v>49</v>
      </c>
      <c r="AN1245" s="1" t="s">
        <v>49</v>
      </c>
      <c r="AO1245" s="1" t="s">
        <v>49</v>
      </c>
      <c r="AP1245" s="6">
        <v>1</v>
      </c>
      <c r="AQ1245" s="6">
        <v>-1.6E-2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6" t="s">
        <v>49</v>
      </c>
      <c r="AW1245" s="30" t="s">
        <v>49</v>
      </c>
    </row>
    <row r="1246" spans="1:49">
      <c r="A1246" s="1">
        <v>24</v>
      </c>
      <c r="B1246" s="1" t="s">
        <v>38</v>
      </c>
      <c r="C1246" s="1" t="s">
        <v>38</v>
      </c>
      <c r="D1246" s="1" t="s">
        <v>448</v>
      </c>
      <c r="E1246" s="1" t="s">
        <v>40</v>
      </c>
      <c r="F1246" s="1">
        <v>2009</v>
      </c>
      <c r="G1246" s="1" t="s">
        <v>110</v>
      </c>
      <c r="H1246" s="3" t="s">
        <v>449</v>
      </c>
      <c r="I1246" s="3" t="s">
        <v>450</v>
      </c>
      <c r="J1246" s="1" t="s">
        <v>451</v>
      </c>
      <c r="K1246" s="1" t="s">
        <v>114</v>
      </c>
      <c r="L1246" s="33" t="s">
        <v>46</v>
      </c>
      <c r="M1246" s="1" t="s">
        <v>12</v>
      </c>
      <c r="N1246" s="1" t="s">
        <v>76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117</v>
      </c>
      <c r="T1246" s="1" t="s">
        <v>117</v>
      </c>
      <c r="U1246" s="1" t="s">
        <v>251</v>
      </c>
      <c r="V1246" s="1" t="s">
        <v>452</v>
      </c>
      <c r="W1246" s="1">
        <v>37.049999999999997</v>
      </c>
      <c r="X1246" s="1">
        <v>-3.28</v>
      </c>
      <c r="Y1246" s="1" t="s">
        <v>121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405</v>
      </c>
      <c r="AE1246" s="1" t="s">
        <v>63</v>
      </c>
      <c r="AF1246" s="6" t="s">
        <v>49</v>
      </c>
      <c r="AG1246" s="6" t="s">
        <v>49</v>
      </c>
      <c r="AH1246" s="1" t="s">
        <v>435</v>
      </c>
      <c r="AI1246" s="1" t="s">
        <v>55</v>
      </c>
      <c r="AJ1246" s="20" t="s">
        <v>49</v>
      </c>
      <c r="AK1246" s="20" t="s">
        <v>49</v>
      </c>
      <c r="AL1246" s="20" t="s">
        <v>49</v>
      </c>
      <c r="AM1246" s="20" t="s">
        <v>49</v>
      </c>
      <c r="AN1246" s="1" t="s">
        <v>49</v>
      </c>
      <c r="AO1246" s="1" t="s">
        <v>49</v>
      </c>
      <c r="AP1246" s="6">
        <v>1</v>
      </c>
      <c r="AQ1246" s="6">
        <v>0.54200000000000004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6" t="s">
        <v>49</v>
      </c>
      <c r="AW1246" s="30" t="s">
        <v>49</v>
      </c>
    </row>
    <row r="1247" spans="1:49">
      <c r="A1247" s="1">
        <v>24</v>
      </c>
      <c r="B1247" s="1" t="s">
        <v>38</v>
      </c>
      <c r="C1247" s="1" t="s">
        <v>38</v>
      </c>
      <c r="D1247" s="1" t="s">
        <v>448</v>
      </c>
      <c r="E1247" s="1" t="s">
        <v>40</v>
      </c>
      <c r="F1247" s="1">
        <v>2009</v>
      </c>
      <c r="G1247" s="1" t="s">
        <v>110</v>
      </c>
      <c r="H1247" s="3" t="s">
        <v>449</v>
      </c>
      <c r="I1247" s="3" t="s">
        <v>450</v>
      </c>
      <c r="J1247" s="1" t="s">
        <v>451</v>
      </c>
      <c r="K1247" s="1" t="s">
        <v>114</v>
      </c>
      <c r="L1247" s="33" t="s">
        <v>46</v>
      </c>
      <c r="M1247" s="1" t="s">
        <v>12</v>
      </c>
      <c r="N1247" s="1" t="s">
        <v>76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117</v>
      </c>
      <c r="T1247" s="1" t="s">
        <v>117</v>
      </c>
      <c r="U1247" s="1" t="s">
        <v>251</v>
      </c>
      <c r="V1247" s="1" t="s">
        <v>452</v>
      </c>
      <c r="W1247" s="1">
        <v>37.049999999999997</v>
      </c>
      <c r="X1247" s="1">
        <v>-3.28</v>
      </c>
      <c r="Y1247" s="1" t="s">
        <v>121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405</v>
      </c>
      <c r="AE1247" s="1" t="s">
        <v>65</v>
      </c>
      <c r="AF1247" s="6" t="s">
        <v>49</v>
      </c>
      <c r="AG1247" s="6" t="s">
        <v>49</v>
      </c>
      <c r="AH1247" s="1" t="s">
        <v>435</v>
      </c>
      <c r="AI1247" s="1" t="s">
        <v>55</v>
      </c>
      <c r="AJ1247" s="20" t="s">
        <v>49</v>
      </c>
      <c r="AK1247" s="20" t="s">
        <v>49</v>
      </c>
      <c r="AL1247" s="20" t="s">
        <v>49</v>
      </c>
      <c r="AM1247" s="20" t="s">
        <v>49</v>
      </c>
      <c r="AN1247" s="1" t="s">
        <v>49</v>
      </c>
      <c r="AO1247" s="1" t="s">
        <v>49</v>
      </c>
      <c r="AP1247" s="6">
        <v>1</v>
      </c>
      <c r="AQ1247" s="6">
        <v>0.23699999999999999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6" t="s">
        <v>49</v>
      </c>
      <c r="AW1247" s="30" t="s">
        <v>49</v>
      </c>
    </row>
    <row r="1248" spans="1:49">
      <c r="A1248" s="1">
        <v>24</v>
      </c>
      <c r="B1248" s="1" t="s">
        <v>38</v>
      </c>
      <c r="C1248" s="1" t="s">
        <v>38</v>
      </c>
      <c r="D1248" s="1" t="s">
        <v>448</v>
      </c>
      <c r="E1248" s="1" t="s">
        <v>40</v>
      </c>
      <c r="F1248" s="1">
        <v>2009</v>
      </c>
      <c r="G1248" s="1" t="s">
        <v>110</v>
      </c>
      <c r="H1248" s="3" t="s">
        <v>449</v>
      </c>
      <c r="I1248" s="3" t="s">
        <v>450</v>
      </c>
      <c r="J1248" s="1" t="s">
        <v>451</v>
      </c>
      <c r="K1248" s="1" t="s">
        <v>114</v>
      </c>
      <c r="L1248" s="33" t="s">
        <v>46</v>
      </c>
      <c r="M1248" s="1" t="s">
        <v>12</v>
      </c>
      <c r="N1248" s="1" t="s">
        <v>76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117</v>
      </c>
      <c r="T1248" s="1" t="s">
        <v>117</v>
      </c>
      <c r="U1248" s="1" t="s">
        <v>251</v>
      </c>
      <c r="V1248" s="1" t="s">
        <v>452</v>
      </c>
      <c r="W1248" s="1">
        <v>37.049999999999997</v>
      </c>
      <c r="X1248" s="1">
        <v>-3.28</v>
      </c>
      <c r="Y1248" s="1" t="s">
        <v>121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63</v>
      </c>
      <c r="AE1248" s="1" t="s">
        <v>65</v>
      </c>
      <c r="AF1248" s="6" t="s">
        <v>49</v>
      </c>
      <c r="AG1248" s="6" t="s">
        <v>49</v>
      </c>
      <c r="AH1248" s="1" t="s">
        <v>435</v>
      </c>
      <c r="AI1248" s="1" t="s">
        <v>55</v>
      </c>
      <c r="AJ1248" s="20" t="s">
        <v>49</v>
      </c>
      <c r="AK1248" s="20" t="s">
        <v>49</v>
      </c>
      <c r="AL1248" s="20" t="s">
        <v>49</v>
      </c>
      <c r="AM1248" s="20" t="s">
        <v>49</v>
      </c>
      <c r="AN1248" s="1" t="s">
        <v>49</v>
      </c>
      <c r="AO1248" s="1" t="s">
        <v>49</v>
      </c>
      <c r="AP1248" s="6">
        <v>1</v>
      </c>
      <c r="AQ1248" s="6">
        <v>0.48599999999999999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6" t="s">
        <v>49</v>
      </c>
      <c r="AW1248" s="30" t="s">
        <v>49</v>
      </c>
    </row>
    <row r="1249" spans="1:49" ht="14.4" customHeight="1">
      <c r="A1249" s="1">
        <v>31</v>
      </c>
      <c r="B1249" s="1" t="s">
        <v>38</v>
      </c>
      <c r="C1249" s="1" t="s">
        <v>38</v>
      </c>
      <c r="D1249" s="1" t="s">
        <v>459</v>
      </c>
      <c r="E1249" s="1" t="s">
        <v>460</v>
      </c>
      <c r="F1249" s="1">
        <v>2002</v>
      </c>
      <c r="G1249" s="1" t="s">
        <v>146</v>
      </c>
      <c r="H1249" s="3" t="s">
        <v>461</v>
      </c>
      <c r="I1249" s="3" t="s">
        <v>462</v>
      </c>
      <c r="J1249" s="1" t="s">
        <v>463</v>
      </c>
      <c r="K1249" s="1" t="s">
        <v>49</v>
      </c>
      <c r="L1249" s="3" t="s">
        <v>397</v>
      </c>
      <c r="M1249" s="1" t="s">
        <v>12</v>
      </c>
      <c r="N1249" s="1" t="s">
        <v>76</v>
      </c>
      <c r="O1249" s="1">
        <v>0.185</v>
      </c>
      <c r="P1249" s="1" t="s">
        <v>49</v>
      </c>
      <c r="Q1249" s="6">
        <v>0.185</v>
      </c>
      <c r="R1249" s="1">
        <v>0.5</v>
      </c>
      <c r="S1249" s="1" t="s">
        <v>49</v>
      </c>
      <c r="T1249" s="1" t="s">
        <v>49</v>
      </c>
      <c r="U1249" s="1" t="s">
        <v>464</v>
      </c>
      <c r="V1249" s="1" t="s">
        <v>465</v>
      </c>
      <c r="W1249" s="1" t="s">
        <v>49</v>
      </c>
      <c r="X1249" s="1" t="s">
        <v>49</v>
      </c>
      <c r="Y1249" s="1" t="s">
        <v>48</v>
      </c>
      <c r="Z1249" s="1" t="s">
        <v>49</v>
      </c>
      <c r="AA1249" s="1" t="s">
        <v>50</v>
      </c>
      <c r="AB1249" s="1" t="s">
        <v>51</v>
      </c>
      <c r="AC1249" s="1" t="s">
        <v>52</v>
      </c>
      <c r="AD1249" s="1" t="s">
        <v>467</v>
      </c>
      <c r="AE1249" s="1" t="s">
        <v>467</v>
      </c>
      <c r="AF1249" s="1" t="s">
        <v>53</v>
      </c>
      <c r="AG1249" s="1" t="s">
        <v>53</v>
      </c>
      <c r="AH1249" s="1" t="s">
        <v>199</v>
      </c>
      <c r="AI1249" s="1" t="s">
        <v>200</v>
      </c>
      <c r="AJ1249" s="1" t="s">
        <v>49</v>
      </c>
      <c r="AK1249" s="1" t="s">
        <v>49</v>
      </c>
      <c r="AL1249" s="4">
        <v>0.56200000000000006</v>
      </c>
      <c r="AM1249" s="1">
        <v>13.3</v>
      </c>
      <c r="AN1249" s="1">
        <v>4.68</v>
      </c>
      <c r="AO1249" s="1" t="s">
        <v>49</v>
      </c>
      <c r="AP1249" s="6">
        <v>1</v>
      </c>
      <c r="AQ1249" s="1" t="s">
        <v>49</v>
      </c>
      <c r="AR1249" s="6" t="s">
        <v>49</v>
      </c>
      <c r="AS1249" s="1">
        <v>2.63</v>
      </c>
      <c r="AT1249" s="4">
        <f t="shared" ref="AT1249:AT1254" si="105">AS1249/(AM1249^2)*100</f>
        <v>1.4867997060319971</v>
      </c>
      <c r="AU1249" s="5">
        <v>0</v>
      </c>
      <c r="AV1249" s="4">
        <f t="shared" ref="AV1249:AV1254" si="106">AT1249*(1-AL1249)/AL1249</f>
        <v>1.1587513723167517</v>
      </c>
      <c r="AW1249" s="1" t="s">
        <v>468</v>
      </c>
    </row>
    <row r="1250" spans="1:49" ht="14.4" customHeight="1">
      <c r="A1250" s="1">
        <v>31</v>
      </c>
      <c r="B1250" s="1" t="s">
        <v>38</v>
      </c>
      <c r="C1250" s="1" t="s">
        <v>38</v>
      </c>
      <c r="D1250" s="1" t="s">
        <v>459</v>
      </c>
      <c r="E1250" s="1" t="s">
        <v>460</v>
      </c>
      <c r="F1250" s="1">
        <v>2002</v>
      </c>
      <c r="G1250" s="1" t="s">
        <v>146</v>
      </c>
      <c r="H1250" s="3" t="s">
        <v>461</v>
      </c>
      <c r="I1250" s="3" t="s">
        <v>462</v>
      </c>
      <c r="J1250" s="1" t="s">
        <v>463</v>
      </c>
      <c r="K1250" s="1" t="s">
        <v>49</v>
      </c>
      <c r="L1250" s="3" t="s">
        <v>397</v>
      </c>
      <c r="M1250" s="1" t="s">
        <v>12</v>
      </c>
      <c r="N1250" s="1" t="s">
        <v>76</v>
      </c>
      <c r="O1250" s="1">
        <v>0.185</v>
      </c>
      <c r="P1250" s="1" t="s">
        <v>49</v>
      </c>
      <c r="Q1250" s="6">
        <v>0.185</v>
      </c>
      <c r="R1250" s="1">
        <v>0.5</v>
      </c>
      <c r="S1250" s="1" t="s">
        <v>49</v>
      </c>
      <c r="T1250" s="1" t="s">
        <v>49</v>
      </c>
      <c r="U1250" s="1" t="s">
        <v>464</v>
      </c>
      <c r="V1250" s="1" t="s">
        <v>465</v>
      </c>
      <c r="W1250" s="1" t="s">
        <v>49</v>
      </c>
      <c r="X1250" s="1" t="s">
        <v>49</v>
      </c>
      <c r="Y1250" s="1" t="s">
        <v>48</v>
      </c>
      <c r="Z1250" s="1" t="s">
        <v>49</v>
      </c>
      <c r="AA1250" s="1" t="s">
        <v>50</v>
      </c>
      <c r="AB1250" s="1" t="s">
        <v>66</v>
      </c>
      <c r="AC1250" s="1" t="s">
        <v>124</v>
      </c>
      <c r="AD1250" s="1" t="s">
        <v>126</v>
      </c>
      <c r="AE1250" s="1" t="s">
        <v>126</v>
      </c>
      <c r="AF1250" s="1" t="s">
        <v>60</v>
      </c>
      <c r="AG1250" s="1" t="s">
        <v>61</v>
      </c>
      <c r="AH1250" s="1" t="s">
        <v>199</v>
      </c>
      <c r="AI1250" s="1" t="s">
        <v>200</v>
      </c>
      <c r="AJ1250" s="1" t="s">
        <v>49</v>
      </c>
      <c r="AK1250" s="1" t="s">
        <v>49</v>
      </c>
      <c r="AL1250" s="4">
        <v>0.871</v>
      </c>
      <c r="AM1250" s="1">
        <v>11.75</v>
      </c>
      <c r="AN1250" s="1">
        <v>1.63</v>
      </c>
      <c r="AO1250" s="1" t="s">
        <v>49</v>
      </c>
      <c r="AP1250" s="6">
        <v>1</v>
      </c>
      <c r="AQ1250" s="1" t="s">
        <v>49</v>
      </c>
      <c r="AR1250" s="6" t="s">
        <v>49</v>
      </c>
      <c r="AS1250" s="1">
        <v>1.42</v>
      </c>
      <c r="AT1250" s="4">
        <f t="shared" si="105"/>
        <v>1.0285196921684019</v>
      </c>
      <c r="AU1250" s="5">
        <v>0</v>
      </c>
      <c r="AV1250" s="4">
        <f t="shared" si="106"/>
        <v>0.15232955257143957</v>
      </c>
      <c r="AW1250" s="1" t="s">
        <v>468</v>
      </c>
    </row>
    <row r="1251" spans="1:49" ht="14.4" customHeight="1">
      <c r="A1251" s="1">
        <v>31</v>
      </c>
      <c r="B1251" s="1" t="s">
        <v>38</v>
      </c>
      <c r="C1251" s="1" t="s">
        <v>38</v>
      </c>
      <c r="D1251" s="1" t="s">
        <v>459</v>
      </c>
      <c r="E1251" s="1" t="s">
        <v>460</v>
      </c>
      <c r="F1251" s="1">
        <v>2002</v>
      </c>
      <c r="G1251" s="1" t="s">
        <v>146</v>
      </c>
      <c r="H1251" s="3" t="s">
        <v>461</v>
      </c>
      <c r="I1251" s="3" t="s">
        <v>462</v>
      </c>
      <c r="J1251" s="1" t="s">
        <v>463</v>
      </c>
      <c r="K1251" s="1" t="s">
        <v>49</v>
      </c>
      <c r="L1251" s="3" t="s">
        <v>397</v>
      </c>
      <c r="M1251" s="1" t="s">
        <v>12</v>
      </c>
      <c r="N1251" s="1" t="s">
        <v>76</v>
      </c>
      <c r="O1251" s="1">
        <v>0.185</v>
      </c>
      <c r="P1251" s="1" t="s">
        <v>49</v>
      </c>
      <c r="Q1251" s="6">
        <v>0.185</v>
      </c>
      <c r="R1251" s="1">
        <v>0.5</v>
      </c>
      <c r="S1251" s="1" t="s">
        <v>49</v>
      </c>
      <c r="T1251" s="1" t="s">
        <v>49</v>
      </c>
      <c r="U1251" s="1" t="s">
        <v>464</v>
      </c>
      <c r="V1251" s="1" t="s">
        <v>465</v>
      </c>
      <c r="W1251" s="1" t="s">
        <v>49</v>
      </c>
      <c r="X1251" s="1" t="s">
        <v>49</v>
      </c>
      <c r="Y1251" s="1" t="s">
        <v>48</v>
      </c>
      <c r="Z1251" s="1" t="s">
        <v>49</v>
      </c>
      <c r="AA1251" s="1" t="s">
        <v>50</v>
      </c>
      <c r="AB1251" s="1" t="s">
        <v>57</v>
      </c>
      <c r="AC1251" s="1" t="s">
        <v>86</v>
      </c>
      <c r="AD1251" s="1" t="s">
        <v>466</v>
      </c>
      <c r="AE1251" s="1" t="s">
        <v>466</v>
      </c>
      <c r="AF1251" s="1" t="s">
        <v>60</v>
      </c>
      <c r="AG1251" s="1" t="s">
        <v>61</v>
      </c>
      <c r="AH1251" s="1" t="s">
        <v>199</v>
      </c>
      <c r="AI1251" s="1" t="s">
        <v>200</v>
      </c>
      <c r="AJ1251" s="1" t="s">
        <v>49</v>
      </c>
      <c r="AK1251" s="1" t="s">
        <v>49</v>
      </c>
      <c r="AL1251" s="4">
        <v>0.81499999999999995</v>
      </c>
      <c r="AM1251" s="1">
        <v>8.8699999999999992</v>
      </c>
      <c r="AN1251" s="1">
        <v>0.42199999999999999</v>
      </c>
      <c r="AO1251" s="1" t="s">
        <v>49</v>
      </c>
      <c r="AP1251" s="6">
        <v>1</v>
      </c>
      <c r="AQ1251" s="1" t="s">
        <v>49</v>
      </c>
      <c r="AR1251" s="6" t="s">
        <v>49</v>
      </c>
      <c r="AS1251" s="1">
        <v>0.34399999999999997</v>
      </c>
      <c r="AT1251" s="4">
        <f t="shared" si="105"/>
        <v>0.43723125847612199</v>
      </c>
      <c r="AU1251" s="16">
        <v>0</v>
      </c>
      <c r="AV1251" s="4">
        <f t="shared" si="106"/>
        <v>9.9248813273720982E-2</v>
      </c>
      <c r="AW1251" s="1" t="s">
        <v>468</v>
      </c>
    </row>
    <row r="1252" spans="1:49" ht="14.4" customHeight="1">
      <c r="A1252" s="1">
        <v>31</v>
      </c>
      <c r="B1252" s="1" t="s">
        <v>38</v>
      </c>
      <c r="C1252" s="1" t="s">
        <v>38</v>
      </c>
      <c r="D1252" s="1" t="s">
        <v>459</v>
      </c>
      <c r="E1252" s="1" t="s">
        <v>460</v>
      </c>
      <c r="F1252" s="1">
        <v>2002</v>
      </c>
      <c r="G1252" s="1" t="s">
        <v>146</v>
      </c>
      <c r="H1252" s="3" t="s">
        <v>461</v>
      </c>
      <c r="I1252" s="3" t="s">
        <v>462</v>
      </c>
      <c r="J1252" s="1" t="s">
        <v>463</v>
      </c>
      <c r="K1252" s="1" t="s">
        <v>49</v>
      </c>
      <c r="L1252" s="3" t="s">
        <v>397</v>
      </c>
      <c r="M1252" s="1" t="s">
        <v>12</v>
      </c>
      <c r="N1252" s="1" t="s">
        <v>76</v>
      </c>
      <c r="O1252" s="1">
        <v>0.185</v>
      </c>
      <c r="P1252" s="1" t="s">
        <v>49</v>
      </c>
      <c r="Q1252" s="6">
        <v>0.185</v>
      </c>
      <c r="R1252" s="1">
        <v>0.5</v>
      </c>
      <c r="S1252" s="1" t="s">
        <v>49</v>
      </c>
      <c r="T1252" s="1" t="s">
        <v>49</v>
      </c>
      <c r="U1252" s="1" t="s">
        <v>464</v>
      </c>
      <c r="V1252" s="1" t="s">
        <v>465</v>
      </c>
      <c r="W1252" s="1" t="s">
        <v>49</v>
      </c>
      <c r="X1252" s="1" t="s">
        <v>49</v>
      </c>
      <c r="Y1252" s="1" t="s">
        <v>48</v>
      </c>
      <c r="Z1252" s="1" t="s">
        <v>49</v>
      </c>
      <c r="AA1252" s="1" t="s">
        <v>50</v>
      </c>
      <c r="AB1252" s="1" t="s">
        <v>86</v>
      </c>
      <c r="AC1252" s="1" t="s">
        <v>469</v>
      </c>
      <c r="AD1252" s="1" t="s">
        <v>470</v>
      </c>
      <c r="AE1252" s="1" t="s">
        <v>470</v>
      </c>
      <c r="AF1252" s="1" t="s">
        <v>60</v>
      </c>
      <c r="AG1252" s="1" t="s">
        <v>61</v>
      </c>
      <c r="AH1252" s="1" t="s">
        <v>199</v>
      </c>
      <c r="AI1252" s="1" t="s">
        <v>200</v>
      </c>
      <c r="AJ1252" s="1" t="s">
        <v>49</v>
      </c>
      <c r="AK1252" s="1" t="s">
        <v>49</v>
      </c>
      <c r="AL1252" s="4">
        <v>0.27</v>
      </c>
      <c r="AM1252" s="1">
        <v>5.0199999999999996</v>
      </c>
      <c r="AN1252" s="1">
        <v>0.115</v>
      </c>
      <c r="AO1252" s="1" t="s">
        <v>49</v>
      </c>
      <c r="AP1252" s="6">
        <v>1</v>
      </c>
      <c r="AQ1252" s="1" t="s">
        <v>49</v>
      </c>
      <c r="AR1252" s="6" t="s">
        <v>49</v>
      </c>
      <c r="AS1252" s="1">
        <v>3.1E-2</v>
      </c>
      <c r="AT1252" s="4">
        <f t="shared" si="105"/>
        <v>0.1230139204139617</v>
      </c>
      <c r="AU1252" s="5">
        <v>0</v>
      </c>
      <c r="AV1252" s="4">
        <f t="shared" si="106"/>
        <v>0.33259319223034084</v>
      </c>
      <c r="AW1252" s="1" t="s">
        <v>468</v>
      </c>
    </row>
    <row r="1253" spans="1:49" ht="14.4" customHeight="1">
      <c r="A1253" s="1">
        <v>31</v>
      </c>
      <c r="B1253" s="1" t="s">
        <v>38</v>
      </c>
      <c r="C1253" s="1" t="s">
        <v>38</v>
      </c>
      <c r="D1253" s="1" t="s">
        <v>459</v>
      </c>
      <c r="E1253" s="1" t="s">
        <v>460</v>
      </c>
      <c r="F1253" s="1">
        <v>2002</v>
      </c>
      <c r="G1253" s="1" t="s">
        <v>146</v>
      </c>
      <c r="H1253" s="3" t="s">
        <v>461</v>
      </c>
      <c r="I1253" s="3" t="s">
        <v>462</v>
      </c>
      <c r="J1253" s="1" t="s">
        <v>463</v>
      </c>
      <c r="K1253" s="1" t="s">
        <v>49</v>
      </c>
      <c r="L1253" s="3" t="s">
        <v>397</v>
      </c>
      <c r="M1253" s="1" t="s">
        <v>12</v>
      </c>
      <c r="N1253" s="1" t="s">
        <v>76</v>
      </c>
      <c r="O1253" s="1">
        <v>0.185</v>
      </c>
      <c r="P1253" s="1" t="s">
        <v>49</v>
      </c>
      <c r="Q1253" s="6">
        <v>0.185</v>
      </c>
      <c r="R1253" s="1">
        <v>0.5</v>
      </c>
      <c r="S1253" s="1" t="s">
        <v>49</v>
      </c>
      <c r="T1253" s="1" t="s">
        <v>49</v>
      </c>
      <c r="U1253" s="1" t="s">
        <v>464</v>
      </c>
      <c r="V1253" s="1" t="s">
        <v>465</v>
      </c>
      <c r="W1253" s="1" t="s">
        <v>49</v>
      </c>
      <c r="X1253" s="1" t="s">
        <v>49</v>
      </c>
      <c r="Y1253" s="1" t="s">
        <v>48</v>
      </c>
      <c r="Z1253" s="1" t="s">
        <v>49</v>
      </c>
      <c r="AA1253" s="1" t="s">
        <v>50</v>
      </c>
      <c r="AB1253" s="1" t="s">
        <v>86</v>
      </c>
      <c r="AC1253" s="1" t="s">
        <v>469</v>
      </c>
      <c r="AD1253" s="1" t="s">
        <v>471</v>
      </c>
      <c r="AE1253" s="1" t="s">
        <v>471</v>
      </c>
      <c r="AF1253" s="1" t="s">
        <v>60</v>
      </c>
      <c r="AG1253" s="1" t="s">
        <v>61</v>
      </c>
      <c r="AH1253" s="1" t="s">
        <v>199</v>
      </c>
      <c r="AI1253" s="1" t="s">
        <v>200</v>
      </c>
      <c r="AJ1253" s="1" t="s">
        <v>49</v>
      </c>
      <c r="AK1253" s="1" t="s">
        <v>49</v>
      </c>
      <c r="AL1253" s="4">
        <v>0.74299999999999999</v>
      </c>
      <c r="AM1253" s="1">
        <v>3.55</v>
      </c>
      <c r="AN1253" s="1">
        <v>0.20599999999999999</v>
      </c>
      <c r="AO1253" s="1" t="s">
        <v>49</v>
      </c>
      <c r="AP1253" s="6">
        <v>1</v>
      </c>
      <c r="AQ1253" s="1" t="s">
        <v>49</v>
      </c>
      <c r="AR1253" s="6" t="s">
        <v>49</v>
      </c>
      <c r="AS1253" s="1">
        <v>0.153</v>
      </c>
      <c r="AT1253" s="4">
        <f t="shared" si="105"/>
        <v>1.214044832374529</v>
      </c>
      <c r="AU1253" s="5">
        <v>0</v>
      </c>
      <c r="AV1253" s="4">
        <f t="shared" si="106"/>
        <v>0.41993206180384113</v>
      </c>
      <c r="AW1253" s="1" t="s">
        <v>468</v>
      </c>
    </row>
    <row r="1254" spans="1:49" ht="14.4" customHeight="1">
      <c r="A1254" s="1">
        <v>31</v>
      </c>
      <c r="B1254" s="1" t="s">
        <v>38</v>
      </c>
      <c r="C1254" s="1" t="s">
        <v>38</v>
      </c>
      <c r="D1254" s="1" t="s">
        <v>459</v>
      </c>
      <c r="E1254" s="1" t="s">
        <v>460</v>
      </c>
      <c r="F1254" s="1">
        <v>2002</v>
      </c>
      <c r="G1254" s="1" t="s">
        <v>146</v>
      </c>
      <c r="H1254" s="3" t="s">
        <v>461</v>
      </c>
      <c r="I1254" s="3" t="s">
        <v>462</v>
      </c>
      <c r="J1254" s="1" t="s">
        <v>463</v>
      </c>
      <c r="K1254" s="1" t="s">
        <v>49</v>
      </c>
      <c r="L1254" s="3" t="s">
        <v>397</v>
      </c>
      <c r="M1254" s="1" t="s">
        <v>12</v>
      </c>
      <c r="N1254" s="1" t="s">
        <v>76</v>
      </c>
      <c r="O1254" s="1">
        <v>0.185</v>
      </c>
      <c r="P1254" s="1" t="s">
        <v>49</v>
      </c>
      <c r="Q1254" s="6">
        <v>0.185</v>
      </c>
      <c r="R1254" s="1">
        <v>0.5</v>
      </c>
      <c r="S1254" s="1" t="s">
        <v>49</v>
      </c>
      <c r="T1254" s="1" t="s">
        <v>49</v>
      </c>
      <c r="U1254" s="1" t="s">
        <v>464</v>
      </c>
      <c r="V1254" s="1" t="s">
        <v>465</v>
      </c>
      <c r="W1254" s="1" t="s">
        <v>49</v>
      </c>
      <c r="X1254" s="1" t="s">
        <v>49</v>
      </c>
      <c r="Y1254" s="1" t="s">
        <v>48</v>
      </c>
      <c r="Z1254" s="1" t="s">
        <v>49</v>
      </c>
      <c r="AA1254" s="1" t="s">
        <v>50</v>
      </c>
      <c r="AB1254" s="1" t="s">
        <v>57</v>
      </c>
      <c r="AC1254" s="1" t="s">
        <v>58</v>
      </c>
      <c r="AD1254" s="1" t="s">
        <v>85</v>
      </c>
      <c r="AE1254" s="1" t="s">
        <v>85</v>
      </c>
      <c r="AF1254" s="1" t="s">
        <v>60</v>
      </c>
      <c r="AG1254" s="1" t="s">
        <v>61</v>
      </c>
      <c r="AH1254" s="1" t="s">
        <v>199</v>
      </c>
      <c r="AI1254" s="1" t="s">
        <v>200</v>
      </c>
      <c r="AJ1254" s="1" t="s">
        <v>49</v>
      </c>
      <c r="AK1254" s="1" t="s">
        <v>49</v>
      </c>
      <c r="AL1254" s="4">
        <v>0.86799999999999999</v>
      </c>
      <c r="AM1254" s="1">
        <v>9.34</v>
      </c>
      <c r="AN1254" s="1">
        <v>1.36</v>
      </c>
      <c r="AO1254" s="1" t="s">
        <v>49</v>
      </c>
      <c r="AP1254" s="6">
        <v>1</v>
      </c>
      <c r="AQ1254" s="1" t="s">
        <v>49</v>
      </c>
      <c r="AR1254" s="6" t="s">
        <v>49</v>
      </c>
      <c r="AS1254" s="1">
        <v>1.18</v>
      </c>
      <c r="AT1254" s="4">
        <f t="shared" si="105"/>
        <v>1.3526587769213487</v>
      </c>
      <c r="AU1254" s="5">
        <v>0</v>
      </c>
      <c r="AV1254" s="4">
        <f t="shared" si="106"/>
        <v>0.20570386930140327</v>
      </c>
      <c r="AW1254" s="1" t="s">
        <v>468</v>
      </c>
    </row>
    <row r="1255" spans="1:49" ht="14.4" customHeight="1">
      <c r="A1255" s="1">
        <v>31</v>
      </c>
      <c r="B1255" s="1" t="s">
        <v>38</v>
      </c>
      <c r="C1255" s="1" t="s">
        <v>38</v>
      </c>
      <c r="D1255" s="1" t="s">
        <v>459</v>
      </c>
      <c r="E1255" s="1" t="s">
        <v>460</v>
      </c>
      <c r="F1255" s="1">
        <v>2002</v>
      </c>
      <c r="G1255" s="1" t="s">
        <v>146</v>
      </c>
      <c r="H1255" s="3" t="s">
        <v>461</v>
      </c>
      <c r="I1255" s="3" t="s">
        <v>462</v>
      </c>
      <c r="J1255" s="1" t="s">
        <v>463</v>
      </c>
      <c r="K1255" s="1" t="s">
        <v>49</v>
      </c>
      <c r="L1255" s="3" t="s">
        <v>397</v>
      </c>
      <c r="M1255" s="1" t="s">
        <v>12</v>
      </c>
      <c r="N1255" s="1" t="s">
        <v>76</v>
      </c>
      <c r="O1255" s="1">
        <v>0.185</v>
      </c>
      <c r="P1255" s="1" t="s">
        <v>49</v>
      </c>
      <c r="Q1255" s="6">
        <v>0.185</v>
      </c>
      <c r="R1255" s="1">
        <v>0.5</v>
      </c>
      <c r="S1255" s="1" t="s">
        <v>49</v>
      </c>
      <c r="T1255" s="1" t="s">
        <v>49</v>
      </c>
      <c r="U1255" s="1" t="s">
        <v>464</v>
      </c>
      <c r="V1255" s="1" t="s">
        <v>465</v>
      </c>
      <c r="W1255" s="1" t="s">
        <v>49</v>
      </c>
      <c r="X1255" s="1" t="s">
        <v>49</v>
      </c>
      <c r="Y1255" s="1" t="s">
        <v>48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467</v>
      </c>
      <c r="AE1255" s="1" t="s">
        <v>126</v>
      </c>
      <c r="AF1255" s="6" t="s">
        <v>49</v>
      </c>
      <c r="AG1255" s="6" t="s">
        <v>49</v>
      </c>
      <c r="AH1255" s="1" t="s">
        <v>199</v>
      </c>
      <c r="AI1255" s="1" t="s">
        <v>200</v>
      </c>
      <c r="AJ1255" s="20" t="s">
        <v>49</v>
      </c>
      <c r="AK1255" s="20" t="s">
        <v>49</v>
      </c>
      <c r="AL1255" s="20" t="s">
        <v>49</v>
      </c>
      <c r="AM1255" s="20" t="s">
        <v>49</v>
      </c>
      <c r="AN1255" s="1" t="s">
        <v>49</v>
      </c>
      <c r="AO1255" s="1" t="s">
        <v>49</v>
      </c>
      <c r="AP1255" s="6">
        <v>1</v>
      </c>
      <c r="AQ1255" s="6" t="s">
        <v>49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6" t="s">
        <v>49</v>
      </c>
      <c r="AW1255" s="30" t="s">
        <v>49</v>
      </c>
    </row>
    <row r="1256" spans="1:49" ht="14.4" customHeight="1">
      <c r="A1256" s="1">
        <v>31</v>
      </c>
      <c r="B1256" s="1" t="s">
        <v>38</v>
      </c>
      <c r="C1256" s="1" t="s">
        <v>38</v>
      </c>
      <c r="D1256" s="1" t="s">
        <v>459</v>
      </c>
      <c r="E1256" s="1" t="s">
        <v>460</v>
      </c>
      <c r="F1256" s="1">
        <v>2002</v>
      </c>
      <c r="G1256" s="1" t="s">
        <v>146</v>
      </c>
      <c r="H1256" s="3" t="s">
        <v>461</v>
      </c>
      <c r="I1256" s="3" t="s">
        <v>462</v>
      </c>
      <c r="J1256" s="1" t="s">
        <v>463</v>
      </c>
      <c r="K1256" s="1" t="s">
        <v>49</v>
      </c>
      <c r="L1256" s="3" t="s">
        <v>397</v>
      </c>
      <c r="M1256" s="1" t="s">
        <v>12</v>
      </c>
      <c r="N1256" s="1" t="s">
        <v>76</v>
      </c>
      <c r="O1256" s="1">
        <v>0.185</v>
      </c>
      <c r="P1256" s="1" t="s">
        <v>49</v>
      </c>
      <c r="Q1256" s="6">
        <v>0.185</v>
      </c>
      <c r="R1256" s="1">
        <v>0.5</v>
      </c>
      <c r="S1256" s="1" t="s">
        <v>49</v>
      </c>
      <c r="T1256" s="1" t="s">
        <v>49</v>
      </c>
      <c r="U1256" s="1" t="s">
        <v>464</v>
      </c>
      <c r="V1256" s="1" t="s">
        <v>465</v>
      </c>
      <c r="W1256" s="1" t="s">
        <v>49</v>
      </c>
      <c r="X1256" s="1" t="s">
        <v>49</v>
      </c>
      <c r="Y1256" s="1" t="s">
        <v>48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467</v>
      </c>
      <c r="AE1256" s="1" t="s">
        <v>466</v>
      </c>
      <c r="AF1256" s="6" t="s">
        <v>49</v>
      </c>
      <c r="AG1256" s="6" t="s">
        <v>49</v>
      </c>
      <c r="AH1256" s="1" t="s">
        <v>199</v>
      </c>
      <c r="AI1256" s="1" t="s">
        <v>200</v>
      </c>
      <c r="AJ1256" s="20" t="s">
        <v>49</v>
      </c>
      <c r="AK1256" s="20" t="s">
        <v>49</v>
      </c>
      <c r="AL1256" s="20" t="s">
        <v>49</v>
      </c>
      <c r="AM1256" s="20" t="s">
        <v>49</v>
      </c>
      <c r="AN1256" s="1" t="s">
        <v>49</v>
      </c>
      <c r="AO1256" s="1" t="s">
        <v>49</v>
      </c>
      <c r="AP1256" s="6">
        <v>1</v>
      </c>
      <c r="AQ1256" s="1" t="s">
        <v>49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6" t="s">
        <v>49</v>
      </c>
      <c r="AW1256" s="30" t="s">
        <v>49</v>
      </c>
    </row>
    <row r="1257" spans="1:49" ht="14.4" customHeight="1">
      <c r="A1257" s="1">
        <v>31</v>
      </c>
      <c r="B1257" s="1" t="s">
        <v>38</v>
      </c>
      <c r="C1257" s="1" t="s">
        <v>38</v>
      </c>
      <c r="D1257" s="1" t="s">
        <v>459</v>
      </c>
      <c r="E1257" s="1" t="s">
        <v>460</v>
      </c>
      <c r="F1257" s="1">
        <v>2002</v>
      </c>
      <c r="G1257" s="1" t="s">
        <v>146</v>
      </c>
      <c r="H1257" s="3" t="s">
        <v>461</v>
      </c>
      <c r="I1257" s="3" t="s">
        <v>462</v>
      </c>
      <c r="J1257" s="1" t="s">
        <v>463</v>
      </c>
      <c r="K1257" s="1" t="s">
        <v>49</v>
      </c>
      <c r="L1257" s="3" t="s">
        <v>397</v>
      </c>
      <c r="M1257" s="1" t="s">
        <v>12</v>
      </c>
      <c r="N1257" s="1" t="s">
        <v>76</v>
      </c>
      <c r="O1257" s="1">
        <v>0.185</v>
      </c>
      <c r="P1257" s="1" t="s">
        <v>49</v>
      </c>
      <c r="Q1257" s="6">
        <v>0.185</v>
      </c>
      <c r="R1257" s="1">
        <v>0.5</v>
      </c>
      <c r="S1257" s="1" t="s">
        <v>49</v>
      </c>
      <c r="T1257" s="1" t="s">
        <v>49</v>
      </c>
      <c r="U1257" s="1" t="s">
        <v>464</v>
      </c>
      <c r="V1257" s="1" t="s">
        <v>465</v>
      </c>
      <c r="W1257" s="1" t="s">
        <v>49</v>
      </c>
      <c r="X1257" s="1" t="s">
        <v>49</v>
      </c>
      <c r="Y1257" s="1" t="s">
        <v>48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467</v>
      </c>
      <c r="AE1257" s="1" t="s">
        <v>470</v>
      </c>
      <c r="AF1257" s="6" t="s">
        <v>49</v>
      </c>
      <c r="AG1257" s="6" t="s">
        <v>49</v>
      </c>
      <c r="AH1257" s="1" t="s">
        <v>199</v>
      </c>
      <c r="AI1257" s="1" t="s">
        <v>200</v>
      </c>
      <c r="AJ1257" s="20" t="s">
        <v>49</v>
      </c>
      <c r="AK1257" s="20" t="s">
        <v>49</v>
      </c>
      <c r="AL1257" s="20" t="s">
        <v>49</v>
      </c>
      <c r="AM1257" s="20" t="s">
        <v>49</v>
      </c>
      <c r="AN1257" s="1" t="s">
        <v>49</v>
      </c>
      <c r="AO1257" s="1" t="s">
        <v>49</v>
      </c>
      <c r="AP1257" s="6">
        <v>1</v>
      </c>
      <c r="AQ1257" s="6" t="s">
        <v>49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6" t="s">
        <v>49</v>
      </c>
      <c r="AW1257" s="30" t="s">
        <v>49</v>
      </c>
    </row>
    <row r="1258" spans="1:49" ht="14.4" customHeight="1">
      <c r="A1258" s="1">
        <v>31</v>
      </c>
      <c r="B1258" s="1" t="s">
        <v>38</v>
      </c>
      <c r="C1258" s="1" t="s">
        <v>38</v>
      </c>
      <c r="D1258" s="1" t="s">
        <v>459</v>
      </c>
      <c r="E1258" s="1" t="s">
        <v>460</v>
      </c>
      <c r="F1258" s="1">
        <v>2002</v>
      </c>
      <c r="G1258" s="1" t="s">
        <v>146</v>
      </c>
      <c r="H1258" s="3" t="s">
        <v>461</v>
      </c>
      <c r="I1258" s="3" t="s">
        <v>462</v>
      </c>
      <c r="J1258" s="1" t="s">
        <v>463</v>
      </c>
      <c r="K1258" s="1" t="s">
        <v>49</v>
      </c>
      <c r="L1258" s="3" t="s">
        <v>397</v>
      </c>
      <c r="M1258" s="1" t="s">
        <v>12</v>
      </c>
      <c r="N1258" s="1" t="s">
        <v>76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464</v>
      </c>
      <c r="V1258" s="1" t="s">
        <v>465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6" t="s">
        <v>49</v>
      </c>
      <c r="AB1258" s="6" t="s">
        <v>49</v>
      </c>
      <c r="AC1258" s="6" t="s">
        <v>49</v>
      </c>
      <c r="AD1258" s="1" t="s">
        <v>467</v>
      </c>
      <c r="AE1258" s="1" t="s">
        <v>471</v>
      </c>
      <c r="AF1258" s="6" t="s">
        <v>49</v>
      </c>
      <c r="AG1258" s="6" t="s">
        <v>49</v>
      </c>
      <c r="AH1258" s="1" t="s">
        <v>199</v>
      </c>
      <c r="AI1258" s="1" t="s">
        <v>200</v>
      </c>
      <c r="AJ1258" s="20" t="s">
        <v>49</v>
      </c>
      <c r="AK1258" s="20" t="s">
        <v>49</v>
      </c>
      <c r="AL1258" s="20" t="s">
        <v>49</v>
      </c>
      <c r="AM1258" s="20" t="s">
        <v>49</v>
      </c>
      <c r="AN1258" s="1" t="s">
        <v>49</v>
      </c>
      <c r="AO1258" s="1" t="s">
        <v>49</v>
      </c>
      <c r="AP1258" s="6">
        <v>1</v>
      </c>
      <c r="AQ1258" s="1" t="s">
        <v>49</v>
      </c>
      <c r="AR1258" s="6" t="s">
        <v>49</v>
      </c>
      <c r="AS1258" s="6" t="s">
        <v>49</v>
      </c>
      <c r="AT1258" s="6" t="s">
        <v>49</v>
      </c>
      <c r="AU1258" s="6" t="s">
        <v>49</v>
      </c>
      <c r="AV1258" s="6" t="s">
        <v>49</v>
      </c>
      <c r="AW1258" s="30" t="s">
        <v>49</v>
      </c>
    </row>
    <row r="1259" spans="1:49" ht="14.4" customHeight="1">
      <c r="A1259" s="1">
        <v>31</v>
      </c>
      <c r="B1259" s="1" t="s">
        <v>38</v>
      </c>
      <c r="C1259" s="1" t="s">
        <v>38</v>
      </c>
      <c r="D1259" s="1" t="s">
        <v>459</v>
      </c>
      <c r="E1259" s="1" t="s">
        <v>460</v>
      </c>
      <c r="F1259" s="1">
        <v>2002</v>
      </c>
      <c r="G1259" s="1" t="s">
        <v>146</v>
      </c>
      <c r="H1259" s="3" t="s">
        <v>461</v>
      </c>
      <c r="I1259" s="3" t="s">
        <v>462</v>
      </c>
      <c r="J1259" s="1" t="s">
        <v>463</v>
      </c>
      <c r="K1259" s="1" t="s">
        <v>49</v>
      </c>
      <c r="L1259" s="3" t="s">
        <v>397</v>
      </c>
      <c r="M1259" s="1" t="s">
        <v>12</v>
      </c>
      <c r="N1259" s="1" t="s">
        <v>76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464</v>
      </c>
      <c r="V1259" s="1" t="s">
        <v>465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6" t="s">
        <v>49</v>
      </c>
      <c r="AB1259" s="6" t="s">
        <v>49</v>
      </c>
      <c r="AC1259" s="6" t="s">
        <v>49</v>
      </c>
      <c r="AD1259" s="1" t="s">
        <v>467</v>
      </c>
      <c r="AE1259" s="1" t="s">
        <v>85</v>
      </c>
      <c r="AF1259" s="6" t="s">
        <v>49</v>
      </c>
      <c r="AG1259" s="6" t="s">
        <v>49</v>
      </c>
      <c r="AH1259" s="1" t="s">
        <v>199</v>
      </c>
      <c r="AI1259" s="1" t="s">
        <v>200</v>
      </c>
      <c r="AJ1259" s="20" t="s">
        <v>49</v>
      </c>
      <c r="AK1259" s="20" t="s">
        <v>49</v>
      </c>
      <c r="AL1259" s="20" t="s">
        <v>49</v>
      </c>
      <c r="AM1259" s="20" t="s">
        <v>49</v>
      </c>
      <c r="AN1259" s="1" t="s">
        <v>49</v>
      </c>
      <c r="AO1259" s="1" t="s">
        <v>49</v>
      </c>
      <c r="AP1259" s="6">
        <v>1</v>
      </c>
      <c r="AQ1259" s="6" t="s">
        <v>49</v>
      </c>
      <c r="AR1259" s="6" t="s">
        <v>49</v>
      </c>
      <c r="AS1259" s="6" t="s">
        <v>49</v>
      </c>
      <c r="AT1259" s="6" t="s">
        <v>49</v>
      </c>
      <c r="AU1259" s="6" t="s">
        <v>49</v>
      </c>
      <c r="AV1259" s="6" t="s">
        <v>49</v>
      </c>
      <c r="AW1259" s="30" t="s">
        <v>49</v>
      </c>
    </row>
    <row r="1260" spans="1:49" ht="14.4" customHeight="1">
      <c r="A1260" s="1">
        <v>31</v>
      </c>
      <c r="B1260" s="1" t="s">
        <v>38</v>
      </c>
      <c r="C1260" s="1" t="s">
        <v>38</v>
      </c>
      <c r="D1260" s="1" t="s">
        <v>459</v>
      </c>
      <c r="E1260" s="1" t="s">
        <v>460</v>
      </c>
      <c r="F1260" s="1">
        <v>2002</v>
      </c>
      <c r="G1260" s="1" t="s">
        <v>146</v>
      </c>
      <c r="H1260" s="3" t="s">
        <v>461</v>
      </c>
      <c r="I1260" s="3" t="s">
        <v>462</v>
      </c>
      <c r="J1260" s="1" t="s">
        <v>463</v>
      </c>
      <c r="K1260" s="1" t="s">
        <v>49</v>
      </c>
      <c r="L1260" s="3" t="s">
        <v>397</v>
      </c>
      <c r="M1260" s="1" t="s">
        <v>12</v>
      </c>
      <c r="N1260" s="1" t="s">
        <v>76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464</v>
      </c>
      <c r="V1260" s="1" t="s">
        <v>465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6" t="s">
        <v>49</v>
      </c>
      <c r="AB1260" s="6" t="s">
        <v>49</v>
      </c>
      <c r="AC1260" s="6" t="s">
        <v>49</v>
      </c>
      <c r="AD1260" s="1" t="s">
        <v>126</v>
      </c>
      <c r="AE1260" s="1" t="s">
        <v>466</v>
      </c>
      <c r="AF1260" s="6" t="s">
        <v>49</v>
      </c>
      <c r="AG1260" s="6" t="s">
        <v>49</v>
      </c>
      <c r="AH1260" s="1" t="s">
        <v>199</v>
      </c>
      <c r="AI1260" s="1" t="s">
        <v>200</v>
      </c>
      <c r="AJ1260" s="20" t="s">
        <v>49</v>
      </c>
      <c r="AK1260" s="20" t="s">
        <v>49</v>
      </c>
      <c r="AL1260" s="20" t="s">
        <v>49</v>
      </c>
      <c r="AM1260" s="20" t="s">
        <v>49</v>
      </c>
      <c r="AN1260" s="1" t="s">
        <v>49</v>
      </c>
      <c r="AO1260" s="1" t="s">
        <v>49</v>
      </c>
      <c r="AP1260" s="6">
        <v>1</v>
      </c>
      <c r="AQ1260" s="6">
        <v>0.80800000000000005</v>
      </c>
      <c r="AR1260" s="6" t="s">
        <v>49</v>
      </c>
      <c r="AS1260" s="6" t="s">
        <v>49</v>
      </c>
      <c r="AT1260" s="6" t="s">
        <v>49</v>
      </c>
      <c r="AU1260" s="6" t="s">
        <v>49</v>
      </c>
      <c r="AV1260" s="6" t="s">
        <v>49</v>
      </c>
      <c r="AW1260" s="30" t="s">
        <v>49</v>
      </c>
    </row>
    <row r="1261" spans="1:49" ht="14.4" customHeight="1">
      <c r="A1261" s="1">
        <v>31</v>
      </c>
      <c r="B1261" s="1" t="s">
        <v>38</v>
      </c>
      <c r="C1261" s="1" t="s">
        <v>38</v>
      </c>
      <c r="D1261" s="1" t="s">
        <v>459</v>
      </c>
      <c r="E1261" s="1" t="s">
        <v>460</v>
      </c>
      <c r="F1261" s="1">
        <v>2002</v>
      </c>
      <c r="G1261" s="1" t="s">
        <v>146</v>
      </c>
      <c r="H1261" s="3" t="s">
        <v>461</v>
      </c>
      <c r="I1261" s="3" t="s">
        <v>462</v>
      </c>
      <c r="J1261" s="1" t="s">
        <v>463</v>
      </c>
      <c r="K1261" s="1" t="s">
        <v>49</v>
      </c>
      <c r="L1261" s="3" t="s">
        <v>397</v>
      </c>
      <c r="M1261" s="1" t="s">
        <v>12</v>
      </c>
      <c r="N1261" s="1" t="s">
        <v>76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464</v>
      </c>
      <c r="V1261" s="1" t="s">
        <v>465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6" t="s">
        <v>49</v>
      </c>
      <c r="AB1261" s="6" t="s">
        <v>49</v>
      </c>
      <c r="AC1261" s="6" t="s">
        <v>49</v>
      </c>
      <c r="AD1261" s="1" t="s">
        <v>126</v>
      </c>
      <c r="AE1261" s="1" t="s">
        <v>470</v>
      </c>
      <c r="AF1261" s="6" t="s">
        <v>49</v>
      </c>
      <c r="AG1261" s="6" t="s">
        <v>49</v>
      </c>
      <c r="AH1261" s="1" t="s">
        <v>199</v>
      </c>
      <c r="AI1261" s="1" t="s">
        <v>200</v>
      </c>
      <c r="AJ1261" s="20" t="s">
        <v>49</v>
      </c>
      <c r="AK1261" s="20" t="s">
        <v>49</v>
      </c>
      <c r="AL1261" s="20" t="s">
        <v>49</v>
      </c>
      <c r="AM1261" s="20" t="s">
        <v>49</v>
      </c>
      <c r="AN1261" s="1" t="s">
        <v>49</v>
      </c>
      <c r="AO1261" s="1" t="s">
        <v>49</v>
      </c>
      <c r="AP1261" s="6">
        <v>1</v>
      </c>
      <c r="AQ1261" s="6">
        <v>1.1180000000000001</v>
      </c>
      <c r="AR1261" s="6" t="s">
        <v>49</v>
      </c>
      <c r="AS1261" s="6" t="s">
        <v>49</v>
      </c>
      <c r="AT1261" s="6" t="s">
        <v>49</v>
      </c>
      <c r="AU1261" s="6" t="s">
        <v>49</v>
      </c>
      <c r="AV1261" s="6" t="s">
        <v>49</v>
      </c>
      <c r="AW1261" s="30" t="s">
        <v>49</v>
      </c>
    </row>
    <row r="1262" spans="1:49" ht="14.4" customHeight="1">
      <c r="A1262" s="1">
        <v>31</v>
      </c>
      <c r="B1262" s="1" t="s">
        <v>38</v>
      </c>
      <c r="C1262" s="1" t="s">
        <v>38</v>
      </c>
      <c r="D1262" s="1" t="s">
        <v>459</v>
      </c>
      <c r="E1262" s="1" t="s">
        <v>460</v>
      </c>
      <c r="F1262" s="1">
        <v>2002</v>
      </c>
      <c r="G1262" s="1" t="s">
        <v>146</v>
      </c>
      <c r="H1262" s="3" t="s">
        <v>461</v>
      </c>
      <c r="I1262" s="3" t="s">
        <v>462</v>
      </c>
      <c r="J1262" s="1" t="s">
        <v>463</v>
      </c>
      <c r="K1262" s="1" t="s">
        <v>49</v>
      </c>
      <c r="L1262" s="3" t="s">
        <v>397</v>
      </c>
      <c r="M1262" s="1" t="s">
        <v>12</v>
      </c>
      <c r="N1262" s="1" t="s">
        <v>76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464</v>
      </c>
      <c r="V1262" s="1" t="s">
        <v>465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6" t="s">
        <v>49</v>
      </c>
      <c r="AB1262" s="6" t="s">
        <v>49</v>
      </c>
      <c r="AC1262" s="6" t="s">
        <v>49</v>
      </c>
      <c r="AD1262" s="1" t="s">
        <v>126</v>
      </c>
      <c r="AE1262" s="1" t="s">
        <v>471</v>
      </c>
      <c r="AF1262" s="6" t="s">
        <v>49</v>
      </c>
      <c r="AG1262" s="6" t="s">
        <v>49</v>
      </c>
      <c r="AH1262" s="1" t="s">
        <v>199</v>
      </c>
      <c r="AI1262" s="1" t="s">
        <v>200</v>
      </c>
      <c r="AJ1262" s="20" t="s">
        <v>49</v>
      </c>
      <c r="AK1262" s="20" t="s">
        <v>49</v>
      </c>
      <c r="AL1262" s="20" t="s">
        <v>49</v>
      </c>
      <c r="AM1262" s="20" t="s">
        <v>49</v>
      </c>
      <c r="AN1262" s="1" t="s">
        <v>49</v>
      </c>
      <c r="AO1262" s="1" t="s">
        <v>49</v>
      </c>
      <c r="AP1262" s="6">
        <v>1</v>
      </c>
      <c r="AQ1262" s="6">
        <v>0.78100000000000003</v>
      </c>
      <c r="AR1262" s="6" t="s">
        <v>49</v>
      </c>
      <c r="AS1262" s="6" t="s">
        <v>49</v>
      </c>
      <c r="AT1262" s="6" t="s">
        <v>49</v>
      </c>
      <c r="AU1262" s="6" t="s">
        <v>49</v>
      </c>
      <c r="AV1262" s="6" t="s">
        <v>49</v>
      </c>
      <c r="AW1262" s="30" t="s">
        <v>49</v>
      </c>
    </row>
    <row r="1263" spans="1:49" ht="14.4" customHeight="1">
      <c r="A1263" s="1">
        <v>31</v>
      </c>
      <c r="B1263" s="1" t="s">
        <v>38</v>
      </c>
      <c r="C1263" s="1" t="s">
        <v>38</v>
      </c>
      <c r="D1263" s="1" t="s">
        <v>459</v>
      </c>
      <c r="E1263" s="1" t="s">
        <v>460</v>
      </c>
      <c r="F1263" s="1">
        <v>2002</v>
      </c>
      <c r="G1263" s="1" t="s">
        <v>146</v>
      </c>
      <c r="H1263" s="3" t="s">
        <v>461</v>
      </c>
      <c r="I1263" s="3" t="s">
        <v>462</v>
      </c>
      <c r="J1263" s="1" t="s">
        <v>463</v>
      </c>
      <c r="K1263" s="1" t="s">
        <v>49</v>
      </c>
      <c r="L1263" s="3" t="s">
        <v>397</v>
      </c>
      <c r="M1263" s="1" t="s">
        <v>12</v>
      </c>
      <c r="N1263" s="1" t="s">
        <v>76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464</v>
      </c>
      <c r="V1263" s="1" t="s">
        <v>465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6" t="s">
        <v>49</v>
      </c>
      <c r="AB1263" s="6" t="s">
        <v>49</v>
      </c>
      <c r="AC1263" s="6" t="s">
        <v>49</v>
      </c>
      <c r="AD1263" s="1" t="s">
        <v>126</v>
      </c>
      <c r="AE1263" s="1" t="s">
        <v>85</v>
      </c>
      <c r="AF1263" s="6" t="s">
        <v>49</v>
      </c>
      <c r="AG1263" s="6" t="s">
        <v>49</v>
      </c>
      <c r="AH1263" s="1" t="s">
        <v>199</v>
      </c>
      <c r="AI1263" s="1" t="s">
        <v>200</v>
      </c>
      <c r="AJ1263" s="20" t="s">
        <v>49</v>
      </c>
      <c r="AK1263" s="20" t="s">
        <v>49</v>
      </c>
      <c r="AL1263" s="20" t="s">
        <v>49</v>
      </c>
      <c r="AM1263" s="20" t="s">
        <v>49</v>
      </c>
      <c r="AN1263" s="1" t="s">
        <v>49</v>
      </c>
      <c r="AO1263" s="1" t="s">
        <v>49</v>
      </c>
      <c r="AP1263" s="6">
        <v>1</v>
      </c>
      <c r="AQ1263" s="6">
        <v>0.89600000000000002</v>
      </c>
      <c r="AR1263" s="6" t="s">
        <v>49</v>
      </c>
      <c r="AS1263" s="6" t="s">
        <v>49</v>
      </c>
      <c r="AT1263" s="6" t="s">
        <v>49</v>
      </c>
      <c r="AU1263" s="6" t="s">
        <v>49</v>
      </c>
      <c r="AV1263" s="6" t="s">
        <v>49</v>
      </c>
      <c r="AW1263" s="30" t="s">
        <v>49</v>
      </c>
    </row>
    <row r="1264" spans="1:49" ht="14.4" customHeight="1">
      <c r="A1264" s="1">
        <v>31</v>
      </c>
      <c r="B1264" s="1" t="s">
        <v>38</v>
      </c>
      <c r="C1264" s="1" t="s">
        <v>38</v>
      </c>
      <c r="D1264" s="1" t="s">
        <v>459</v>
      </c>
      <c r="E1264" s="1" t="s">
        <v>460</v>
      </c>
      <c r="F1264" s="1">
        <v>2002</v>
      </c>
      <c r="G1264" s="1" t="s">
        <v>146</v>
      </c>
      <c r="H1264" s="3" t="s">
        <v>461</v>
      </c>
      <c r="I1264" s="3" t="s">
        <v>462</v>
      </c>
      <c r="J1264" s="1" t="s">
        <v>463</v>
      </c>
      <c r="K1264" s="1" t="s">
        <v>49</v>
      </c>
      <c r="L1264" s="3" t="s">
        <v>397</v>
      </c>
      <c r="M1264" s="1" t="s">
        <v>12</v>
      </c>
      <c r="N1264" s="1" t="s">
        <v>76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464</v>
      </c>
      <c r="V1264" s="1" t="s">
        <v>465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466</v>
      </c>
      <c r="AE1264" s="1" t="s">
        <v>470</v>
      </c>
      <c r="AF1264" s="6" t="s">
        <v>49</v>
      </c>
      <c r="AG1264" s="6" t="s">
        <v>49</v>
      </c>
      <c r="AH1264" s="1" t="s">
        <v>199</v>
      </c>
      <c r="AI1264" s="1" t="s">
        <v>200</v>
      </c>
      <c r="AJ1264" s="20" t="s">
        <v>49</v>
      </c>
      <c r="AK1264" s="20" t="s">
        <v>49</v>
      </c>
      <c r="AL1264" s="20" t="s">
        <v>49</v>
      </c>
      <c r="AM1264" s="20" t="s">
        <v>49</v>
      </c>
      <c r="AN1264" s="1" t="s">
        <v>49</v>
      </c>
      <c r="AO1264" s="1" t="s">
        <v>49</v>
      </c>
      <c r="AP1264" s="6">
        <v>1</v>
      </c>
      <c r="AQ1264" s="6">
        <v>1.0880000000000001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6" t="s">
        <v>49</v>
      </c>
      <c r="AW1264" s="30" t="s">
        <v>49</v>
      </c>
    </row>
    <row r="1265" spans="1:49" ht="14.4" customHeight="1">
      <c r="A1265" s="1">
        <v>31</v>
      </c>
      <c r="B1265" s="1" t="s">
        <v>38</v>
      </c>
      <c r="C1265" s="1" t="s">
        <v>38</v>
      </c>
      <c r="D1265" s="1" t="s">
        <v>459</v>
      </c>
      <c r="E1265" s="1" t="s">
        <v>460</v>
      </c>
      <c r="F1265" s="1">
        <v>2002</v>
      </c>
      <c r="G1265" s="1" t="s">
        <v>146</v>
      </c>
      <c r="H1265" s="3" t="s">
        <v>461</v>
      </c>
      <c r="I1265" s="3" t="s">
        <v>462</v>
      </c>
      <c r="J1265" s="1" t="s">
        <v>463</v>
      </c>
      <c r="K1265" s="1" t="s">
        <v>49</v>
      </c>
      <c r="L1265" s="3" t="s">
        <v>397</v>
      </c>
      <c r="M1265" s="1" t="s">
        <v>12</v>
      </c>
      <c r="N1265" s="1" t="s">
        <v>76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464</v>
      </c>
      <c r="V1265" s="1" t="s">
        <v>465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466</v>
      </c>
      <c r="AE1265" s="1" t="s">
        <v>471</v>
      </c>
      <c r="AF1265" s="6" t="s">
        <v>49</v>
      </c>
      <c r="AG1265" s="6" t="s">
        <v>49</v>
      </c>
      <c r="AH1265" s="1" t="s">
        <v>199</v>
      </c>
      <c r="AI1265" s="1" t="s">
        <v>200</v>
      </c>
      <c r="AJ1265" s="20" t="s">
        <v>49</v>
      </c>
      <c r="AK1265" s="20" t="s">
        <v>49</v>
      </c>
      <c r="AL1265" s="20" t="s">
        <v>49</v>
      </c>
      <c r="AM1265" s="20" t="s">
        <v>49</v>
      </c>
      <c r="AN1265" s="1" t="s">
        <v>49</v>
      </c>
      <c r="AO1265" s="1" t="s">
        <v>49</v>
      </c>
      <c r="AP1265" s="6">
        <v>1</v>
      </c>
      <c r="AQ1265" s="6">
        <v>1.0660000000000001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6" t="s">
        <v>49</v>
      </c>
      <c r="AW1265" s="30" t="s">
        <v>49</v>
      </c>
    </row>
    <row r="1266" spans="1:49" ht="14.4" customHeight="1">
      <c r="A1266" s="1">
        <v>31</v>
      </c>
      <c r="B1266" s="1" t="s">
        <v>38</v>
      </c>
      <c r="C1266" s="1" t="s">
        <v>38</v>
      </c>
      <c r="D1266" s="1" t="s">
        <v>459</v>
      </c>
      <c r="E1266" s="1" t="s">
        <v>460</v>
      </c>
      <c r="F1266" s="1">
        <v>2002</v>
      </c>
      <c r="G1266" s="1" t="s">
        <v>146</v>
      </c>
      <c r="H1266" s="3" t="s">
        <v>461</v>
      </c>
      <c r="I1266" s="3" t="s">
        <v>462</v>
      </c>
      <c r="J1266" s="1" t="s">
        <v>463</v>
      </c>
      <c r="K1266" s="1" t="s">
        <v>49</v>
      </c>
      <c r="L1266" s="3" t="s">
        <v>397</v>
      </c>
      <c r="M1266" s="1" t="s">
        <v>12</v>
      </c>
      <c r="N1266" s="1" t="s">
        <v>76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464</v>
      </c>
      <c r="V1266" s="1" t="s">
        <v>465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466</v>
      </c>
      <c r="AE1266" s="1" t="s">
        <v>85</v>
      </c>
      <c r="AF1266" s="6" t="s">
        <v>49</v>
      </c>
      <c r="AG1266" s="6" t="s">
        <v>49</v>
      </c>
      <c r="AH1266" s="1" t="s">
        <v>199</v>
      </c>
      <c r="AI1266" s="1" t="s">
        <v>200</v>
      </c>
      <c r="AJ1266" s="20" t="s">
        <v>49</v>
      </c>
      <c r="AK1266" s="20" t="s">
        <v>49</v>
      </c>
      <c r="AL1266" s="20" t="s">
        <v>49</v>
      </c>
      <c r="AM1266" s="20" t="s">
        <v>49</v>
      </c>
      <c r="AN1266" s="1" t="s">
        <v>49</v>
      </c>
      <c r="AO1266" s="1" t="s">
        <v>49</v>
      </c>
      <c r="AP1266" s="6">
        <v>1</v>
      </c>
      <c r="AQ1266" s="6">
        <v>0.72699999999999998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6" t="s">
        <v>49</v>
      </c>
      <c r="AW1266" s="30" t="s">
        <v>49</v>
      </c>
    </row>
    <row r="1267" spans="1:49" ht="14.4" customHeight="1">
      <c r="A1267" s="1">
        <v>31</v>
      </c>
      <c r="B1267" s="1" t="s">
        <v>38</v>
      </c>
      <c r="C1267" s="1" t="s">
        <v>38</v>
      </c>
      <c r="D1267" s="1" t="s">
        <v>459</v>
      </c>
      <c r="E1267" s="1" t="s">
        <v>460</v>
      </c>
      <c r="F1267" s="1">
        <v>2002</v>
      </c>
      <c r="G1267" s="1" t="s">
        <v>146</v>
      </c>
      <c r="H1267" s="3" t="s">
        <v>461</v>
      </c>
      <c r="I1267" s="3" t="s">
        <v>462</v>
      </c>
      <c r="J1267" s="1" t="s">
        <v>463</v>
      </c>
      <c r="K1267" s="1" t="s">
        <v>49</v>
      </c>
      <c r="L1267" s="3" t="s">
        <v>397</v>
      </c>
      <c r="M1267" s="1" t="s">
        <v>12</v>
      </c>
      <c r="N1267" s="1" t="s">
        <v>76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464</v>
      </c>
      <c r="V1267" s="1" t="s">
        <v>465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470</v>
      </c>
      <c r="AE1267" s="1" t="s">
        <v>471</v>
      </c>
      <c r="AF1267" s="6" t="s">
        <v>49</v>
      </c>
      <c r="AG1267" s="6" t="s">
        <v>49</v>
      </c>
      <c r="AH1267" s="1" t="s">
        <v>199</v>
      </c>
      <c r="AI1267" s="1" t="s">
        <v>200</v>
      </c>
      <c r="AJ1267" s="20" t="s">
        <v>49</v>
      </c>
      <c r="AK1267" s="20" t="s">
        <v>49</v>
      </c>
      <c r="AL1267" s="20" t="s">
        <v>49</v>
      </c>
      <c r="AM1267" s="20" t="s">
        <v>49</v>
      </c>
      <c r="AN1267" s="1" t="s">
        <v>49</v>
      </c>
      <c r="AO1267" s="1" t="s">
        <v>49</v>
      </c>
      <c r="AP1267" s="6">
        <v>1</v>
      </c>
      <c r="AQ1267" s="6">
        <v>1.071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6" t="s">
        <v>49</v>
      </c>
      <c r="AW1267" s="30" t="s">
        <v>49</v>
      </c>
    </row>
    <row r="1268" spans="1:49" ht="14.4" customHeight="1">
      <c r="A1268" s="1">
        <v>31</v>
      </c>
      <c r="B1268" s="1" t="s">
        <v>38</v>
      </c>
      <c r="C1268" s="1" t="s">
        <v>38</v>
      </c>
      <c r="D1268" s="1" t="s">
        <v>459</v>
      </c>
      <c r="E1268" s="1" t="s">
        <v>460</v>
      </c>
      <c r="F1268" s="1">
        <v>2002</v>
      </c>
      <c r="G1268" s="1" t="s">
        <v>146</v>
      </c>
      <c r="H1268" s="3" t="s">
        <v>461</v>
      </c>
      <c r="I1268" s="3" t="s">
        <v>462</v>
      </c>
      <c r="J1268" s="1" t="s">
        <v>463</v>
      </c>
      <c r="K1268" s="1" t="s">
        <v>49</v>
      </c>
      <c r="L1268" s="3" t="s">
        <v>397</v>
      </c>
      <c r="M1268" s="1" t="s">
        <v>12</v>
      </c>
      <c r="N1268" s="1" t="s">
        <v>76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464</v>
      </c>
      <c r="V1268" s="1" t="s">
        <v>465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470</v>
      </c>
      <c r="AE1268" s="1" t="s">
        <v>85</v>
      </c>
      <c r="AF1268" s="6" t="s">
        <v>49</v>
      </c>
      <c r="AG1268" s="6" t="s">
        <v>49</v>
      </c>
      <c r="AH1268" s="1" t="s">
        <v>199</v>
      </c>
      <c r="AI1268" s="1" t="s">
        <v>200</v>
      </c>
      <c r="AJ1268" s="20" t="s">
        <v>49</v>
      </c>
      <c r="AK1268" s="20" t="s">
        <v>49</v>
      </c>
      <c r="AL1268" s="20" t="s">
        <v>49</v>
      </c>
      <c r="AM1268" s="20" t="s">
        <v>49</v>
      </c>
      <c r="AN1268" s="1" t="s">
        <v>49</v>
      </c>
      <c r="AO1268" s="1" t="s">
        <v>49</v>
      </c>
      <c r="AP1268" s="6">
        <v>1</v>
      </c>
      <c r="AQ1268" s="6">
        <v>0.84499999999999997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6" t="s">
        <v>49</v>
      </c>
      <c r="AW1268" s="30" t="s">
        <v>49</v>
      </c>
    </row>
    <row r="1269" spans="1:49" ht="14.4" customHeight="1">
      <c r="A1269" s="1">
        <v>31</v>
      </c>
      <c r="B1269" s="1" t="s">
        <v>38</v>
      </c>
      <c r="C1269" s="1" t="s">
        <v>38</v>
      </c>
      <c r="D1269" s="1" t="s">
        <v>459</v>
      </c>
      <c r="E1269" s="1" t="s">
        <v>460</v>
      </c>
      <c r="F1269" s="1">
        <v>2002</v>
      </c>
      <c r="G1269" s="1" t="s">
        <v>146</v>
      </c>
      <c r="H1269" s="3" t="s">
        <v>461</v>
      </c>
      <c r="I1269" s="3" t="s">
        <v>462</v>
      </c>
      <c r="J1269" s="1" t="s">
        <v>463</v>
      </c>
      <c r="K1269" s="1" t="s">
        <v>49</v>
      </c>
      <c r="L1269" s="3" t="s">
        <v>397</v>
      </c>
      <c r="M1269" s="1" t="s">
        <v>12</v>
      </c>
      <c r="N1269" s="1" t="s">
        <v>76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464</v>
      </c>
      <c r="V1269" s="1" t="s">
        <v>465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471</v>
      </c>
      <c r="AE1269" s="1" t="s">
        <v>85</v>
      </c>
      <c r="AF1269" s="6" t="s">
        <v>49</v>
      </c>
      <c r="AG1269" s="6" t="s">
        <v>49</v>
      </c>
      <c r="AH1269" s="1" t="s">
        <v>199</v>
      </c>
      <c r="AI1269" s="1" t="s">
        <v>200</v>
      </c>
      <c r="AJ1269" s="20" t="s">
        <v>49</v>
      </c>
      <c r="AK1269" s="20" t="s">
        <v>49</v>
      </c>
      <c r="AL1269" s="20" t="s">
        <v>49</v>
      </c>
      <c r="AM1269" s="20" t="s">
        <v>49</v>
      </c>
      <c r="AN1269" s="1" t="s">
        <v>49</v>
      </c>
      <c r="AO1269" s="1" t="s">
        <v>49</v>
      </c>
      <c r="AP1269" s="6">
        <v>1</v>
      </c>
      <c r="AQ1269" s="6">
        <v>0.73099999999999998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6" t="s">
        <v>49</v>
      </c>
      <c r="AW1269" s="30" t="s">
        <v>49</v>
      </c>
    </row>
    <row r="1270" spans="1:49" ht="14.4" customHeight="1">
      <c r="A1270" s="1">
        <v>39</v>
      </c>
      <c r="B1270" s="1" t="s">
        <v>38</v>
      </c>
      <c r="C1270" s="1" t="s">
        <v>38</v>
      </c>
      <c r="D1270" s="1" t="s">
        <v>553</v>
      </c>
      <c r="E1270" s="1" t="s">
        <v>40</v>
      </c>
      <c r="F1270" s="1">
        <v>1991</v>
      </c>
      <c r="G1270" s="1" t="s">
        <v>177</v>
      </c>
      <c r="H1270" s="3" t="s">
        <v>472</v>
      </c>
      <c r="I1270" s="3" t="s">
        <v>473</v>
      </c>
      <c r="J1270" s="3" t="s">
        <v>474</v>
      </c>
      <c r="K1270" s="3" t="s">
        <v>45</v>
      </c>
      <c r="L1270" s="1" t="s">
        <v>46</v>
      </c>
      <c r="M1270" s="1" t="s">
        <v>115</v>
      </c>
      <c r="N1270" s="1" t="s">
        <v>116</v>
      </c>
      <c r="O1270" s="1">
        <v>1</v>
      </c>
      <c r="P1270" s="1">
        <v>0.83799999999999997</v>
      </c>
      <c r="Q1270" s="1">
        <v>0.83799999999999997</v>
      </c>
      <c r="R1270" s="1">
        <v>1</v>
      </c>
      <c r="S1270" s="1" t="s">
        <v>475</v>
      </c>
      <c r="T1270" s="1" t="s">
        <v>475</v>
      </c>
      <c r="U1270" s="1" t="s">
        <v>476</v>
      </c>
      <c r="V1270" s="1" t="s">
        <v>477</v>
      </c>
      <c r="W1270" s="1">
        <v>30.12</v>
      </c>
      <c r="X1270" s="1">
        <v>-97.364999999999995</v>
      </c>
      <c r="Y1270" s="1" t="s">
        <v>141</v>
      </c>
      <c r="Z1270" s="1" t="s">
        <v>49</v>
      </c>
      <c r="AA1270" s="1" t="s">
        <v>127</v>
      </c>
      <c r="AB1270" s="1" t="s">
        <v>292</v>
      </c>
      <c r="AC1270" s="1" t="s">
        <v>292</v>
      </c>
      <c r="AD1270" s="1" t="s">
        <v>487</v>
      </c>
      <c r="AE1270" s="1" t="s">
        <v>487</v>
      </c>
      <c r="AF1270" s="1" t="s">
        <v>60</v>
      </c>
      <c r="AG1270" s="1" t="s">
        <v>60</v>
      </c>
      <c r="AH1270" s="1" t="s">
        <v>478</v>
      </c>
      <c r="AI1270" s="1" t="s">
        <v>55</v>
      </c>
      <c r="AJ1270" s="1" t="s">
        <v>49</v>
      </c>
      <c r="AK1270" s="1">
        <v>815</v>
      </c>
      <c r="AL1270" s="4">
        <v>0.15</v>
      </c>
      <c r="AM1270" s="4">
        <v>0.42</v>
      </c>
      <c r="AN1270" s="4">
        <f>0.1^2</f>
        <v>1.0000000000000002E-2</v>
      </c>
      <c r="AO1270" s="1" t="s">
        <v>49</v>
      </c>
      <c r="AP1270" s="6">
        <v>1</v>
      </c>
      <c r="AQ1270" s="1" t="s">
        <v>49</v>
      </c>
      <c r="AR1270" s="6" t="s">
        <v>49</v>
      </c>
      <c r="AS1270" s="1">
        <f t="shared" ref="AS1270:AS1277" si="107">AN1270*AL1270</f>
        <v>1.5000000000000002E-3</v>
      </c>
      <c r="AT1270" s="4">
        <f t="shared" ref="AT1270:AT1277" si="108">AS1270/(AM1270^2)*100</f>
        <v>0.85034013605442205</v>
      </c>
      <c r="AU1270" s="5">
        <v>0</v>
      </c>
      <c r="AV1270" s="4">
        <f>AT1270*(1-AL1270)/AL1270</f>
        <v>4.8185941043083913</v>
      </c>
      <c r="AW1270" s="27" t="s">
        <v>479</v>
      </c>
    </row>
    <row r="1271" spans="1:49">
      <c r="A1271" s="1">
        <v>39</v>
      </c>
      <c r="B1271" s="1" t="s">
        <v>38</v>
      </c>
      <c r="C1271" s="1" t="s">
        <v>38</v>
      </c>
      <c r="D1271" s="1" t="s">
        <v>553</v>
      </c>
      <c r="E1271" s="1" t="s">
        <v>40</v>
      </c>
      <c r="F1271" s="1">
        <v>1991</v>
      </c>
      <c r="G1271" s="1" t="s">
        <v>177</v>
      </c>
      <c r="H1271" s="3" t="s">
        <v>472</v>
      </c>
      <c r="I1271" s="3" t="s">
        <v>473</v>
      </c>
      <c r="J1271" s="3" t="s">
        <v>474</v>
      </c>
      <c r="K1271" s="3" t="s">
        <v>45</v>
      </c>
      <c r="L1271" s="1" t="s">
        <v>46</v>
      </c>
      <c r="M1271" s="1" t="s">
        <v>115</v>
      </c>
      <c r="N1271" s="1" t="s">
        <v>116</v>
      </c>
      <c r="O1271" s="1">
        <v>1</v>
      </c>
      <c r="P1271" s="1">
        <v>0.83799999999999997</v>
      </c>
      <c r="Q1271" s="1">
        <v>0.83799999999999997</v>
      </c>
      <c r="R1271" s="1">
        <v>1</v>
      </c>
      <c r="S1271" s="1" t="s">
        <v>475</v>
      </c>
      <c r="T1271" s="1" t="s">
        <v>475</v>
      </c>
      <c r="U1271" s="1" t="s">
        <v>476</v>
      </c>
      <c r="V1271" s="1" t="s">
        <v>477</v>
      </c>
      <c r="W1271" s="1">
        <v>30.12</v>
      </c>
      <c r="X1271" s="1">
        <v>-97.364999999999995</v>
      </c>
      <c r="Y1271" s="1" t="s">
        <v>141</v>
      </c>
      <c r="Z1271" s="1" t="s">
        <v>49</v>
      </c>
      <c r="AA1271" s="1" t="s">
        <v>50</v>
      </c>
      <c r="AB1271" s="1" t="s">
        <v>57</v>
      </c>
      <c r="AC1271" s="1" t="s">
        <v>62</v>
      </c>
      <c r="AD1271" s="1" t="s">
        <v>62</v>
      </c>
      <c r="AE1271" s="1" t="s">
        <v>62</v>
      </c>
      <c r="AF1271" s="1" t="s">
        <v>60</v>
      </c>
      <c r="AG1271" s="1" t="s">
        <v>61</v>
      </c>
      <c r="AH1271" s="1" t="s">
        <v>478</v>
      </c>
      <c r="AI1271" s="1" t="s">
        <v>55</v>
      </c>
      <c r="AJ1271" s="1" t="s">
        <v>49</v>
      </c>
      <c r="AK1271" s="1">
        <v>404</v>
      </c>
      <c r="AL1271" s="4">
        <v>0.14000000000000001</v>
      </c>
      <c r="AM1271" s="4">
        <v>16</v>
      </c>
      <c r="AN1271" s="4">
        <f>1.8^2</f>
        <v>3.24</v>
      </c>
      <c r="AO1271" s="1" t="s">
        <v>49</v>
      </c>
      <c r="AP1271" s="6">
        <v>1</v>
      </c>
      <c r="AQ1271" s="6" t="s">
        <v>49</v>
      </c>
      <c r="AR1271" s="6" t="s">
        <v>49</v>
      </c>
      <c r="AS1271" s="1">
        <f t="shared" si="107"/>
        <v>0.45360000000000006</v>
      </c>
      <c r="AT1271" s="4">
        <f t="shared" si="108"/>
        <v>0.17718750000000003</v>
      </c>
      <c r="AU1271" s="5">
        <v>0</v>
      </c>
      <c r="AV1271" s="4">
        <f>AT1271*(1-AL1271)/AL1271</f>
        <v>1.0884375000000002</v>
      </c>
      <c r="AW1271" s="27" t="s">
        <v>479</v>
      </c>
    </row>
    <row r="1272" spans="1:49" ht="14.4" customHeight="1">
      <c r="A1272" s="1">
        <v>39</v>
      </c>
      <c r="B1272" s="1" t="s">
        <v>38</v>
      </c>
      <c r="C1272" s="1" t="s">
        <v>38</v>
      </c>
      <c r="D1272" s="1" t="s">
        <v>553</v>
      </c>
      <c r="E1272" s="1" t="s">
        <v>40</v>
      </c>
      <c r="F1272" s="1">
        <v>1991</v>
      </c>
      <c r="G1272" s="1" t="s">
        <v>177</v>
      </c>
      <c r="H1272" s="3" t="s">
        <v>472</v>
      </c>
      <c r="I1272" s="3" t="s">
        <v>473</v>
      </c>
      <c r="J1272" s="3" t="s">
        <v>474</v>
      </c>
      <c r="K1272" s="3" t="s">
        <v>45</v>
      </c>
      <c r="L1272" s="1" t="s">
        <v>46</v>
      </c>
      <c r="M1272" s="1" t="s">
        <v>115</v>
      </c>
      <c r="N1272" s="1" t="s">
        <v>116</v>
      </c>
      <c r="O1272" s="1">
        <v>1</v>
      </c>
      <c r="P1272" s="1">
        <v>0.83799999999999997</v>
      </c>
      <c r="Q1272" s="1">
        <v>0.83799999999999997</v>
      </c>
      <c r="R1272" s="1">
        <v>1</v>
      </c>
      <c r="S1272" s="1" t="s">
        <v>475</v>
      </c>
      <c r="T1272" s="1" t="s">
        <v>475</v>
      </c>
      <c r="U1272" s="1" t="s">
        <v>476</v>
      </c>
      <c r="V1272" s="1" t="s">
        <v>477</v>
      </c>
      <c r="W1272" s="1">
        <v>30.12</v>
      </c>
      <c r="X1272" s="1">
        <v>-97.364999999999995</v>
      </c>
      <c r="Y1272" s="1" t="s">
        <v>141</v>
      </c>
      <c r="Z1272" s="1" t="s">
        <v>49</v>
      </c>
      <c r="AA1272" s="1" t="s">
        <v>50</v>
      </c>
      <c r="AB1272" s="1" t="s">
        <v>66</v>
      </c>
      <c r="AC1272" s="1" t="s">
        <v>124</v>
      </c>
      <c r="AD1272" s="1" t="s">
        <v>125</v>
      </c>
      <c r="AE1272" s="1" t="s">
        <v>125</v>
      </c>
      <c r="AF1272" s="1" t="s">
        <v>60</v>
      </c>
      <c r="AG1272" s="1" t="s">
        <v>61</v>
      </c>
      <c r="AH1272" s="1" t="s">
        <v>478</v>
      </c>
      <c r="AI1272" s="1" t="s">
        <v>55</v>
      </c>
      <c r="AJ1272" s="1" t="s">
        <v>49</v>
      </c>
      <c r="AK1272" s="1">
        <v>404</v>
      </c>
      <c r="AL1272" s="4">
        <v>0.15</v>
      </c>
      <c r="AM1272" s="4">
        <v>8.6999999999999993</v>
      </c>
      <c r="AN1272" s="4">
        <f>1.8^2</f>
        <v>3.24</v>
      </c>
      <c r="AO1272" s="1" t="s">
        <v>49</v>
      </c>
      <c r="AP1272" s="6">
        <v>1</v>
      </c>
      <c r="AQ1272" s="1" t="s">
        <v>49</v>
      </c>
      <c r="AR1272" s="6" t="s">
        <v>49</v>
      </c>
      <c r="AS1272" s="1">
        <f t="shared" si="107"/>
        <v>0.48599999999999999</v>
      </c>
      <c r="AT1272" s="4">
        <f t="shared" si="108"/>
        <v>0.64209274673008332</v>
      </c>
      <c r="AU1272" s="5">
        <v>0</v>
      </c>
      <c r="AV1272" s="4">
        <f>AT1272*(1-AL1272)/AL1272</f>
        <v>3.6385255648038051</v>
      </c>
      <c r="AW1272" s="27" t="s">
        <v>479</v>
      </c>
    </row>
    <row r="1273" spans="1:49">
      <c r="A1273" s="1">
        <v>39</v>
      </c>
      <c r="B1273" s="1" t="s">
        <v>38</v>
      </c>
      <c r="C1273" s="1" t="s">
        <v>38</v>
      </c>
      <c r="D1273" s="1" t="s">
        <v>553</v>
      </c>
      <c r="E1273" s="1" t="s">
        <v>40</v>
      </c>
      <c r="F1273" s="1">
        <v>1991</v>
      </c>
      <c r="G1273" s="1" t="s">
        <v>177</v>
      </c>
      <c r="H1273" s="3" t="s">
        <v>472</v>
      </c>
      <c r="I1273" s="3" t="s">
        <v>473</v>
      </c>
      <c r="J1273" s="3" t="s">
        <v>474</v>
      </c>
      <c r="K1273" s="3" t="s">
        <v>45</v>
      </c>
      <c r="L1273" s="1" t="s">
        <v>46</v>
      </c>
      <c r="M1273" s="1" t="s">
        <v>115</v>
      </c>
      <c r="N1273" s="1" t="s">
        <v>116</v>
      </c>
      <c r="O1273" s="1">
        <v>1</v>
      </c>
      <c r="P1273" s="1">
        <v>0.83799999999999997</v>
      </c>
      <c r="Q1273" s="1">
        <v>0.83799999999999997</v>
      </c>
      <c r="R1273" s="1">
        <v>1</v>
      </c>
      <c r="S1273" s="1" t="s">
        <v>475</v>
      </c>
      <c r="T1273" s="1" t="s">
        <v>475</v>
      </c>
      <c r="U1273" s="1" t="s">
        <v>476</v>
      </c>
      <c r="V1273" s="1" t="s">
        <v>477</v>
      </c>
      <c r="W1273" s="1">
        <v>30.12</v>
      </c>
      <c r="X1273" s="1">
        <v>-97.364999999999995</v>
      </c>
      <c r="Y1273" s="1" t="s">
        <v>141</v>
      </c>
      <c r="Z1273" s="1" t="s">
        <v>49</v>
      </c>
      <c r="AA1273" s="1" t="s">
        <v>50</v>
      </c>
      <c r="AB1273" s="1" t="s">
        <v>208</v>
      </c>
      <c r="AC1273" s="1" t="s">
        <v>211</v>
      </c>
      <c r="AD1273" s="1" t="s">
        <v>480</v>
      </c>
      <c r="AE1273" s="1" t="s">
        <v>480</v>
      </c>
      <c r="AF1273" s="1" t="s">
        <v>60</v>
      </c>
      <c r="AG1273" s="1" t="s">
        <v>173</v>
      </c>
      <c r="AH1273" s="1" t="s">
        <v>478</v>
      </c>
      <c r="AI1273" s="1" t="s">
        <v>55</v>
      </c>
      <c r="AJ1273" s="1" t="s">
        <v>49</v>
      </c>
      <c r="AK1273" s="1">
        <v>1875</v>
      </c>
      <c r="AL1273" s="4">
        <v>0</v>
      </c>
      <c r="AM1273" s="4">
        <v>2.0099999999999998</v>
      </c>
      <c r="AN1273" s="4">
        <f>0.4^2</f>
        <v>0.16000000000000003</v>
      </c>
      <c r="AO1273" s="1" t="s">
        <v>49</v>
      </c>
      <c r="AP1273" s="6">
        <v>1</v>
      </c>
      <c r="AQ1273" s="6" t="s">
        <v>49</v>
      </c>
      <c r="AR1273" s="6" t="s">
        <v>49</v>
      </c>
      <c r="AS1273" s="1">
        <f t="shared" si="107"/>
        <v>0</v>
      </c>
      <c r="AT1273" s="4">
        <f t="shared" si="108"/>
        <v>0</v>
      </c>
      <c r="AU1273" s="5">
        <v>0</v>
      </c>
      <c r="AV1273" s="4">
        <f>AN1273/(AM1273^2)*100</f>
        <v>3.9602980124254366</v>
      </c>
      <c r="AW1273" s="27" t="s">
        <v>479</v>
      </c>
    </row>
    <row r="1274" spans="1:49" ht="14.4" customHeight="1">
      <c r="A1274" s="1">
        <v>39</v>
      </c>
      <c r="B1274" s="1" t="s">
        <v>38</v>
      </c>
      <c r="C1274" s="1" t="s">
        <v>38</v>
      </c>
      <c r="D1274" s="1" t="s">
        <v>553</v>
      </c>
      <c r="E1274" s="1" t="s">
        <v>40</v>
      </c>
      <c r="F1274" s="1">
        <v>1991</v>
      </c>
      <c r="G1274" s="1" t="s">
        <v>177</v>
      </c>
      <c r="H1274" s="3" t="s">
        <v>472</v>
      </c>
      <c r="I1274" s="3" t="s">
        <v>473</v>
      </c>
      <c r="J1274" s="3" t="s">
        <v>474</v>
      </c>
      <c r="K1274" s="3" t="s">
        <v>45</v>
      </c>
      <c r="L1274" s="1" t="s">
        <v>46</v>
      </c>
      <c r="M1274" s="1" t="s">
        <v>115</v>
      </c>
      <c r="N1274" s="1" t="s">
        <v>116</v>
      </c>
      <c r="O1274" s="1">
        <v>1</v>
      </c>
      <c r="P1274" s="1">
        <v>0.83799999999999997</v>
      </c>
      <c r="Q1274" s="1">
        <v>0.83799999999999997</v>
      </c>
      <c r="R1274" s="1">
        <v>1</v>
      </c>
      <c r="S1274" s="1" t="s">
        <v>475</v>
      </c>
      <c r="T1274" s="1" t="s">
        <v>475</v>
      </c>
      <c r="U1274" s="1" t="s">
        <v>476</v>
      </c>
      <c r="V1274" s="1" t="s">
        <v>477</v>
      </c>
      <c r="W1274" s="1">
        <v>30.12</v>
      </c>
      <c r="X1274" s="1">
        <v>-97.364999999999995</v>
      </c>
      <c r="Y1274" s="1" t="s">
        <v>141</v>
      </c>
      <c r="Z1274" s="1" t="s">
        <v>49</v>
      </c>
      <c r="AA1274" s="1" t="s">
        <v>50</v>
      </c>
      <c r="AB1274" s="1" t="s">
        <v>208</v>
      </c>
      <c r="AC1274" s="1" t="s">
        <v>211</v>
      </c>
      <c r="AD1274" s="1" t="s">
        <v>481</v>
      </c>
      <c r="AE1274" s="1" t="s">
        <v>481</v>
      </c>
      <c r="AF1274" s="1" t="s">
        <v>60</v>
      </c>
      <c r="AG1274" s="1" t="s">
        <v>173</v>
      </c>
      <c r="AH1274" s="1" t="s">
        <v>478</v>
      </c>
      <c r="AI1274" s="1" t="s">
        <v>55</v>
      </c>
      <c r="AJ1274" s="1" t="s">
        <v>49</v>
      </c>
      <c r="AK1274" s="1">
        <v>247</v>
      </c>
      <c r="AL1274" s="4">
        <v>0.02</v>
      </c>
      <c r="AM1274" s="4">
        <v>1.62</v>
      </c>
      <c r="AN1274" s="4">
        <f>0.4^2</f>
        <v>0.16000000000000003</v>
      </c>
      <c r="AO1274" s="1" t="s">
        <v>49</v>
      </c>
      <c r="AP1274" s="6">
        <v>1</v>
      </c>
      <c r="AQ1274" s="1" t="s">
        <v>49</v>
      </c>
      <c r="AR1274" s="6" t="s">
        <v>49</v>
      </c>
      <c r="AS1274" s="1">
        <f t="shared" si="107"/>
        <v>3.2000000000000006E-3</v>
      </c>
      <c r="AT1274" s="4">
        <f t="shared" si="108"/>
        <v>0.12193263222069807</v>
      </c>
      <c r="AU1274" s="5">
        <v>0</v>
      </c>
      <c r="AV1274" s="4">
        <f>AT1274*(1-AL1274)/AL1274</f>
        <v>5.9746989788142049</v>
      </c>
      <c r="AW1274" s="27" t="s">
        <v>479</v>
      </c>
    </row>
    <row r="1275" spans="1:49" ht="14.4" customHeight="1">
      <c r="A1275" s="1">
        <v>39</v>
      </c>
      <c r="B1275" s="1" t="s">
        <v>38</v>
      </c>
      <c r="C1275" s="1" t="s">
        <v>38</v>
      </c>
      <c r="D1275" s="1" t="s">
        <v>553</v>
      </c>
      <c r="E1275" s="1" t="s">
        <v>40</v>
      </c>
      <c r="F1275" s="1">
        <v>1991</v>
      </c>
      <c r="G1275" s="1" t="s">
        <v>177</v>
      </c>
      <c r="H1275" s="3" t="s">
        <v>472</v>
      </c>
      <c r="I1275" s="3" t="s">
        <v>473</v>
      </c>
      <c r="J1275" s="3" t="s">
        <v>474</v>
      </c>
      <c r="K1275" s="3" t="s">
        <v>45</v>
      </c>
      <c r="L1275" s="1" t="s">
        <v>46</v>
      </c>
      <c r="M1275" s="1" t="s">
        <v>115</v>
      </c>
      <c r="N1275" s="1" t="s">
        <v>116</v>
      </c>
      <c r="O1275" s="1">
        <v>1</v>
      </c>
      <c r="P1275" s="1">
        <v>0.83799999999999997</v>
      </c>
      <c r="Q1275" s="1">
        <v>0.83799999999999997</v>
      </c>
      <c r="R1275" s="1">
        <v>1</v>
      </c>
      <c r="S1275" s="1" t="s">
        <v>475</v>
      </c>
      <c r="T1275" s="1" t="s">
        <v>475</v>
      </c>
      <c r="U1275" s="1" t="s">
        <v>476</v>
      </c>
      <c r="V1275" s="1" t="s">
        <v>477</v>
      </c>
      <c r="W1275" s="1">
        <v>30.12</v>
      </c>
      <c r="X1275" s="1">
        <v>-97.364999999999995</v>
      </c>
      <c r="Y1275" s="1" t="s">
        <v>141</v>
      </c>
      <c r="Z1275" s="1" t="s">
        <v>49</v>
      </c>
      <c r="AA1275" s="1" t="s">
        <v>50</v>
      </c>
      <c r="AB1275" s="1" t="s">
        <v>66</v>
      </c>
      <c r="AC1275" s="1" t="s">
        <v>67</v>
      </c>
      <c r="AD1275" s="1" t="s">
        <v>405</v>
      </c>
      <c r="AE1275" s="1" t="s">
        <v>405</v>
      </c>
      <c r="AF1275" s="1" t="s">
        <v>60</v>
      </c>
      <c r="AG1275" s="1" t="s">
        <v>61</v>
      </c>
      <c r="AH1275" s="1" t="s">
        <v>478</v>
      </c>
      <c r="AI1275" s="1" t="s">
        <v>55</v>
      </c>
      <c r="AJ1275" s="1" t="s">
        <v>49</v>
      </c>
      <c r="AK1275" s="1">
        <v>404</v>
      </c>
      <c r="AL1275" s="4">
        <v>0</v>
      </c>
      <c r="AM1275" s="4">
        <v>19.86</v>
      </c>
      <c r="AN1275" s="4">
        <f>3.4^2</f>
        <v>11.559999999999999</v>
      </c>
      <c r="AO1275" s="1" t="s">
        <v>49</v>
      </c>
      <c r="AP1275" s="6">
        <v>1</v>
      </c>
      <c r="AQ1275" s="6" t="s">
        <v>49</v>
      </c>
      <c r="AR1275" s="6" t="s">
        <v>49</v>
      </c>
      <c r="AS1275" s="1">
        <f t="shared" si="107"/>
        <v>0</v>
      </c>
      <c r="AT1275" s="4">
        <f t="shared" si="108"/>
        <v>0</v>
      </c>
      <c r="AU1275" s="5">
        <v>0</v>
      </c>
      <c r="AV1275" s="4">
        <f>AN1275/(AM1275^2)*100</f>
        <v>2.9308888300682825</v>
      </c>
      <c r="AW1275" s="27" t="s">
        <v>479</v>
      </c>
    </row>
    <row r="1276" spans="1:49" ht="14.4" customHeight="1">
      <c r="A1276" s="1">
        <v>39</v>
      </c>
      <c r="B1276" s="1" t="s">
        <v>38</v>
      </c>
      <c r="C1276" s="1" t="s">
        <v>38</v>
      </c>
      <c r="D1276" s="1" t="s">
        <v>553</v>
      </c>
      <c r="E1276" s="1" t="s">
        <v>40</v>
      </c>
      <c r="F1276" s="1">
        <v>1991</v>
      </c>
      <c r="G1276" s="1" t="s">
        <v>177</v>
      </c>
      <c r="H1276" s="3" t="s">
        <v>472</v>
      </c>
      <c r="I1276" s="3" t="s">
        <v>473</v>
      </c>
      <c r="J1276" s="3" t="s">
        <v>474</v>
      </c>
      <c r="K1276" s="3" t="s">
        <v>45</v>
      </c>
      <c r="L1276" s="1" t="s">
        <v>46</v>
      </c>
      <c r="M1276" s="1" t="s">
        <v>115</v>
      </c>
      <c r="N1276" s="1" t="s">
        <v>116</v>
      </c>
      <c r="O1276" s="1">
        <v>1</v>
      </c>
      <c r="P1276" s="1">
        <v>0.83799999999999997</v>
      </c>
      <c r="Q1276" s="1">
        <v>0.83799999999999997</v>
      </c>
      <c r="R1276" s="1">
        <v>1</v>
      </c>
      <c r="S1276" s="1" t="s">
        <v>475</v>
      </c>
      <c r="T1276" s="1" t="s">
        <v>475</v>
      </c>
      <c r="U1276" s="1" t="s">
        <v>476</v>
      </c>
      <c r="V1276" s="1" t="s">
        <v>477</v>
      </c>
      <c r="W1276" s="1">
        <v>30.12</v>
      </c>
      <c r="X1276" s="1">
        <v>-97.364999999999995</v>
      </c>
      <c r="Y1276" s="1" t="s">
        <v>141</v>
      </c>
      <c r="Z1276" s="1" t="s">
        <v>49</v>
      </c>
      <c r="AA1276" s="1" t="s">
        <v>94</v>
      </c>
      <c r="AB1276" s="1" t="s">
        <v>482</v>
      </c>
      <c r="AC1276" s="1" t="s">
        <v>482</v>
      </c>
      <c r="AD1276" s="1" t="s">
        <v>483</v>
      </c>
      <c r="AE1276" s="1" t="s">
        <v>483</v>
      </c>
      <c r="AF1276" s="1" t="s">
        <v>484</v>
      </c>
      <c r="AG1276" s="1" t="s">
        <v>484</v>
      </c>
      <c r="AH1276" s="1" t="s">
        <v>478</v>
      </c>
      <c r="AI1276" s="1" t="s">
        <v>55</v>
      </c>
      <c r="AJ1276" s="1" t="s">
        <v>49</v>
      </c>
      <c r="AK1276" s="1">
        <v>855</v>
      </c>
      <c r="AL1276" s="4">
        <v>0</v>
      </c>
      <c r="AM1276" s="4">
        <v>40.229999999999997</v>
      </c>
      <c r="AN1276" s="4">
        <f>14^2</f>
        <v>196</v>
      </c>
      <c r="AO1276" s="1" t="s">
        <v>49</v>
      </c>
      <c r="AP1276" s="6">
        <v>1</v>
      </c>
      <c r="AQ1276" s="1" t="s">
        <v>49</v>
      </c>
      <c r="AR1276" s="6" t="s">
        <v>49</v>
      </c>
      <c r="AS1276" s="1">
        <f t="shared" si="107"/>
        <v>0</v>
      </c>
      <c r="AT1276" s="4">
        <f t="shared" si="108"/>
        <v>0</v>
      </c>
      <c r="AU1276" s="5">
        <v>0</v>
      </c>
      <c r="AV1276" s="4">
        <f>AN1276/(AM1276^2)*100</f>
        <v>12.110330798010867</v>
      </c>
      <c r="AW1276" s="27" t="s">
        <v>479</v>
      </c>
    </row>
    <row r="1277" spans="1:49" ht="14.4" customHeight="1">
      <c r="A1277" s="1">
        <v>39</v>
      </c>
      <c r="B1277" s="1" t="s">
        <v>38</v>
      </c>
      <c r="C1277" s="1" t="s">
        <v>38</v>
      </c>
      <c r="D1277" s="1" t="s">
        <v>553</v>
      </c>
      <c r="E1277" s="1" t="s">
        <v>40</v>
      </c>
      <c r="F1277" s="1">
        <v>1991</v>
      </c>
      <c r="G1277" s="1" t="s">
        <v>177</v>
      </c>
      <c r="H1277" s="3" t="s">
        <v>472</v>
      </c>
      <c r="I1277" s="3" t="s">
        <v>473</v>
      </c>
      <c r="J1277" s="3" t="s">
        <v>474</v>
      </c>
      <c r="K1277" s="3" t="s">
        <v>45</v>
      </c>
      <c r="L1277" s="1" t="s">
        <v>46</v>
      </c>
      <c r="M1277" s="1" t="s">
        <v>115</v>
      </c>
      <c r="N1277" s="1" t="s">
        <v>116</v>
      </c>
      <c r="O1277" s="1">
        <v>1</v>
      </c>
      <c r="P1277" s="1">
        <v>0.83799999999999997</v>
      </c>
      <c r="Q1277" s="1">
        <v>0.83799999999999997</v>
      </c>
      <c r="R1277" s="1">
        <v>1</v>
      </c>
      <c r="S1277" s="1" t="s">
        <v>475</v>
      </c>
      <c r="T1277" s="1" t="s">
        <v>475</v>
      </c>
      <c r="U1277" s="1" t="s">
        <v>476</v>
      </c>
      <c r="V1277" s="1" t="s">
        <v>477</v>
      </c>
      <c r="W1277" s="1">
        <v>30.12</v>
      </c>
      <c r="X1277" s="1">
        <v>-97.364999999999995</v>
      </c>
      <c r="Y1277" s="1" t="s">
        <v>141</v>
      </c>
      <c r="Z1277" s="1" t="s">
        <v>49</v>
      </c>
      <c r="AA1277" s="1" t="s">
        <v>127</v>
      </c>
      <c r="AB1277" s="1" t="s">
        <v>485</v>
      </c>
      <c r="AC1277" s="1" t="s">
        <v>486</v>
      </c>
      <c r="AD1277" s="1" t="s">
        <v>486</v>
      </c>
      <c r="AE1277" s="1" t="s">
        <v>486</v>
      </c>
      <c r="AF1277" s="1" t="s">
        <v>60</v>
      </c>
      <c r="AG1277" s="1" t="s">
        <v>129</v>
      </c>
      <c r="AH1277" s="1" t="s">
        <v>478</v>
      </c>
      <c r="AI1277" s="1" t="s">
        <v>55</v>
      </c>
      <c r="AJ1277" s="1" t="s">
        <v>49</v>
      </c>
      <c r="AK1277" s="1">
        <v>815</v>
      </c>
      <c r="AL1277" s="4">
        <v>0.01</v>
      </c>
      <c r="AM1277" s="4">
        <v>42.27</v>
      </c>
      <c r="AN1277" s="4">
        <f>28^2</f>
        <v>784</v>
      </c>
      <c r="AO1277" s="1" t="s">
        <v>49</v>
      </c>
      <c r="AP1277" s="6">
        <v>1</v>
      </c>
      <c r="AQ1277" s="6" t="s">
        <v>49</v>
      </c>
      <c r="AR1277" s="6" t="s">
        <v>49</v>
      </c>
      <c r="AS1277" s="1">
        <f t="shared" si="107"/>
        <v>7.84</v>
      </c>
      <c r="AT1277" s="4">
        <f t="shared" si="108"/>
        <v>0.43878479223400163</v>
      </c>
      <c r="AU1277" s="5">
        <v>0</v>
      </c>
      <c r="AV1277" s="4">
        <f>AT1277*(1-AL1277)/AL1277</f>
        <v>43.43969443116616</v>
      </c>
      <c r="AW1277" s="27" t="s">
        <v>479</v>
      </c>
    </row>
    <row r="1278" spans="1:49">
      <c r="A1278" s="1">
        <v>39</v>
      </c>
      <c r="B1278" s="1" t="s">
        <v>38</v>
      </c>
      <c r="C1278" s="1" t="s">
        <v>38</v>
      </c>
      <c r="D1278" s="1" t="s">
        <v>553</v>
      </c>
      <c r="E1278" s="1" t="s">
        <v>40</v>
      </c>
      <c r="F1278" s="1">
        <v>1991</v>
      </c>
      <c r="G1278" s="1" t="s">
        <v>177</v>
      </c>
      <c r="H1278" s="3" t="s">
        <v>472</v>
      </c>
      <c r="I1278" s="3" t="s">
        <v>473</v>
      </c>
      <c r="J1278" s="3" t="s">
        <v>474</v>
      </c>
      <c r="K1278" s="3" t="s">
        <v>45</v>
      </c>
      <c r="L1278" s="1" t="s">
        <v>46</v>
      </c>
      <c r="M1278" s="1" t="s">
        <v>115</v>
      </c>
      <c r="N1278" s="1" t="s">
        <v>116</v>
      </c>
      <c r="O1278" s="1">
        <v>1</v>
      </c>
      <c r="P1278" s="1">
        <v>0.83799999999999997</v>
      </c>
      <c r="Q1278" s="1">
        <v>0.83799999999999997</v>
      </c>
      <c r="R1278" s="1">
        <v>1</v>
      </c>
      <c r="S1278" s="1" t="s">
        <v>475</v>
      </c>
      <c r="T1278" s="1" t="s">
        <v>475</v>
      </c>
      <c r="U1278" s="1" t="s">
        <v>476</v>
      </c>
      <c r="V1278" s="1" t="s">
        <v>477</v>
      </c>
      <c r="W1278" s="1">
        <v>30.12</v>
      </c>
      <c r="X1278" s="1">
        <v>-97.364999999999995</v>
      </c>
      <c r="Y1278" s="1" t="s">
        <v>141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487</v>
      </c>
      <c r="AE1278" s="1" t="s">
        <v>62</v>
      </c>
      <c r="AF1278" s="6" t="s">
        <v>49</v>
      </c>
      <c r="AG1278" s="6" t="s">
        <v>49</v>
      </c>
      <c r="AH1278" s="1" t="s">
        <v>478</v>
      </c>
      <c r="AI1278" s="1" t="s">
        <v>55</v>
      </c>
      <c r="AJ1278" s="20" t="s">
        <v>49</v>
      </c>
      <c r="AK1278" s="20" t="s">
        <v>49</v>
      </c>
      <c r="AL1278" s="20" t="s">
        <v>49</v>
      </c>
      <c r="AM1278" s="20" t="s">
        <v>49</v>
      </c>
      <c r="AN1278" s="1" t="s">
        <v>49</v>
      </c>
      <c r="AO1278" s="1" t="s">
        <v>49</v>
      </c>
      <c r="AP1278" s="6">
        <v>1</v>
      </c>
      <c r="AQ1278" s="6">
        <v>-0.1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6" t="s">
        <v>49</v>
      </c>
      <c r="AW1278" s="13" t="s">
        <v>49</v>
      </c>
    </row>
    <row r="1279" spans="1:49">
      <c r="A1279" s="1">
        <v>39</v>
      </c>
      <c r="B1279" s="1" t="s">
        <v>38</v>
      </c>
      <c r="C1279" s="1" t="s">
        <v>38</v>
      </c>
      <c r="D1279" s="1" t="s">
        <v>553</v>
      </c>
      <c r="E1279" s="1" t="s">
        <v>40</v>
      </c>
      <c r="F1279" s="1">
        <v>1991</v>
      </c>
      <c r="G1279" s="1" t="s">
        <v>177</v>
      </c>
      <c r="H1279" s="3" t="s">
        <v>472</v>
      </c>
      <c r="I1279" s="3" t="s">
        <v>473</v>
      </c>
      <c r="J1279" s="3" t="s">
        <v>474</v>
      </c>
      <c r="K1279" s="3" t="s">
        <v>45</v>
      </c>
      <c r="L1279" s="1" t="s">
        <v>46</v>
      </c>
      <c r="M1279" s="1" t="s">
        <v>115</v>
      </c>
      <c r="N1279" s="1" t="s">
        <v>116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475</v>
      </c>
      <c r="T1279" s="1" t="s">
        <v>475</v>
      </c>
      <c r="U1279" s="1" t="s">
        <v>476</v>
      </c>
      <c r="V1279" s="1" t="s">
        <v>477</v>
      </c>
      <c r="W1279" s="1">
        <v>30.12</v>
      </c>
      <c r="X1279" s="1">
        <v>-97.364999999999995</v>
      </c>
      <c r="Y1279" s="1" t="s">
        <v>141</v>
      </c>
      <c r="Z1279" s="1" t="s">
        <v>49</v>
      </c>
      <c r="AA1279" s="6" t="s">
        <v>49</v>
      </c>
      <c r="AB1279" s="6" t="s">
        <v>49</v>
      </c>
      <c r="AC1279" s="6" t="s">
        <v>49</v>
      </c>
      <c r="AD1279" s="1" t="s">
        <v>487</v>
      </c>
      <c r="AE1279" s="1" t="s">
        <v>125</v>
      </c>
      <c r="AF1279" s="6" t="s">
        <v>49</v>
      </c>
      <c r="AG1279" s="6" t="s">
        <v>49</v>
      </c>
      <c r="AH1279" s="1" t="s">
        <v>478</v>
      </c>
      <c r="AI1279" s="1" t="s">
        <v>55</v>
      </c>
      <c r="AJ1279" s="20" t="s">
        <v>49</v>
      </c>
      <c r="AK1279" s="20" t="s">
        <v>49</v>
      </c>
      <c r="AL1279" s="20" t="s">
        <v>49</v>
      </c>
      <c r="AM1279" s="20" t="s">
        <v>49</v>
      </c>
      <c r="AN1279" s="1" t="s">
        <v>49</v>
      </c>
      <c r="AO1279" s="1" t="s">
        <v>49</v>
      </c>
      <c r="AP1279" s="6">
        <v>1</v>
      </c>
      <c r="AQ1279" s="6">
        <v>0.14000000000000001</v>
      </c>
      <c r="AR1279" s="6" t="s">
        <v>49</v>
      </c>
      <c r="AS1279" s="6" t="s">
        <v>49</v>
      </c>
      <c r="AT1279" s="6" t="s">
        <v>49</v>
      </c>
      <c r="AU1279" s="6" t="s">
        <v>49</v>
      </c>
      <c r="AV1279" s="6" t="s">
        <v>49</v>
      </c>
      <c r="AW1279" s="13" t="s">
        <v>49</v>
      </c>
    </row>
    <row r="1280" spans="1:49">
      <c r="A1280" s="1">
        <v>39</v>
      </c>
      <c r="B1280" s="1" t="s">
        <v>38</v>
      </c>
      <c r="C1280" s="1" t="s">
        <v>38</v>
      </c>
      <c r="D1280" s="1" t="s">
        <v>553</v>
      </c>
      <c r="E1280" s="1" t="s">
        <v>40</v>
      </c>
      <c r="F1280" s="1">
        <v>1991</v>
      </c>
      <c r="G1280" s="1" t="s">
        <v>177</v>
      </c>
      <c r="H1280" s="3" t="s">
        <v>472</v>
      </c>
      <c r="I1280" s="3" t="s">
        <v>473</v>
      </c>
      <c r="J1280" s="3" t="s">
        <v>474</v>
      </c>
      <c r="K1280" s="3" t="s">
        <v>45</v>
      </c>
      <c r="L1280" s="1" t="s">
        <v>46</v>
      </c>
      <c r="M1280" s="1" t="s">
        <v>115</v>
      </c>
      <c r="N1280" s="1" t="s">
        <v>116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475</v>
      </c>
      <c r="T1280" s="1" t="s">
        <v>475</v>
      </c>
      <c r="U1280" s="1" t="s">
        <v>476</v>
      </c>
      <c r="V1280" s="1" t="s">
        <v>477</v>
      </c>
      <c r="W1280" s="1">
        <v>30.12</v>
      </c>
      <c r="X1280" s="1">
        <v>-97.364999999999995</v>
      </c>
      <c r="Y1280" s="1" t="s">
        <v>141</v>
      </c>
      <c r="Z1280" s="1" t="s">
        <v>49</v>
      </c>
      <c r="AA1280" s="6" t="s">
        <v>49</v>
      </c>
      <c r="AB1280" s="6" t="s">
        <v>49</v>
      </c>
      <c r="AC1280" s="6" t="s">
        <v>49</v>
      </c>
      <c r="AD1280" s="1" t="s">
        <v>62</v>
      </c>
      <c r="AE1280" s="1" t="s">
        <v>125</v>
      </c>
      <c r="AF1280" s="6" t="s">
        <v>49</v>
      </c>
      <c r="AG1280" s="6" t="s">
        <v>49</v>
      </c>
      <c r="AH1280" s="1" t="s">
        <v>478</v>
      </c>
      <c r="AI1280" s="1" t="s">
        <v>55</v>
      </c>
      <c r="AJ1280" s="20" t="s">
        <v>49</v>
      </c>
      <c r="AK1280" s="20" t="s">
        <v>49</v>
      </c>
      <c r="AL1280" s="20" t="s">
        <v>49</v>
      </c>
      <c r="AM1280" s="20" t="s">
        <v>49</v>
      </c>
      <c r="AN1280" s="1" t="s">
        <v>49</v>
      </c>
      <c r="AO1280" s="1" t="s">
        <v>49</v>
      </c>
      <c r="AP1280" s="6">
        <v>1</v>
      </c>
      <c r="AQ1280" s="6">
        <v>1.06</v>
      </c>
      <c r="AR1280" s="6" t="s">
        <v>49</v>
      </c>
      <c r="AS1280" s="6" t="s">
        <v>49</v>
      </c>
      <c r="AT1280" s="6" t="s">
        <v>49</v>
      </c>
      <c r="AU1280" s="6" t="s">
        <v>49</v>
      </c>
      <c r="AV1280" s="6" t="s">
        <v>49</v>
      </c>
      <c r="AW1280" s="13" t="s">
        <v>49</v>
      </c>
    </row>
    <row r="1281" spans="1:49" ht="15" customHeight="1">
      <c r="A1281" s="1">
        <v>14</v>
      </c>
      <c r="B1281" s="1" t="s">
        <v>38</v>
      </c>
      <c r="C1281" s="1" t="s">
        <v>38</v>
      </c>
      <c r="D1281" s="3" t="s">
        <v>554</v>
      </c>
      <c r="E1281" s="3" t="s">
        <v>488</v>
      </c>
      <c r="F1281" s="3">
        <v>2008</v>
      </c>
      <c r="G1281" s="3" t="s">
        <v>177</v>
      </c>
      <c r="H1281" s="3" t="s">
        <v>430</v>
      </c>
      <c r="I1281" s="3" t="s">
        <v>489</v>
      </c>
      <c r="J1281" s="3" t="s">
        <v>490</v>
      </c>
      <c r="K1281" s="3" t="s">
        <v>45</v>
      </c>
      <c r="L1281" s="3" t="s">
        <v>46</v>
      </c>
      <c r="M1281" s="1" t="s">
        <v>115</v>
      </c>
      <c r="N1281" s="1" t="s">
        <v>116</v>
      </c>
      <c r="O1281" s="1">
        <v>1</v>
      </c>
      <c r="P1281" s="1">
        <v>1</v>
      </c>
      <c r="Q1281" s="1" t="s">
        <v>49</v>
      </c>
      <c r="R1281" s="1">
        <v>1</v>
      </c>
      <c r="S1281" s="1" t="s">
        <v>491</v>
      </c>
      <c r="T1281" s="1" t="s">
        <v>491</v>
      </c>
      <c r="U1281" s="1" t="s">
        <v>119</v>
      </c>
      <c r="V1281" s="3" t="s">
        <v>492</v>
      </c>
      <c r="W1281" s="3">
        <v>38.547220000000003</v>
      </c>
      <c r="X1281" s="3">
        <v>-107.190556</v>
      </c>
      <c r="Y1281" s="3" t="s">
        <v>48</v>
      </c>
      <c r="Z1281" s="1" t="s">
        <v>49</v>
      </c>
      <c r="AA1281" s="1" t="s">
        <v>50</v>
      </c>
      <c r="AB1281" s="1" t="s">
        <v>57</v>
      </c>
      <c r="AC1281" s="1" t="s">
        <v>62</v>
      </c>
      <c r="AD1281" s="1" t="s">
        <v>62</v>
      </c>
      <c r="AE1281" s="1" t="s">
        <v>62</v>
      </c>
      <c r="AF1281" s="1" t="s">
        <v>60</v>
      </c>
      <c r="AG1281" s="1" t="s">
        <v>61</v>
      </c>
      <c r="AH1281" s="1" t="s">
        <v>493</v>
      </c>
      <c r="AI1281" s="1" t="s">
        <v>55</v>
      </c>
      <c r="AJ1281" s="1">
        <v>22</v>
      </c>
      <c r="AK1281" s="1">
        <v>134</v>
      </c>
      <c r="AL1281" s="4">
        <v>0.125</v>
      </c>
      <c r="AM1281" s="1">
        <v>21.14</v>
      </c>
      <c r="AN1281" s="1">
        <v>4.1040000000000001</v>
      </c>
      <c r="AO1281" s="1">
        <v>3.39</v>
      </c>
      <c r="AP1281" s="6">
        <v>1</v>
      </c>
      <c r="AQ1281" s="6" t="s">
        <v>49</v>
      </c>
      <c r="AR1281" s="6" t="s">
        <v>49</v>
      </c>
      <c r="AS1281" s="1">
        <v>0.51300000000000001</v>
      </c>
      <c r="AT1281" s="4">
        <f>AS1281/(AM1281^2)*100</f>
        <v>0.11479088367946627</v>
      </c>
      <c r="AU1281" s="5">
        <v>0</v>
      </c>
      <c r="AV1281" s="4">
        <f>AT1281*(1-AL1281)/AL1281</f>
        <v>0.80353618575626395</v>
      </c>
      <c r="AW1281" s="1" t="s">
        <v>494</v>
      </c>
    </row>
    <row r="1282" spans="1:49" ht="15" customHeight="1">
      <c r="A1282" s="1">
        <v>14</v>
      </c>
      <c r="B1282" s="1" t="s">
        <v>38</v>
      </c>
      <c r="C1282" s="1" t="s">
        <v>38</v>
      </c>
      <c r="D1282" s="3" t="s">
        <v>554</v>
      </c>
      <c r="E1282" s="3" t="s">
        <v>488</v>
      </c>
      <c r="F1282" s="3">
        <v>2008</v>
      </c>
      <c r="G1282" s="3" t="s">
        <v>177</v>
      </c>
      <c r="H1282" s="3" t="s">
        <v>430</v>
      </c>
      <c r="I1282" s="3" t="s">
        <v>489</v>
      </c>
      <c r="J1282" s="3" t="s">
        <v>490</v>
      </c>
      <c r="K1282" s="3" t="s">
        <v>45</v>
      </c>
      <c r="L1282" s="3" t="s">
        <v>46</v>
      </c>
      <c r="M1282" s="1" t="s">
        <v>115</v>
      </c>
      <c r="N1282" s="1" t="s">
        <v>116</v>
      </c>
      <c r="O1282" s="1">
        <v>1</v>
      </c>
      <c r="P1282" s="1">
        <v>1</v>
      </c>
      <c r="Q1282" s="1" t="s">
        <v>49</v>
      </c>
      <c r="R1282" s="1">
        <v>1</v>
      </c>
      <c r="S1282" s="1" t="s">
        <v>491</v>
      </c>
      <c r="T1282" s="1" t="s">
        <v>491</v>
      </c>
      <c r="U1282" s="1" t="s">
        <v>119</v>
      </c>
      <c r="V1282" s="3" t="s">
        <v>492</v>
      </c>
      <c r="W1282" s="3">
        <v>38.547220000000003</v>
      </c>
      <c r="X1282" s="3">
        <v>-107.190556</v>
      </c>
      <c r="Y1282" s="3" t="s">
        <v>48</v>
      </c>
      <c r="Z1282" s="1" t="s">
        <v>49</v>
      </c>
      <c r="AA1282" s="1" t="s">
        <v>50</v>
      </c>
      <c r="AB1282" s="1" t="s">
        <v>57</v>
      </c>
      <c r="AC1282" s="1" t="s">
        <v>64</v>
      </c>
      <c r="AD1282" s="1" t="s">
        <v>496</v>
      </c>
      <c r="AE1282" s="1" t="s">
        <v>496</v>
      </c>
      <c r="AF1282" s="1" t="s">
        <v>60</v>
      </c>
      <c r="AG1282" s="1" t="s">
        <v>61</v>
      </c>
      <c r="AH1282" s="1" t="s">
        <v>493</v>
      </c>
      <c r="AI1282" s="1" t="s">
        <v>55</v>
      </c>
      <c r="AJ1282" s="1">
        <v>22</v>
      </c>
      <c r="AK1282" s="1">
        <v>134</v>
      </c>
      <c r="AL1282" s="4">
        <v>4.3999999999999997E-2</v>
      </c>
      <c r="AM1282" s="1">
        <v>3.45</v>
      </c>
      <c r="AN1282" s="1">
        <f>AS1282/AL1282</f>
        <v>0.25</v>
      </c>
      <c r="AO1282" s="1">
        <v>3.04</v>
      </c>
      <c r="AP1282" s="6">
        <v>1</v>
      </c>
      <c r="AQ1282" s="1" t="s">
        <v>49</v>
      </c>
      <c r="AR1282" s="6" t="s">
        <v>49</v>
      </c>
      <c r="AS1282" s="1">
        <v>1.0999999999999999E-2</v>
      </c>
      <c r="AT1282" s="4">
        <f>AS1282/(AM1282^2)*100</f>
        <v>9.241755933627388E-2</v>
      </c>
      <c r="AU1282" s="5">
        <v>0</v>
      </c>
      <c r="AV1282" s="4">
        <f>AT1282*(1-AL1282)/AL1282</f>
        <v>2.0079815164881327</v>
      </c>
      <c r="AW1282" s="1" t="s">
        <v>494</v>
      </c>
    </row>
    <row r="1283" spans="1:49" ht="15" customHeight="1">
      <c r="A1283" s="1">
        <v>14</v>
      </c>
      <c r="B1283" s="1" t="s">
        <v>38</v>
      </c>
      <c r="C1283" s="1" t="s">
        <v>38</v>
      </c>
      <c r="D1283" s="3" t="s">
        <v>554</v>
      </c>
      <c r="E1283" s="3" t="s">
        <v>488</v>
      </c>
      <c r="F1283" s="3">
        <v>2008</v>
      </c>
      <c r="G1283" s="3" t="s">
        <v>177</v>
      </c>
      <c r="H1283" s="3" t="s">
        <v>430</v>
      </c>
      <c r="I1283" s="3" t="s">
        <v>489</v>
      </c>
      <c r="J1283" s="3" t="s">
        <v>490</v>
      </c>
      <c r="K1283" s="3" t="s">
        <v>45</v>
      </c>
      <c r="L1283" s="3" t="s">
        <v>46</v>
      </c>
      <c r="M1283" s="1" t="s">
        <v>115</v>
      </c>
      <c r="N1283" s="1" t="s">
        <v>116</v>
      </c>
      <c r="O1283" s="1">
        <v>1</v>
      </c>
      <c r="P1283" s="1">
        <v>1</v>
      </c>
      <c r="Q1283" s="1" t="s">
        <v>49</v>
      </c>
      <c r="R1283" s="1">
        <v>1</v>
      </c>
      <c r="S1283" s="1" t="s">
        <v>491</v>
      </c>
      <c r="T1283" s="1" t="s">
        <v>491</v>
      </c>
      <c r="U1283" s="1" t="s">
        <v>119</v>
      </c>
      <c r="V1283" s="3" t="s">
        <v>492</v>
      </c>
      <c r="W1283" s="3">
        <v>38.547220000000003</v>
      </c>
      <c r="X1283" s="3">
        <v>-107.190556</v>
      </c>
      <c r="Y1283" s="3" t="s">
        <v>48</v>
      </c>
      <c r="Z1283" s="1" t="s">
        <v>49</v>
      </c>
      <c r="AA1283" s="1" t="s">
        <v>50</v>
      </c>
      <c r="AB1283" s="1" t="s">
        <v>57</v>
      </c>
      <c r="AC1283" s="1" t="s">
        <v>58</v>
      </c>
      <c r="AD1283" s="1" t="s">
        <v>85</v>
      </c>
      <c r="AE1283" s="1" t="s">
        <v>85</v>
      </c>
      <c r="AF1283" s="1" t="s">
        <v>60</v>
      </c>
      <c r="AG1283" s="1" t="s">
        <v>61</v>
      </c>
      <c r="AH1283" s="1" t="s">
        <v>493</v>
      </c>
      <c r="AI1283" s="1" t="s">
        <v>55</v>
      </c>
      <c r="AJ1283" s="1">
        <v>22</v>
      </c>
      <c r="AK1283" s="1">
        <v>134</v>
      </c>
      <c r="AL1283" s="4">
        <v>0.29299999999999998</v>
      </c>
      <c r="AM1283" s="1">
        <v>21.8</v>
      </c>
      <c r="AN1283" s="1">
        <v>9.4095563139931748</v>
      </c>
      <c r="AO1283" s="1">
        <v>7.62</v>
      </c>
      <c r="AP1283" s="6">
        <v>1</v>
      </c>
      <c r="AQ1283" s="6" t="s">
        <v>49</v>
      </c>
      <c r="AR1283" s="6" t="s">
        <v>49</v>
      </c>
      <c r="AS1283" s="1">
        <v>2.7570000000000001</v>
      </c>
      <c r="AT1283" s="4">
        <f>AS1283/(AM1283^2)*100</f>
        <v>0.58012793535897655</v>
      </c>
      <c r="AU1283" s="5">
        <v>0</v>
      </c>
      <c r="AV1283" s="4">
        <f>AT1283*(1-AL1283)/AL1283</f>
        <v>1.3998308883917969</v>
      </c>
      <c r="AW1283" s="1" t="s">
        <v>494</v>
      </c>
    </row>
    <row r="1284" spans="1:49" ht="15" customHeight="1">
      <c r="A1284" s="1">
        <v>14</v>
      </c>
      <c r="B1284" s="1" t="s">
        <v>38</v>
      </c>
      <c r="C1284" s="1" t="s">
        <v>38</v>
      </c>
      <c r="D1284" s="3" t="s">
        <v>554</v>
      </c>
      <c r="E1284" s="3" t="s">
        <v>488</v>
      </c>
      <c r="F1284" s="3">
        <v>2008</v>
      </c>
      <c r="G1284" s="3" t="s">
        <v>177</v>
      </c>
      <c r="H1284" s="3" t="s">
        <v>430</v>
      </c>
      <c r="I1284" s="3" t="s">
        <v>489</v>
      </c>
      <c r="J1284" s="3" t="s">
        <v>490</v>
      </c>
      <c r="K1284" s="3" t="s">
        <v>45</v>
      </c>
      <c r="L1284" s="3" t="s">
        <v>46</v>
      </c>
      <c r="M1284" s="1" t="s">
        <v>115</v>
      </c>
      <c r="N1284" s="1" t="s">
        <v>116</v>
      </c>
      <c r="O1284" s="1">
        <v>1</v>
      </c>
      <c r="P1284" s="1">
        <v>1</v>
      </c>
      <c r="Q1284" s="1" t="s">
        <v>49</v>
      </c>
      <c r="R1284" s="1">
        <v>1</v>
      </c>
      <c r="S1284" s="1" t="s">
        <v>491</v>
      </c>
      <c r="T1284" s="1" t="s">
        <v>491</v>
      </c>
      <c r="U1284" s="1" t="s">
        <v>119</v>
      </c>
      <c r="V1284" s="3" t="s">
        <v>492</v>
      </c>
      <c r="W1284" s="3">
        <v>38.547220000000003</v>
      </c>
      <c r="X1284" s="3">
        <v>-107.190556</v>
      </c>
      <c r="Y1284" s="3" t="s">
        <v>48</v>
      </c>
      <c r="Z1284" s="1" t="s">
        <v>49</v>
      </c>
      <c r="AA1284" s="1" t="s">
        <v>50</v>
      </c>
      <c r="AB1284" s="1" t="s">
        <v>57</v>
      </c>
      <c r="AC1284" s="1" t="s">
        <v>86</v>
      </c>
      <c r="AD1284" s="1" t="s">
        <v>495</v>
      </c>
      <c r="AE1284" s="1" t="s">
        <v>495</v>
      </c>
      <c r="AF1284" s="1" t="s">
        <v>60</v>
      </c>
      <c r="AG1284" s="1" t="s">
        <v>61</v>
      </c>
      <c r="AH1284" s="1" t="s">
        <v>493</v>
      </c>
      <c r="AI1284" s="1" t="s">
        <v>55</v>
      </c>
      <c r="AJ1284" s="1">
        <v>22</v>
      </c>
      <c r="AK1284" s="1">
        <v>134</v>
      </c>
      <c r="AL1284" s="4">
        <v>0.23799999999999999</v>
      </c>
      <c r="AM1284" s="1">
        <v>21.36</v>
      </c>
      <c r="AN1284" s="1">
        <v>12.180672268907564</v>
      </c>
      <c r="AO1284" s="1">
        <v>7.97</v>
      </c>
      <c r="AP1284" s="6">
        <v>1</v>
      </c>
      <c r="AQ1284" s="1" t="s">
        <v>49</v>
      </c>
      <c r="AR1284" s="6" t="s">
        <v>49</v>
      </c>
      <c r="AS1284" s="1">
        <v>2.899</v>
      </c>
      <c r="AT1284" s="4">
        <f>AS1284/(AM1284^2)*100</f>
        <v>0.63539781733507272</v>
      </c>
      <c r="AU1284" s="5">
        <v>0</v>
      </c>
      <c r="AV1284" s="4">
        <f>AT1284*(1-AL1284)/AL1284</f>
        <v>2.0343409109635524</v>
      </c>
      <c r="AW1284" s="1" t="s">
        <v>494</v>
      </c>
    </row>
    <row r="1285" spans="1:49">
      <c r="A1285" s="1">
        <v>14</v>
      </c>
      <c r="B1285" s="1" t="s">
        <v>38</v>
      </c>
      <c r="C1285" s="1" t="s">
        <v>38</v>
      </c>
      <c r="D1285" s="3" t="s">
        <v>554</v>
      </c>
      <c r="E1285" s="3" t="s">
        <v>488</v>
      </c>
      <c r="F1285" s="3">
        <v>2008</v>
      </c>
      <c r="G1285" s="3" t="s">
        <v>177</v>
      </c>
      <c r="H1285" s="3" t="s">
        <v>430</v>
      </c>
      <c r="I1285" s="3" t="s">
        <v>489</v>
      </c>
      <c r="J1285" s="3" t="s">
        <v>490</v>
      </c>
      <c r="K1285" s="3" t="s">
        <v>45</v>
      </c>
      <c r="L1285" s="3" t="s">
        <v>46</v>
      </c>
      <c r="M1285" s="1" t="s">
        <v>115</v>
      </c>
      <c r="N1285" s="1" t="s">
        <v>116</v>
      </c>
      <c r="O1285" s="1">
        <v>1</v>
      </c>
      <c r="P1285" s="1">
        <v>1</v>
      </c>
      <c r="Q1285" s="1" t="s">
        <v>49</v>
      </c>
      <c r="R1285" s="1">
        <v>1</v>
      </c>
      <c r="S1285" s="1" t="s">
        <v>491</v>
      </c>
      <c r="T1285" s="1" t="s">
        <v>491</v>
      </c>
      <c r="U1285" s="1" t="s">
        <v>119</v>
      </c>
      <c r="V1285" s="3" t="s">
        <v>492</v>
      </c>
      <c r="W1285" s="3">
        <v>38.547220000000003</v>
      </c>
      <c r="X1285" s="3">
        <v>-107.190556</v>
      </c>
      <c r="Y1285" s="3" t="s">
        <v>48</v>
      </c>
      <c r="Z1285" s="1" t="s">
        <v>49</v>
      </c>
      <c r="AA1285" s="1" t="s">
        <v>50</v>
      </c>
      <c r="AB1285" s="1" t="s">
        <v>57</v>
      </c>
      <c r="AC1285" s="1" t="s">
        <v>58</v>
      </c>
      <c r="AD1285" s="1" t="s">
        <v>62</v>
      </c>
      <c r="AE1285" s="1" t="s">
        <v>496</v>
      </c>
      <c r="AF1285" s="6" t="s">
        <v>49</v>
      </c>
      <c r="AG1285" s="6" t="s">
        <v>49</v>
      </c>
      <c r="AH1285" s="1" t="s">
        <v>493</v>
      </c>
      <c r="AI1285" s="1" t="s">
        <v>55</v>
      </c>
      <c r="AJ1285" s="20" t="s">
        <v>49</v>
      </c>
      <c r="AK1285" s="20" t="s">
        <v>49</v>
      </c>
      <c r="AL1285" s="20" t="s">
        <v>49</v>
      </c>
      <c r="AM1285" s="20" t="s">
        <v>49</v>
      </c>
      <c r="AN1285" s="1" t="s">
        <v>49</v>
      </c>
      <c r="AO1285" s="1" t="s">
        <v>49</v>
      </c>
      <c r="AP1285" s="6">
        <v>1</v>
      </c>
      <c r="AQ1285" s="6">
        <v>0.997</v>
      </c>
      <c r="AR1285" s="6" t="s">
        <v>49</v>
      </c>
      <c r="AS1285" s="6" t="s">
        <v>49</v>
      </c>
      <c r="AT1285" s="6" t="s">
        <v>49</v>
      </c>
      <c r="AU1285" s="6" t="s">
        <v>49</v>
      </c>
      <c r="AV1285" s="6" t="s">
        <v>49</v>
      </c>
      <c r="AW1285" s="30" t="s">
        <v>49</v>
      </c>
    </row>
    <row r="1286" spans="1:49">
      <c r="A1286" s="1">
        <v>14</v>
      </c>
      <c r="B1286" s="1" t="s">
        <v>38</v>
      </c>
      <c r="C1286" s="1" t="s">
        <v>38</v>
      </c>
      <c r="D1286" s="3" t="s">
        <v>554</v>
      </c>
      <c r="E1286" s="3" t="s">
        <v>488</v>
      </c>
      <c r="F1286" s="3">
        <v>2008</v>
      </c>
      <c r="G1286" s="3" t="s">
        <v>177</v>
      </c>
      <c r="H1286" s="3" t="s">
        <v>430</v>
      </c>
      <c r="I1286" s="3" t="s">
        <v>489</v>
      </c>
      <c r="J1286" s="3" t="s">
        <v>490</v>
      </c>
      <c r="K1286" s="3" t="s">
        <v>45</v>
      </c>
      <c r="L1286" s="3" t="s">
        <v>46</v>
      </c>
      <c r="M1286" s="1" t="s">
        <v>115</v>
      </c>
      <c r="N1286" s="1" t="s">
        <v>116</v>
      </c>
      <c r="O1286" s="1">
        <v>1</v>
      </c>
      <c r="P1286" s="1">
        <v>1</v>
      </c>
      <c r="Q1286" s="1" t="s">
        <v>49</v>
      </c>
      <c r="R1286" s="1">
        <v>1</v>
      </c>
      <c r="S1286" s="1" t="s">
        <v>491</v>
      </c>
      <c r="T1286" s="1" t="s">
        <v>491</v>
      </c>
      <c r="U1286" s="1" t="s">
        <v>119</v>
      </c>
      <c r="V1286" s="3" t="s">
        <v>492</v>
      </c>
      <c r="W1286" s="3">
        <v>38.547220000000003</v>
      </c>
      <c r="X1286" s="3">
        <v>-107.190556</v>
      </c>
      <c r="Y1286" s="3" t="s">
        <v>48</v>
      </c>
      <c r="Z1286" s="1" t="s">
        <v>49</v>
      </c>
      <c r="AA1286" s="1" t="s">
        <v>50</v>
      </c>
      <c r="AB1286" s="1" t="s">
        <v>57</v>
      </c>
      <c r="AC1286" s="1" t="s">
        <v>86</v>
      </c>
      <c r="AD1286" s="1" t="s">
        <v>62</v>
      </c>
      <c r="AE1286" s="1" t="s">
        <v>85</v>
      </c>
      <c r="AF1286" s="6" t="s">
        <v>49</v>
      </c>
      <c r="AG1286" s="6" t="s">
        <v>49</v>
      </c>
      <c r="AH1286" s="1" t="s">
        <v>493</v>
      </c>
      <c r="AI1286" s="1" t="s">
        <v>55</v>
      </c>
      <c r="AJ1286" s="20" t="s">
        <v>49</v>
      </c>
      <c r="AK1286" s="20" t="s">
        <v>49</v>
      </c>
      <c r="AL1286" s="20" t="s">
        <v>49</v>
      </c>
      <c r="AM1286" s="20" t="s">
        <v>49</v>
      </c>
      <c r="AN1286" s="1" t="s">
        <v>49</v>
      </c>
      <c r="AO1286" s="1" t="s">
        <v>49</v>
      </c>
      <c r="AP1286" s="6">
        <v>1</v>
      </c>
      <c r="AQ1286" s="6">
        <v>0.309</v>
      </c>
      <c r="AR1286" s="6" t="s">
        <v>49</v>
      </c>
      <c r="AS1286" s="6" t="s">
        <v>49</v>
      </c>
      <c r="AT1286" s="6" t="s">
        <v>49</v>
      </c>
      <c r="AU1286" s="6" t="s">
        <v>49</v>
      </c>
      <c r="AV1286" s="6" t="s">
        <v>49</v>
      </c>
      <c r="AW1286" s="30" t="s">
        <v>49</v>
      </c>
    </row>
    <row r="1287" spans="1:49">
      <c r="A1287" s="1">
        <v>14</v>
      </c>
      <c r="B1287" s="1" t="s">
        <v>38</v>
      </c>
      <c r="C1287" s="1" t="s">
        <v>38</v>
      </c>
      <c r="D1287" s="3" t="s">
        <v>554</v>
      </c>
      <c r="E1287" s="3" t="s">
        <v>488</v>
      </c>
      <c r="F1287" s="3">
        <v>2008</v>
      </c>
      <c r="G1287" s="3" t="s">
        <v>177</v>
      </c>
      <c r="H1287" s="3" t="s">
        <v>430</v>
      </c>
      <c r="I1287" s="3" t="s">
        <v>489</v>
      </c>
      <c r="J1287" s="3" t="s">
        <v>490</v>
      </c>
      <c r="K1287" s="3" t="s">
        <v>45</v>
      </c>
      <c r="L1287" s="3" t="s">
        <v>46</v>
      </c>
      <c r="M1287" s="1" t="s">
        <v>115</v>
      </c>
      <c r="N1287" s="1" t="s">
        <v>116</v>
      </c>
      <c r="O1287" s="1">
        <v>1</v>
      </c>
      <c r="P1287" s="1">
        <v>1</v>
      </c>
      <c r="Q1287" s="1" t="s">
        <v>49</v>
      </c>
      <c r="R1287" s="1">
        <v>1</v>
      </c>
      <c r="S1287" s="1" t="s">
        <v>491</v>
      </c>
      <c r="T1287" s="1" t="s">
        <v>491</v>
      </c>
      <c r="U1287" s="1" t="s">
        <v>119</v>
      </c>
      <c r="V1287" s="3" t="s">
        <v>492</v>
      </c>
      <c r="W1287" s="3">
        <v>38.547220000000003</v>
      </c>
      <c r="X1287" s="3">
        <v>-107.190556</v>
      </c>
      <c r="Y1287" s="3" t="s">
        <v>48</v>
      </c>
      <c r="Z1287" s="1" t="s">
        <v>49</v>
      </c>
      <c r="AA1287" s="1" t="s">
        <v>50</v>
      </c>
      <c r="AB1287" s="1" t="s">
        <v>57</v>
      </c>
      <c r="AC1287" s="1" t="s">
        <v>58</v>
      </c>
      <c r="AD1287" s="1" t="s">
        <v>62</v>
      </c>
      <c r="AE1287" s="1" t="s">
        <v>495</v>
      </c>
      <c r="AF1287" s="6" t="s">
        <v>49</v>
      </c>
      <c r="AG1287" s="6" t="s">
        <v>49</v>
      </c>
      <c r="AH1287" s="1" t="s">
        <v>493</v>
      </c>
      <c r="AI1287" s="1" t="s">
        <v>55</v>
      </c>
      <c r="AJ1287" s="20" t="s">
        <v>49</v>
      </c>
      <c r="AK1287" s="20" t="s">
        <v>49</v>
      </c>
      <c r="AL1287" s="20" t="s">
        <v>49</v>
      </c>
      <c r="AM1287" s="20" t="s">
        <v>49</v>
      </c>
      <c r="AN1287" s="1" t="s">
        <v>49</v>
      </c>
      <c r="AO1287" s="1" t="s">
        <v>49</v>
      </c>
      <c r="AP1287" s="6">
        <v>1</v>
      </c>
      <c r="AQ1287" s="6">
        <v>-0.04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6" t="s">
        <v>49</v>
      </c>
      <c r="AW1287" s="30" t="s">
        <v>49</v>
      </c>
    </row>
    <row r="1288" spans="1:49">
      <c r="A1288" s="1">
        <v>14</v>
      </c>
      <c r="B1288" s="1" t="s">
        <v>38</v>
      </c>
      <c r="C1288" s="1" t="s">
        <v>38</v>
      </c>
      <c r="D1288" s="3" t="s">
        <v>554</v>
      </c>
      <c r="E1288" s="3" t="s">
        <v>488</v>
      </c>
      <c r="F1288" s="3">
        <v>2008</v>
      </c>
      <c r="G1288" s="3" t="s">
        <v>177</v>
      </c>
      <c r="H1288" s="3" t="s">
        <v>430</v>
      </c>
      <c r="I1288" s="3" t="s">
        <v>489</v>
      </c>
      <c r="J1288" s="3" t="s">
        <v>490</v>
      </c>
      <c r="K1288" s="3" t="s">
        <v>45</v>
      </c>
      <c r="L1288" s="3" t="s">
        <v>46</v>
      </c>
      <c r="M1288" s="1" t="s">
        <v>115</v>
      </c>
      <c r="N1288" s="1" t="s">
        <v>116</v>
      </c>
      <c r="O1288" s="1">
        <v>1</v>
      </c>
      <c r="P1288" s="1">
        <v>1</v>
      </c>
      <c r="Q1288" s="1" t="s">
        <v>49</v>
      </c>
      <c r="R1288" s="1">
        <v>1</v>
      </c>
      <c r="S1288" s="1" t="s">
        <v>491</v>
      </c>
      <c r="T1288" s="1" t="s">
        <v>491</v>
      </c>
      <c r="U1288" s="1" t="s">
        <v>119</v>
      </c>
      <c r="V1288" s="3" t="s">
        <v>492</v>
      </c>
      <c r="W1288" s="3">
        <v>38.547220000000003</v>
      </c>
      <c r="X1288" s="3">
        <v>-107.190556</v>
      </c>
      <c r="Y1288" s="3" t="s">
        <v>48</v>
      </c>
      <c r="Z1288" s="1" t="s">
        <v>49</v>
      </c>
      <c r="AA1288" s="1" t="s">
        <v>50</v>
      </c>
      <c r="AB1288" s="1" t="s">
        <v>57</v>
      </c>
      <c r="AC1288" s="1" t="s">
        <v>86</v>
      </c>
      <c r="AD1288" s="1" t="s">
        <v>496</v>
      </c>
      <c r="AE1288" s="1" t="s">
        <v>85</v>
      </c>
      <c r="AF1288" s="6" t="s">
        <v>49</v>
      </c>
      <c r="AG1288" s="6" t="s">
        <v>49</v>
      </c>
      <c r="AH1288" s="1" t="s">
        <v>493</v>
      </c>
      <c r="AI1288" s="1" t="s">
        <v>55</v>
      </c>
      <c r="AJ1288" s="20" t="s">
        <v>49</v>
      </c>
      <c r="AK1288" s="20" t="s">
        <v>49</v>
      </c>
      <c r="AL1288" s="20" t="s">
        <v>49</v>
      </c>
      <c r="AM1288" s="20" t="s">
        <v>49</v>
      </c>
      <c r="AN1288" s="1" t="s">
        <v>49</v>
      </c>
      <c r="AO1288" s="1" t="s">
        <v>49</v>
      </c>
      <c r="AP1288" s="6">
        <v>1</v>
      </c>
      <c r="AQ1288" s="6">
        <v>0.314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6" t="s">
        <v>49</v>
      </c>
      <c r="AW1288" s="30" t="s">
        <v>49</v>
      </c>
    </row>
    <row r="1289" spans="1:49">
      <c r="A1289" s="1">
        <v>14</v>
      </c>
      <c r="B1289" s="1" t="s">
        <v>38</v>
      </c>
      <c r="C1289" s="1" t="s">
        <v>38</v>
      </c>
      <c r="D1289" s="3" t="s">
        <v>554</v>
      </c>
      <c r="E1289" s="3" t="s">
        <v>488</v>
      </c>
      <c r="F1289" s="3">
        <v>2008</v>
      </c>
      <c r="G1289" s="3" t="s">
        <v>177</v>
      </c>
      <c r="H1289" s="3" t="s">
        <v>430</v>
      </c>
      <c r="I1289" s="3" t="s">
        <v>489</v>
      </c>
      <c r="J1289" s="3" t="s">
        <v>490</v>
      </c>
      <c r="K1289" s="3" t="s">
        <v>45</v>
      </c>
      <c r="L1289" s="3" t="s">
        <v>46</v>
      </c>
      <c r="M1289" s="1" t="s">
        <v>115</v>
      </c>
      <c r="N1289" s="1" t="s">
        <v>116</v>
      </c>
      <c r="O1289" s="1">
        <v>1</v>
      </c>
      <c r="P1289" s="1">
        <v>1</v>
      </c>
      <c r="Q1289" s="1" t="s">
        <v>49</v>
      </c>
      <c r="R1289" s="1">
        <v>1</v>
      </c>
      <c r="S1289" s="1" t="s">
        <v>491</v>
      </c>
      <c r="T1289" s="1" t="s">
        <v>491</v>
      </c>
      <c r="U1289" s="1" t="s">
        <v>119</v>
      </c>
      <c r="V1289" s="3" t="s">
        <v>492</v>
      </c>
      <c r="W1289" s="3">
        <v>38.547220000000003</v>
      </c>
      <c r="X1289" s="3">
        <v>-107.190556</v>
      </c>
      <c r="Y1289" s="3" t="s">
        <v>48</v>
      </c>
      <c r="Z1289" s="1" t="s">
        <v>49</v>
      </c>
      <c r="AA1289" s="1" t="s">
        <v>50</v>
      </c>
      <c r="AB1289" s="1" t="s">
        <v>57</v>
      </c>
      <c r="AC1289" s="1" t="s">
        <v>58</v>
      </c>
      <c r="AD1289" s="1" t="s">
        <v>496</v>
      </c>
      <c r="AE1289" s="1" t="s">
        <v>495</v>
      </c>
      <c r="AF1289" s="6" t="s">
        <v>49</v>
      </c>
      <c r="AG1289" s="6" t="s">
        <v>49</v>
      </c>
      <c r="AH1289" s="1" t="s">
        <v>493</v>
      </c>
      <c r="AI1289" s="1" t="s">
        <v>55</v>
      </c>
      <c r="AJ1289" s="20" t="s">
        <v>49</v>
      </c>
      <c r="AK1289" s="20" t="s">
        <v>49</v>
      </c>
      <c r="AL1289" s="20" t="s">
        <v>49</v>
      </c>
      <c r="AM1289" s="20" t="s">
        <v>49</v>
      </c>
      <c r="AN1289" s="1" t="s">
        <v>49</v>
      </c>
      <c r="AO1289" s="1" t="s">
        <v>49</v>
      </c>
      <c r="AP1289" s="6">
        <v>1</v>
      </c>
      <c r="AQ1289" s="6">
        <v>5.0000000000000001E-3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6" t="s">
        <v>49</v>
      </c>
      <c r="AW1289" s="30" t="s">
        <v>49</v>
      </c>
    </row>
    <row r="1290" spans="1:49">
      <c r="A1290" s="1">
        <v>14</v>
      </c>
      <c r="B1290" s="1" t="s">
        <v>38</v>
      </c>
      <c r="C1290" s="1" t="s">
        <v>38</v>
      </c>
      <c r="D1290" s="3" t="s">
        <v>554</v>
      </c>
      <c r="E1290" s="3" t="s">
        <v>488</v>
      </c>
      <c r="F1290" s="3">
        <v>2008</v>
      </c>
      <c r="G1290" s="3" t="s">
        <v>177</v>
      </c>
      <c r="H1290" s="3" t="s">
        <v>430</v>
      </c>
      <c r="I1290" s="3" t="s">
        <v>489</v>
      </c>
      <c r="J1290" s="3" t="s">
        <v>490</v>
      </c>
      <c r="K1290" s="3" t="s">
        <v>45</v>
      </c>
      <c r="L1290" s="3" t="s">
        <v>46</v>
      </c>
      <c r="M1290" s="1" t="s">
        <v>115</v>
      </c>
      <c r="N1290" s="1" t="s">
        <v>116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491</v>
      </c>
      <c r="T1290" s="1" t="s">
        <v>491</v>
      </c>
      <c r="U1290" s="1" t="s">
        <v>119</v>
      </c>
      <c r="V1290" s="3" t="s">
        <v>492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86</v>
      </c>
      <c r="AD1290" s="1" t="s">
        <v>85</v>
      </c>
      <c r="AE1290" s="1" t="s">
        <v>495</v>
      </c>
      <c r="AF1290" s="6" t="s">
        <v>49</v>
      </c>
      <c r="AG1290" s="6" t="s">
        <v>49</v>
      </c>
      <c r="AH1290" s="1" t="s">
        <v>493</v>
      </c>
      <c r="AI1290" s="1" t="s">
        <v>55</v>
      </c>
      <c r="AJ1290" s="20" t="s">
        <v>49</v>
      </c>
      <c r="AK1290" s="20" t="s">
        <v>49</v>
      </c>
      <c r="AL1290" s="20" t="s">
        <v>49</v>
      </c>
      <c r="AM1290" s="20" t="s">
        <v>49</v>
      </c>
      <c r="AN1290" s="1" t="s">
        <v>49</v>
      </c>
      <c r="AO1290" s="1" t="s">
        <v>49</v>
      </c>
      <c r="AP1290" s="6">
        <v>1</v>
      </c>
      <c r="AQ1290" s="6">
        <v>0.246</v>
      </c>
      <c r="AR1290" s="6" t="s">
        <v>49</v>
      </c>
      <c r="AS1290" s="6" t="s">
        <v>49</v>
      </c>
      <c r="AT1290" s="6" t="s">
        <v>49</v>
      </c>
      <c r="AU1290" s="6" t="s">
        <v>49</v>
      </c>
      <c r="AV1290" s="6" t="s">
        <v>49</v>
      </c>
      <c r="AW1290" s="30" t="s">
        <v>49</v>
      </c>
    </row>
    <row r="1291" spans="1:49" ht="15" customHeight="1">
      <c r="A1291" s="1">
        <v>4</v>
      </c>
      <c r="B1291" s="1" t="s">
        <v>38</v>
      </c>
      <c r="C1291" s="1" t="s">
        <v>38</v>
      </c>
      <c r="D1291" s="3" t="s">
        <v>555</v>
      </c>
      <c r="E1291" s="3" t="s">
        <v>302</v>
      </c>
      <c r="F1291" s="3">
        <v>2004</v>
      </c>
      <c r="G1291" s="3" t="s">
        <v>72</v>
      </c>
      <c r="H1291" s="3" t="s">
        <v>73</v>
      </c>
      <c r="I1291" s="3" t="s">
        <v>74</v>
      </c>
      <c r="J1291" s="3" t="s">
        <v>75</v>
      </c>
      <c r="K1291" s="3" t="s">
        <v>45</v>
      </c>
      <c r="L1291" s="3" t="s">
        <v>46</v>
      </c>
      <c r="M1291" s="1" t="s">
        <v>12</v>
      </c>
      <c r="N1291" s="1" t="s">
        <v>76</v>
      </c>
      <c r="O1291" s="1">
        <v>0.61099999999999999</v>
      </c>
      <c r="P1291" s="1">
        <v>0.71</v>
      </c>
      <c r="Q1291" s="1">
        <v>0.71</v>
      </c>
      <c r="R1291" s="1">
        <v>1</v>
      </c>
      <c r="S1291" s="1" t="s">
        <v>77</v>
      </c>
      <c r="T1291" s="1" t="s">
        <v>78</v>
      </c>
      <c r="U1291" s="1" t="s">
        <v>398</v>
      </c>
      <c r="V1291" s="3" t="s">
        <v>497</v>
      </c>
      <c r="W1291" s="3">
        <v>49.33</v>
      </c>
      <c r="X1291" s="3">
        <v>-123.26</v>
      </c>
      <c r="Y1291" s="3" t="s">
        <v>498</v>
      </c>
      <c r="Z1291" s="3" t="s">
        <v>49</v>
      </c>
      <c r="AA1291" s="1" t="s">
        <v>50</v>
      </c>
      <c r="AB1291" s="1" t="s">
        <v>66</v>
      </c>
      <c r="AC1291" s="1" t="s">
        <v>67</v>
      </c>
      <c r="AD1291" s="1" t="s">
        <v>89</v>
      </c>
      <c r="AE1291" s="1" t="s">
        <v>89</v>
      </c>
      <c r="AF1291" s="1" t="s">
        <v>60</v>
      </c>
      <c r="AG1291" s="1" t="s">
        <v>61</v>
      </c>
      <c r="AH1291" s="1" t="s">
        <v>502</v>
      </c>
      <c r="AI1291" s="1" t="s">
        <v>55</v>
      </c>
      <c r="AJ1291" s="1">
        <v>230</v>
      </c>
      <c r="AK1291" s="1" t="s">
        <v>49</v>
      </c>
      <c r="AL1291" s="2">
        <v>0.21299999999999999</v>
      </c>
      <c r="AM1291" s="3">
        <v>23.04</v>
      </c>
      <c r="AN1291" s="3">
        <f>5.13^2</f>
        <v>26.3169</v>
      </c>
      <c r="AO1291" s="1" t="s">
        <v>49</v>
      </c>
      <c r="AP1291" s="6">
        <v>1</v>
      </c>
      <c r="AQ1291" s="6" t="s">
        <v>49</v>
      </c>
      <c r="AR1291" s="6" t="s">
        <v>49</v>
      </c>
      <c r="AS1291" s="1">
        <f>AL1291*AN1291</f>
        <v>5.6054997000000002</v>
      </c>
      <c r="AT1291" s="4">
        <f>AS1291/(AM1291^2)*100</f>
        <v>1.0559646606445312</v>
      </c>
      <c r="AU1291" s="5">
        <v>0</v>
      </c>
      <c r="AV1291" s="4">
        <f>AT1291*(1-AL1291)/AL1291</f>
        <v>3.901615905761719</v>
      </c>
      <c r="AW1291" s="9" t="s">
        <v>503</v>
      </c>
    </row>
    <row r="1292" spans="1:49" ht="15" customHeight="1">
      <c r="A1292" s="1">
        <v>4</v>
      </c>
      <c r="B1292" s="1" t="s">
        <v>38</v>
      </c>
      <c r="C1292" s="1" t="s">
        <v>38</v>
      </c>
      <c r="D1292" s="3" t="s">
        <v>555</v>
      </c>
      <c r="E1292" s="3" t="s">
        <v>302</v>
      </c>
      <c r="F1292" s="3">
        <v>2004</v>
      </c>
      <c r="G1292" s="3" t="s">
        <v>72</v>
      </c>
      <c r="H1292" s="3" t="s">
        <v>73</v>
      </c>
      <c r="I1292" s="3" t="s">
        <v>74</v>
      </c>
      <c r="J1292" s="3" t="s">
        <v>75</v>
      </c>
      <c r="K1292" s="3" t="s">
        <v>45</v>
      </c>
      <c r="L1292" s="3" t="s">
        <v>46</v>
      </c>
      <c r="M1292" s="1" t="s">
        <v>12</v>
      </c>
      <c r="N1292" s="1" t="s">
        <v>76</v>
      </c>
      <c r="O1292" s="1">
        <v>0.61099999999999999</v>
      </c>
      <c r="P1292" s="1">
        <v>0.71</v>
      </c>
      <c r="Q1292" s="1">
        <v>0.71</v>
      </c>
      <c r="R1292" s="1">
        <v>1</v>
      </c>
      <c r="S1292" s="1" t="s">
        <v>77</v>
      </c>
      <c r="T1292" s="1" t="s">
        <v>78</v>
      </c>
      <c r="U1292" s="1" t="s">
        <v>398</v>
      </c>
      <c r="V1292" s="3" t="s">
        <v>497</v>
      </c>
      <c r="W1292" s="3">
        <v>49.33</v>
      </c>
      <c r="X1292" s="3">
        <v>-123.26</v>
      </c>
      <c r="Y1292" s="3" t="s">
        <v>498</v>
      </c>
      <c r="Z1292" s="3" t="s">
        <v>49</v>
      </c>
      <c r="AA1292" s="1" t="s">
        <v>50</v>
      </c>
      <c r="AB1292" s="1" t="s">
        <v>292</v>
      </c>
      <c r="AC1292" s="1" t="s">
        <v>328</v>
      </c>
      <c r="AD1292" s="1" t="s">
        <v>506</v>
      </c>
      <c r="AE1292" s="1" t="s">
        <v>506</v>
      </c>
      <c r="AF1292" s="1" t="s">
        <v>60</v>
      </c>
      <c r="AG1292" s="1" t="s">
        <v>60</v>
      </c>
      <c r="AH1292" s="1" t="s">
        <v>502</v>
      </c>
      <c r="AI1292" s="1" t="s">
        <v>55</v>
      </c>
      <c r="AJ1292" s="1">
        <v>230</v>
      </c>
      <c r="AK1292" s="1" t="s">
        <v>49</v>
      </c>
      <c r="AL1292" s="2">
        <v>0.108</v>
      </c>
      <c r="AM1292" s="3">
        <v>1.3</v>
      </c>
      <c r="AN1292" s="3">
        <f>0.17^2</f>
        <v>2.8900000000000006E-2</v>
      </c>
      <c r="AO1292" s="1" t="s">
        <v>49</v>
      </c>
      <c r="AP1292" s="6">
        <v>1</v>
      </c>
      <c r="AQ1292" s="6" t="s">
        <v>49</v>
      </c>
      <c r="AR1292" s="6" t="s">
        <v>49</v>
      </c>
      <c r="AS1292" s="1">
        <f t="shared" ref="AS1292:AS1295" si="109">AL1292*AN1292</f>
        <v>3.1212000000000006E-3</v>
      </c>
      <c r="AT1292" s="4">
        <f t="shared" ref="AT1292:AT1295" si="110">AS1292/(AM1292^2)*100</f>
        <v>0.1846863905325444</v>
      </c>
      <c r="AU1292" s="5">
        <v>0</v>
      </c>
      <c r="AV1292" s="4">
        <f t="shared" ref="AV1292:AV1295" si="111">AT1292*(1-AL1292)/AL1292</f>
        <v>1.525372781065089</v>
      </c>
      <c r="AW1292" s="9" t="s">
        <v>503</v>
      </c>
    </row>
    <row r="1293" spans="1:49" ht="15" customHeight="1">
      <c r="A1293" s="1">
        <v>4</v>
      </c>
      <c r="B1293" s="1" t="s">
        <v>38</v>
      </c>
      <c r="C1293" s="1" t="s">
        <v>38</v>
      </c>
      <c r="D1293" s="3" t="s">
        <v>555</v>
      </c>
      <c r="E1293" s="3" t="s">
        <v>302</v>
      </c>
      <c r="F1293" s="3">
        <v>2004</v>
      </c>
      <c r="G1293" s="3" t="s">
        <v>72</v>
      </c>
      <c r="H1293" s="3" t="s">
        <v>73</v>
      </c>
      <c r="I1293" s="3" t="s">
        <v>74</v>
      </c>
      <c r="J1293" s="3" t="s">
        <v>75</v>
      </c>
      <c r="K1293" s="3" t="s">
        <v>45</v>
      </c>
      <c r="L1293" s="3" t="s">
        <v>46</v>
      </c>
      <c r="M1293" s="1" t="s">
        <v>12</v>
      </c>
      <c r="N1293" s="1" t="s">
        <v>76</v>
      </c>
      <c r="O1293" s="1">
        <v>0.61099999999999999</v>
      </c>
      <c r="P1293" s="1">
        <v>0.71</v>
      </c>
      <c r="Q1293" s="1">
        <v>0.71</v>
      </c>
      <c r="R1293" s="1">
        <v>1</v>
      </c>
      <c r="S1293" s="1" t="s">
        <v>77</v>
      </c>
      <c r="T1293" s="1" t="s">
        <v>78</v>
      </c>
      <c r="U1293" s="1" t="s">
        <v>398</v>
      </c>
      <c r="V1293" s="3" t="s">
        <v>497</v>
      </c>
      <c r="W1293" s="3">
        <v>49.33</v>
      </c>
      <c r="X1293" s="3">
        <v>-123.26</v>
      </c>
      <c r="Y1293" s="3" t="s">
        <v>498</v>
      </c>
      <c r="Z1293" s="3" t="s">
        <v>49</v>
      </c>
      <c r="AA1293" s="1" t="s">
        <v>50</v>
      </c>
      <c r="AB1293" s="1" t="s">
        <v>86</v>
      </c>
      <c r="AC1293" s="1" t="s">
        <v>154</v>
      </c>
      <c r="AD1293" s="1" t="s">
        <v>153</v>
      </c>
      <c r="AE1293" s="1" t="s">
        <v>153</v>
      </c>
      <c r="AF1293" s="1" t="s">
        <v>60</v>
      </c>
      <c r="AG1293" s="1" t="s">
        <v>61</v>
      </c>
      <c r="AH1293" s="1" t="s">
        <v>502</v>
      </c>
      <c r="AI1293" s="1" t="s">
        <v>55</v>
      </c>
      <c r="AJ1293" s="1">
        <v>230</v>
      </c>
      <c r="AK1293" s="1" t="s">
        <v>49</v>
      </c>
      <c r="AL1293" s="2">
        <v>0.29699999999999999</v>
      </c>
      <c r="AM1293" s="3">
        <v>1.59</v>
      </c>
      <c r="AN1293" s="3">
        <f>0.29^2</f>
        <v>8.4099999999999994E-2</v>
      </c>
      <c r="AO1293" s="1" t="s">
        <v>49</v>
      </c>
      <c r="AP1293" s="6">
        <v>1</v>
      </c>
      <c r="AQ1293" s="6" t="s">
        <v>49</v>
      </c>
      <c r="AR1293" s="6" t="s">
        <v>49</v>
      </c>
      <c r="AS1293" s="1">
        <f t="shared" si="109"/>
        <v>2.4977699999999999E-2</v>
      </c>
      <c r="AT1293" s="4">
        <f t="shared" si="110"/>
        <v>0.98800284798860794</v>
      </c>
      <c r="AU1293" s="5">
        <v>0</v>
      </c>
      <c r="AV1293" s="4">
        <f t="shared" si="111"/>
        <v>2.3386060677979508</v>
      </c>
      <c r="AW1293" s="9" t="s">
        <v>505</v>
      </c>
    </row>
    <row r="1294" spans="1:49" ht="15" customHeight="1">
      <c r="A1294" s="1">
        <v>4</v>
      </c>
      <c r="B1294" s="1" t="s">
        <v>38</v>
      </c>
      <c r="C1294" s="1" t="s">
        <v>38</v>
      </c>
      <c r="D1294" s="3" t="s">
        <v>555</v>
      </c>
      <c r="E1294" s="3" t="s">
        <v>302</v>
      </c>
      <c r="F1294" s="3">
        <v>2004</v>
      </c>
      <c r="G1294" s="3" t="s">
        <v>72</v>
      </c>
      <c r="H1294" s="3" t="s">
        <v>73</v>
      </c>
      <c r="I1294" s="3" t="s">
        <v>74</v>
      </c>
      <c r="J1294" s="3" t="s">
        <v>75</v>
      </c>
      <c r="K1294" s="3" t="s">
        <v>45</v>
      </c>
      <c r="L1294" s="3" t="s">
        <v>46</v>
      </c>
      <c r="M1294" s="1" t="s">
        <v>12</v>
      </c>
      <c r="N1294" s="1" t="s">
        <v>76</v>
      </c>
      <c r="O1294" s="1">
        <v>0.61099999999999999</v>
      </c>
      <c r="P1294" s="1">
        <v>0.71</v>
      </c>
      <c r="Q1294" s="1">
        <v>0.71</v>
      </c>
      <c r="R1294" s="1">
        <v>1</v>
      </c>
      <c r="S1294" s="1" t="s">
        <v>77</v>
      </c>
      <c r="T1294" s="1" t="s">
        <v>78</v>
      </c>
      <c r="U1294" s="1" t="s">
        <v>398</v>
      </c>
      <c r="V1294" s="3" t="s">
        <v>497</v>
      </c>
      <c r="W1294" s="3">
        <v>49.33</v>
      </c>
      <c r="X1294" s="3">
        <v>-123.26</v>
      </c>
      <c r="Y1294" s="3" t="s">
        <v>498</v>
      </c>
      <c r="Z1294" s="3" t="s">
        <v>49</v>
      </c>
      <c r="AA1294" s="1" t="s">
        <v>50</v>
      </c>
      <c r="AB1294" s="1" t="s">
        <v>58</v>
      </c>
      <c r="AC1294" s="1" t="s">
        <v>81</v>
      </c>
      <c r="AD1294" s="1" t="s">
        <v>82</v>
      </c>
      <c r="AE1294" s="1" t="s">
        <v>82</v>
      </c>
      <c r="AF1294" s="1" t="s">
        <v>60</v>
      </c>
      <c r="AG1294" s="1" t="s">
        <v>61</v>
      </c>
      <c r="AH1294" s="1" t="s">
        <v>502</v>
      </c>
      <c r="AI1294" s="1" t="s">
        <v>55</v>
      </c>
      <c r="AJ1294" s="1">
        <v>230</v>
      </c>
      <c r="AK1294" s="1" t="s">
        <v>49</v>
      </c>
      <c r="AL1294" s="2">
        <v>0.26700000000000002</v>
      </c>
      <c r="AM1294" s="3">
        <v>6.03</v>
      </c>
      <c r="AN1294" s="3">
        <f>1.09^2</f>
        <v>1.1881000000000002</v>
      </c>
      <c r="AO1294" s="1" t="s">
        <v>49</v>
      </c>
      <c r="AP1294" s="6">
        <v>1</v>
      </c>
      <c r="AQ1294" s="6" t="s">
        <v>49</v>
      </c>
      <c r="AR1294" s="6" t="s">
        <v>49</v>
      </c>
      <c r="AS1294" s="1">
        <f t="shared" si="109"/>
        <v>0.31722270000000008</v>
      </c>
      <c r="AT1294" s="4">
        <f t="shared" si="110"/>
        <v>0.87242807521265997</v>
      </c>
      <c r="AU1294" s="5">
        <v>0</v>
      </c>
      <c r="AV1294" s="4">
        <f t="shared" si="111"/>
        <v>2.3950928057336318</v>
      </c>
      <c r="AW1294" s="9" t="s">
        <v>504</v>
      </c>
    </row>
    <row r="1295" spans="1:49" ht="15" customHeight="1">
      <c r="A1295" s="1">
        <v>4</v>
      </c>
      <c r="B1295" s="1" t="s">
        <v>38</v>
      </c>
      <c r="C1295" s="1" t="s">
        <v>38</v>
      </c>
      <c r="D1295" s="3" t="s">
        <v>555</v>
      </c>
      <c r="E1295" s="3" t="s">
        <v>302</v>
      </c>
      <c r="F1295" s="3">
        <v>2004</v>
      </c>
      <c r="G1295" s="3" t="s">
        <v>72</v>
      </c>
      <c r="H1295" s="3" t="s">
        <v>73</v>
      </c>
      <c r="I1295" s="3" t="s">
        <v>74</v>
      </c>
      <c r="J1295" s="3" t="s">
        <v>75</v>
      </c>
      <c r="K1295" s="3" t="s">
        <v>45</v>
      </c>
      <c r="L1295" s="3" t="s">
        <v>46</v>
      </c>
      <c r="M1295" s="1" t="s">
        <v>12</v>
      </c>
      <c r="N1295" s="1" t="s">
        <v>76</v>
      </c>
      <c r="O1295" s="1">
        <v>0.61099999999999999</v>
      </c>
      <c r="P1295" s="1">
        <v>0.71</v>
      </c>
      <c r="Q1295" s="1">
        <v>0.71</v>
      </c>
      <c r="R1295" s="1">
        <v>1</v>
      </c>
      <c r="S1295" s="1" t="s">
        <v>77</v>
      </c>
      <c r="T1295" s="1" t="s">
        <v>78</v>
      </c>
      <c r="U1295" s="1" t="s">
        <v>398</v>
      </c>
      <c r="V1295" s="3" t="s">
        <v>497</v>
      </c>
      <c r="W1295" s="3">
        <v>49.33</v>
      </c>
      <c r="X1295" s="3">
        <v>-123.26</v>
      </c>
      <c r="Y1295" s="3" t="s">
        <v>498</v>
      </c>
      <c r="Z1295" s="3" t="s">
        <v>49</v>
      </c>
      <c r="AA1295" s="1" t="s">
        <v>50</v>
      </c>
      <c r="AB1295" s="1" t="s">
        <v>499</v>
      </c>
      <c r="AC1295" s="1" t="s">
        <v>500</v>
      </c>
      <c r="AD1295" s="1" t="s">
        <v>501</v>
      </c>
      <c r="AE1295" s="1" t="s">
        <v>501</v>
      </c>
      <c r="AF1295" s="1" t="s">
        <v>53</v>
      </c>
      <c r="AG1295" s="1" t="s">
        <v>53</v>
      </c>
      <c r="AH1295" s="1" t="s">
        <v>502</v>
      </c>
      <c r="AI1295" s="1" t="s">
        <v>55</v>
      </c>
      <c r="AJ1295" s="1">
        <v>230</v>
      </c>
      <c r="AK1295" s="1" t="s">
        <v>49</v>
      </c>
      <c r="AL1295" s="2">
        <v>0.39600000000000002</v>
      </c>
      <c r="AM1295" s="3">
        <v>72.599999999999994</v>
      </c>
      <c r="AN1295" s="3">
        <f>22.6^2</f>
        <v>510.76000000000005</v>
      </c>
      <c r="AO1295" s="1" t="s">
        <v>49</v>
      </c>
      <c r="AP1295" s="6">
        <v>1</v>
      </c>
      <c r="AQ1295" s="6" t="s">
        <v>49</v>
      </c>
      <c r="AR1295" s="6" t="s">
        <v>49</v>
      </c>
      <c r="AS1295" s="1">
        <f t="shared" si="109"/>
        <v>202.26096000000004</v>
      </c>
      <c r="AT1295" s="4">
        <f t="shared" si="110"/>
        <v>3.8374154770848996</v>
      </c>
      <c r="AU1295" s="5">
        <v>0</v>
      </c>
      <c r="AV1295" s="4">
        <f t="shared" si="111"/>
        <v>5.8530276468668667</v>
      </c>
      <c r="AW1295" s="9" t="s">
        <v>503</v>
      </c>
    </row>
    <row r="1296" spans="1:49" ht="14.4" customHeight="1">
      <c r="A1296" s="1">
        <v>4</v>
      </c>
      <c r="B1296" s="1" t="s">
        <v>38</v>
      </c>
      <c r="C1296" s="1" t="s">
        <v>38</v>
      </c>
      <c r="D1296" s="3" t="s">
        <v>555</v>
      </c>
      <c r="E1296" s="3" t="s">
        <v>302</v>
      </c>
      <c r="F1296" s="3">
        <v>2004</v>
      </c>
      <c r="G1296" s="3" t="s">
        <v>72</v>
      </c>
      <c r="H1296" s="3" t="s">
        <v>73</v>
      </c>
      <c r="I1296" s="3" t="s">
        <v>74</v>
      </c>
      <c r="J1296" s="3" t="s">
        <v>75</v>
      </c>
      <c r="K1296" s="3" t="s">
        <v>45</v>
      </c>
      <c r="L1296" s="3" t="s">
        <v>46</v>
      </c>
      <c r="M1296" s="1" t="s">
        <v>12</v>
      </c>
      <c r="N1296" s="1" t="s">
        <v>76</v>
      </c>
      <c r="O1296" s="1">
        <v>0.61099999999999999</v>
      </c>
      <c r="P1296" s="1">
        <v>0.71</v>
      </c>
      <c r="Q1296" s="1">
        <v>0.71</v>
      </c>
      <c r="R1296" s="1">
        <v>1</v>
      </c>
      <c r="S1296" s="1" t="s">
        <v>77</v>
      </c>
      <c r="T1296" s="1" t="s">
        <v>78</v>
      </c>
      <c r="U1296" s="1" t="s">
        <v>398</v>
      </c>
      <c r="V1296" s="3" t="s">
        <v>497</v>
      </c>
      <c r="W1296" s="3">
        <v>49.33</v>
      </c>
      <c r="X1296" s="3">
        <v>-123.26</v>
      </c>
      <c r="Y1296" s="3" t="s">
        <v>498</v>
      </c>
      <c r="Z1296" s="1" t="s">
        <v>49</v>
      </c>
      <c r="AA1296" s="6" t="s">
        <v>49</v>
      </c>
      <c r="AB1296" s="6" t="s">
        <v>49</v>
      </c>
      <c r="AC1296" s="6" t="s">
        <v>49</v>
      </c>
      <c r="AD1296" s="1" t="s">
        <v>89</v>
      </c>
      <c r="AE1296" s="1" t="s">
        <v>506</v>
      </c>
      <c r="AF1296" s="6" t="s">
        <v>49</v>
      </c>
      <c r="AG1296" s="6" t="s">
        <v>49</v>
      </c>
      <c r="AH1296" s="1" t="s">
        <v>502</v>
      </c>
      <c r="AI1296" s="1" t="s">
        <v>55</v>
      </c>
      <c r="AJ1296" s="20" t="s">
        <v>49</v>
      </c>
      <c r="AK1296" s="20" t="s">
        <v>49</v>
      </c>
      <c r="AL1296" s="20" t="s">
        <v>49</v>
      </c>
      <c r="AM1296" s="20" t="s">
        <v>49</v>
      </c>
      <c r="AN1296" s="1" t="s">
        <v>49</v>
      </c>
      <c r="AO1296" s="1" t="s">
        <v>49</v>
      </c>
      <c r="AP1296" s="6">
        <v>1</v>
      </c>
      <c r="AQ1296" s="6">
        <v>6.7000000000000004E-2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6" t="s">
        <v>49</v>
      </c>
      <c r="AW1296" s="13" t="s">
        <v>507</v>
      </c>
    </row>
    <row r="1297" spans="1:49" ht="14.4" customHeight="1">
      <c r="A1297" s="1">
        <v>4</v>
      </c>
      <c r="B1297" s="1" t="s">
        <v>38</v>
      </c>
      <c r="C1297" s="1" t="s">
        <v>38</v>
      </c>
      <c r="D1297" s="3" t="s">
        <v>555</v>
      </c>
      <c r="E1297" s="3" t="s">
        <v>302</v>
      </c>
      <c r="F1297" s="3">
        <v>2004</v>
      </c>
      <c r="G1297" s="3" t="s">
        <v>72</v>
      </c>
      <c r="H1297" s="3" t="s">
        <v>73</v>
      </c>
      <c r="I1297" s="3" t="s">
        <v>74</v>
      </c>
      <c r="J1297" s="3" t="s">
        <v>75</v>
      </c>
      <c r="K1297" s="3" t="s">
        <v>45</v>
      </c>
      <c r="L1297" s="3" t="s">
        <v>46</v>
      </c>
      <c r="M1297" s="1" t="s">
        <v>12</v>
      </c>
      <c r="N1297" s="1" t="s">
        <v>76</v>
      </c>
      <c r="O1297" s="1">
        <v>0.61099999999999999</v>
      </c>
      <c r="P1297" s="1">
        <v>0.71</v>
      </c>
      <c r="Q1297" s="1">
        <v>0.71</v>
      </c>
      <c r="R1297" s="1">
        <v>1</v>
      </c>
      <c r="S1297" s="1" t="s">
        <v>77</v>
      </c>
      <c r="T1297" s="1" t="s">
        <v>78</v>
      </c>
      <c r="U1297" s="1" t="s">
        <v>398</v>
      </c>
      <c r="V1297" s="3" t="s">
        <v>497</v>
      </c>
      <c r="W1297" s="3">
        <v>49.33</v>
      </c>
      <c r="X1297" s="3">
        <v>-123.26</v>
      </c>
      <c r="Y1297" s="3" t="s">
        <v>498</v>
      </c>
      <c r="Z1297" s="1" t="s">
        <v>49</v>
      </c>
      <c r="AA1297" s="6" t="s">
        <v>49</v>
      </c>
      <c r="AB1297" s="6" t="s">
        <v>49</v>
      </c>
      <c r="AC1297" s="6" t="s">
        <v>49</v>
      </c>
      <c r="AD1297" s="1" t="s">
        <v>89</v>
      </c>
      <c r="AE1297" s="1" t="s">
        <v>153</v>
      </c>
      <c r="AF1297" s="6" t="s">
        <v>49</v>
      </c>
      <c r="AG1297" s="6" t="s">
        <v>49</v>
      </c>
      <c r="AH1297" s="1" t="s">
        <v>502</v>
      </c>
      <c r="AI1297" s="1" t="s">
        <v>55</v>
      </c>
      <c r="AJ1297" s="20" t="s">
        <v>49</v>
      </c>
      <c r="AK1297" s="20" t="s">
        <v>49</v>
      </c>
      <c r="AL1297" s="20" t="s">
        <v>49</v>
      </c>
      <c r="AM1297" s="20" t="s">
        <v>49</v>
      </c>
      <c r="AN1297" s="1" t="s">
        <v>49</v>
      </c>
      <c r="AO1297" s="1" t="s">
        <v>49</v>
      </c>
      <c r="AP1297" s="6">
        <v>1</v>
      </c>
      <c r="AQ1297" s="6">
        <v>0.86799999999999999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6" t="s">
        <v>49</v>
      </c>
      <c r="AW1297" s="13" t="s">
        <v>507</v>
      </c>
    </row>
    <row r="1298" spans="1:49" ht="14.4" customHeight="1">
      <c r="A1298" s="1">
        <v>4</v>
      </c>
      <c r="B1298" s="1" t="s">
        <v>38</v>
      </c>
      <c r="C1298" s="1" t="s">
        <v>38</v>
      </c>
      <c r="D1298" s="3" t="s">
        <v>555</v>
      </c>
      <c r="E1298" s="3" t="s">
        <v>302</v>
      </c>
      <c r="F1298" s="3">
        <v>2004</v>
      </c>
      <c r="G1298" s="3" t="s">
        <v>72</v>
      </c>
      <c r="H1298" s="3" t="s">
        <v>73</v>
      </c>
      <c r="I1298" s="3" t="s">
        <v>74</v>
      </c>
      <c r="J1298" s="3" t="s">
        <v>75</v>
      </c>
      <c r="K1298" s="3" t="s">
        <v>45</v>
      </c>
      <c r="L1298" s="3" t="s">
        <v>46</v>
      </c>
      <c r="M1298" s="1" t="s">
        <v>12</v>
      </c>
      <c r="N1298" s="1" t="s">
        <v>76</v>
      </c>
      <c r="O1298" s="1">
        <v>0.61099999999999999</v>
      </c>
      <c r="P1298" s="1">
        <v>0.71</v>
      </c>
      <c r="Q1298" s="1">
        <v>0.71</v>
      </c>
      <c r="R1298" s="1">
        <v>1</v>
      </c>
      <c r="S1298" s="1" t="s">
        <v>77</v>
      </c>
      <c r="T1298" s="1" t="s">
        <v>78</v>
      </c>
      <c r="U1298" s="1" t="s">
        <v>398</v>
      </c>
      <c r="V1298" s="3" t="s">
        <v>497</v>
      </c>
      <c r="W1298" s="3">
        <v>49.33</v>
      </c>
      <c r="X1298" s="3">
        <v>-123.26</v>
      </c>
      <c r="Y1298" s="3" t="s">
        <v>498</v>
      </c>
      <c r="Z1298" s="1" t="s">
        <v>49</v>
      </c>
      <c r="AA1298" s="6" t="s">
        <v>49</v>
      </c>
      <c r="AB1298" s="6" t="s">
        <v>49</v>
      </c>
      <c r="AC1298" s="6" t="s">
        <v>49</v>
      </c>
      <c r="AD1298" s="1" t="s">
        <v>89</v>
      </c>
      <c r="AE1298" s="1" t="s">
        <v>82</v>
      </c>
      <c r="AF1298" s="6" t="s">
        <v>49</v>
      </c>
      <c r="AG1298" s="6" t="s">
        <v>49</v>
      </c>
      <c r="AH1298" s="1" t="s">
        <v>502</v>
      </c>
      <c r="AI1298" s="1" t="s">
        <v>55</v>
      </c>
      <c r="AJ1298" s="20" t="s">
        <v>49</v>
      </c>
      <c r="AK1298" s="20" t="s">
        <v>49</v>
      </c>
      <c r="AL1298" s="20" t="s">
        <v>49</v>
      </c>
      <c r="AM1298" s="20" t="s">
        <v>49</v>
      </c>
      <c r="AN1298" s="1" t="s">
        <v>49</v>
      </c>
      <c r="AO1298" s="1" t="s">
        <v>49</v>
      </c>
      <c r="AP1298" s="6">
        <v>1</v>
      </c>
      <c r="AQ1298" s="6">
        <v>0.68600000000000005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6" t="s">
        <v>49</v>
      </c>
      <c r="AW1298" s="13" t="s">
        <v>507</v>
      </c>
    </row>
    <row r="1299" spans="1:49" ht="14.4" customHeight="1">
      <c r="A1299" s="1">
        <v>4</v>
      </c>
      <c r="B1299" s="1" t="s">
        <v>38</v>
      </c>
      <c r="C1299" s="1" t="s">
        <v>38</v>
      </c>
      <c r="D1299" s="3" t="s">
        <v>555</v>
      </c>
      <c r="E1299" s="3" t="s">
        <v>302</v>
      </c>
      <c r="F1299" s="3">
        <v>2004</v>
      </c>
      <c r="G1299" s="3" t="s">
        <v>72</v>
      </c>
      <c r="H1299" s="3" t="s">
        <v>73</v>
      </c>
      <c r="I1299" s="3" t="s">
        <v>74</v>
      </c>
      <c r="J1299" s="3" t="s">
        <v>75</v>
      </c>
      <c r="K1299" s="3" t="s">
        <v>45</v>
      </c>
      <c r="L1299" s="3" t="s">
        <v>46</v>
      </c>
      <c r="M1299" s="1" t="s">
        <v>12</v>
      </c>
      <c r="N1299" s="1" t="s">
        <v>76</v>
      </c>
      <c r="O1299" s="1">
        <v>0.61099999999999999</v>
      </c>
      <c r="P1299" s="1">
        <v>0.71</v>
      </c>
      <c r="Q1299" s="1">
        <v>0.71</v>
      </c>
      <c r="R1299" s="1">
        <v>1</v>
      </c>
      <c r="S1299" s="1" t="s">
        <v>77</v>
      </c>
      <c r="T1299" s="1" t="s">
        <v>78</v>
      </c>
      <c r="U1299" s="1" t="s">
        <v>398</v>
      </c>
      <c r="V1299" s="3" t="s">
        <v>497</v>
      </c>
      <c r="W1299" s="3">
        <v>49.33</v>
      </c>
      <c r="X1299" s="3">
        <v>-123.26</v>
      </c>
      <c r="Y1299" s="3" t="s">
        <v>498</v>
      </c>
      <c r="Z1299" s="1" t="s">
        <v>49</v>
      </c>
      <c r="AA1299" s="6" t="s">
        <v>49</v>
      </c>
      <c r="AB1299" s="6" t="s">
        <v>49</v>
      </c>
      <c r="AC1299" s="6" t="s">
        <v>49</v>
      </c>
      <c r="AD1299" s="1" t="s">
        <v>89</v>
      </c>
      <c r="AE1299" s="1" t="s">
        <v>501</v>
      </c>
      <c r="AF1299" s="6" t="s">
        <v>49</v>
      </c>
      <c r="AG1299" s="6" t="s">
        <v>49</v>
      </c>
      <c r="AH1299" s="1" t="s">
        <v>502</v>
      </c>
      <c r="AI1299" s="1" t="s">
        <v>55</v>
      </c>
      <c r="AJ1299" s="20" t="s">
        <v>49</v>
      </c>
      <c r="AK1299" s="20" t="s">
        <v>49</v>
      </c>
      <c r="AL1299" s="20" t="s">
        <v>49</v>
      </c>
      <c r="AM1299" s="20" t="s">
        <v>49</v>
      </c>
      <c r="AN1299" s="1" t="s">
        <v>49</v>
      </c>
      <c r="AO1299" s="1" t="s">
        <v>49</v>
      </c>
      <c r="AP1299" s="6">
        <v>1</v>
      </c>
      <c r="AQ1299" s="6">
        <v>0.39400000000000002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6" t="s">
        <v>49</v>
      </c>
      <c r="AW1299" s="13" t="s">
        <v>507</v>
      </c>
    </row>
    <row r="1300" spans="1:49" ht="14.4" customHeight="1">
      <c r="A1300" s="1">
        <v>4</v>
      </c>
      <c r="B1300" s="1" t="s">
        <v>38</v>
      </c>
      <c r="C1300" s="1" t="s">
        <v>38</v>
      </c>
      <c r="D1300" s="3" t="s">
        <v>555</v>
      </c>
      <c r="E1300" s="3" t="s">
        <v>302</v>
      </c>
      <c r="F1300" s="3">
        <v>2004</v>
      </c>
      <c r="G1300" s="3" t="s">
        <v>72</v>
      </c>
      <c r="H1300" s="3" t="s">
        <v>73</v>
      </c>
      <c r="I1300" s="3" t="s">
        <v>74</v>
      </c>
      <c r="J1300" s="3" t="s">
        <v>75</v>
      </c>
      <c r="K1300" s="3" t="s">
        <v>45</v>
      </c>
      <c r="L1300" s="3" t="s">
        <v>46</v>
      </c>
      <c r="M1300" s="1" t="s">
        <v>12</v>
      </c>
      <c r="N1300" s="1" t="s">
        <v>76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77</v>
      </c>
      <c r="T1300" s="1" t="s">
        <v>78</v>
      </c>
      <c r="U1300" s="1" t="s">
        <v>398</v>
      </c>
      <c r="V1300" s="3" t="s">
        <v>497</v>
      </c>
      <c r="W1300" s="3">
        <v>49.33</v>
      </c>
      <c r="X1300" s="3">
        <v>-123.26</v>
      </c>
      <c r="Y1300" s="3" t="s">
        <v>498</v>
      </c>
      <c r="Z1300" s="1" t="s">
        <v>49</v>
      </c>
      <c r="AA1300" s="6" t="s">
        <v>49</v>
      </c>
      <c r="AB1300" s="6" t="s">
        <v>49</v>
      </c>
      <c r="AC1300" s="6" t="s">
        <v>49</v>
      </c>
      <c r="AD1300" s="1" t="s">
        <v>506</v>
      </c>
      <c r="AE1300" s="1" t="s">
        <v>153</v>
      </c>
      <c r="AF1300" s="6" t="s">
        <v>49</v>
      </c>
      <c r="AG1300" s="6" t="s">
        <v>49</v>
      </c>
      <c r="AH1300" s="1" t="s">
        <v>502</v>
      </c>
      <c r="AI1300" s="1" t="s">
        <v>55</v>
      </c>
      <c r="AJ1300" s="20" t="s">
        <v>49</v>
      </c>
      <c r="AK1300" s="20" t="s">
        <v>49</v>
      </c>
      <c r="AL1300" s="20" t="s">
        <v>49</v>
      </c>
      <c r="AM1300" s="20" t="s">
        <v>49</v>
      </c>
      <c r="AN1300" s="1" t="s">
        <v>49</v>
      </c>
      <c r="AO1300" s="1" t="s">
        <v>49</v>
      </c>
      <c r="AP1300" s="6">
        <v>1</v>
      </c>
      <c r="AQ1300" s="6">
        <v>-1.4999999999999999E-2</v>
      </c>
      <c r="AR1300" s="6" t="s">
        <v>49</v>
      </c>
      <c r="AS1300" s="6" t="s">
        <v>49</v>
      </c>
      <c r="AT1300" s="6" t="s">
        <v>49</v>
      </c>
      <c r="AU1300" s="6" t="s">
        <v>49</v>
      </c>
      <c r="AV1300" s="6" t="s">
        <v>49</v>
      </c>
      <c r="AW1300" s="13" t="s">
        <v>507</v>
      </c>
    </row>
    <row r="1301" spans="1:49" ht="14.4" customHeight="1">
      <c r="A1301" s="1">
        <v>4</v>
      </c>
      <c r="B1301" s="1" t="s">
        <v>38</v>
      </c>
      <c r="C1301" s="1" t="s">
        <v>38</v>
      </c>
      <c r="D1301" s="3" t="s">
        <v>555</v>
      </c>
      <c r="E1301" s="3" t="s">
        <v>302</v>
      </c>
      <c r="F1301" s="3">
        <v>2004</v>
      </c>
      <c r="G1301" s="3" t="s">
        <v>72</v>
      </c>
      <c r="H1301" s="3" t="s">
        <v>73</v>
      </c>
      <c r="I1301" s="3" t="s">
        <v>74</v>
      </c>
      <c r="J1301" s="3" t="s">
        <v>75</v>
      </c>
      <c r="K1301" s="3" t="s">
        <v>45</v>
      </c>
      <c r="L1301" s="3" t="s">
        <v>46</v>
      </c>
      <c r="M1301" s="1" t="s">
        <v>12</v>
      </c>
      <c r="N1301" s="1" t="s">
        <v>76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77</v>
      </c>
      <c r="T1301" s="1" t="s">
        <v>78</v>
      </c>
      <c r="U1301" s="1" t="s">
        <v>398</v>
      </c>
      <c r="V1301" s="3" t="s">
        <v>497</v>
      </c>
      <c r="W1301" s="3">
        <v>49.33</v>
      </c>
      <c r="X1301" s="3">
        <v>-123.26</v>
      </c>
      <c r="Y1301" s="3" t="s">
        <v>498</v>
      </c>
      <c r="Z1301" s="1" t="s">
        <v>49</v>
      </c>
      <c r="AA1301" s="6" t="s">
        <v>49</v>
      </c>
      <c r="AB1301" s="6" t="s">
        <v>49</v>
      </c>
      <c r="AC1301" s="6" t="s">
        <v>49</v>
      </c>
      <c r="AD1301" s="1" t="s">
        <v>506</v>
      </c>
      <c r="AE1301" s="1" t="s">
        <v>82</v>
      </c>
      <c r="AF1301" s="6" t="s">
        <v>49</v>
      </c>
      <c r="AG1301" s="6" t="s">
        <v>49</v>
      </c>
      <c r="AH1301" s="1" t="s">
        <v>502</v>
      </c>
      <c r="AI1301" s="1" t="s">
        <v>55</v>
      </c>
      <c r="AJ1301" s="20" t="s">
        <v>49</v>
      </c>
      <c r="AK1301" s="20" t="s">
        <v>49</v>
      </c>
      <c r="AL1301" s="20" t="s">
        <v>49</v>
      </c>
      <c r="AM1301" s="20" t="s">
        <v>49</v>
      </c>
      <c r="AN1301" s="1" t="s">
        <v>49</v>
      </c>
      <c r="AO1301" s="1" t="s">
        <v>49</v>
      </c>
      <c r="AP1301" s="6">
        <v>1</v>
      </c>
      <c r="AQ1301" s="6">
        <v>0.25900000000000001</v>
      </c>
      <c r="AR1301" s="6" t="s">
        <v>49</v>
      </c>
      <c r="AS1301" s="6" t="s">
        <v>49</v>
      </c>
      <c r="AT1301" s="6" t="s">
        <v>49</v>
      </c>
      <c r="AU1301" s="6" t="s">
        <v>49</v>
      </c>
      <c r="AV1301" s="6" t="s">
        <v>49</v>
      </c>
      <c r="AW1301" s="13" t="s">
        <v>507</v>
      </c>
    </row>
    <row r="1302" spans="1:49" ht="14.4" customHeight="1">
      <c r="A1302" s="1">
        <v>4</v>
      </c>
      <c r="B1302" s="1" t="s">
        <v>38</v>
      </c>
      <c r="C1302" s="1" t="s">
        <v>38</v>
      </c>
      <c r="D1302" s="3" t="s">
        <v>555</v>
      </c>
      <c r="E1302" s="3" t="s">
        <v>302</v>
      </c>
      <c r="F1302" s="3">
        <v>2004</v>
      </c>
      <c r="G1302" s="3" t="s">
        <v>72</v>
      </c>
      <c r="H1302" s="3" t="s">
        <v>73</v>
      </c>
      <c r="I1302" s="3" t="s">
        <v>74</v>
      </c>
      <c r="J1302" s="3" t="s">
        <v>75</v>
      </c>
      <c r="K1302" s="3" t="s">
        <v>45</v>
      </c>
      <c r="L1302" s="3" t="s">
        <v>46</v>
      </c>
      <c r="M1302" s="1" t="s">
        <v>12</v>
      </c>
      <c r="N1302" s="1" t="s">
        <v>76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77</v>
      </c>
      <c r="T1302" s="1" t="s">
        <v>78</v>
      </c>
      <c r="U1302" s="1" t="s">
        <v>398</v>
      </c>
      <c r="V1302" s="3" t="s">
        <v>497</v>
      </c>
      <c r="W1302" s="3">
        <v>49.33</v>
      </c>
      <c r="X1302" s="3">
        <v>-123.26</v>
      </c>
      <c r="Y1302" s="3" t="s">
        <v>498</v>
      </c>
      <c r="Z1302" s="1" t="s">
        <v>49</v>
      </c>
      <c r="AA1302" s="6" t="s">
        <v>49</v>
      </c>
      <c r="AB1302" s="6" t="s">
        <v>49</v>
      </c>
      <c r="AC1302" s="6" t="s">
        <v>49</v>
      </c>
      <c r="AD1302" s="1" t="s">
        <v>506</v>
      </c>
      <c r="AE1302" s="1" t="s">
        <v>501</v>
      </c>
      <c r="AF1302" s="6" t="s">
        <v>49</v>
      </c>
      <c r="AG1302" s="6" t="s">
        <v>49</v>
      </c>
      <c r="AH1302" s="1" t="s">
        <v>502</v>
      </c>
      <c r="AI1302" s="1" t="s">
        <v>55</v>
      </c>
      <c r="AJ1302" s="20" t="s">
        <v>49</v>
      </c>
      <c r="AK1302" s="20" t="s">
        <v>49</v>
      </c>
      <c r="AL1302" s="20" t="s">
        <v>49</v>
      </c>
      <c r="AM1302" s="20" t="s">
        <v>49</v>
      </c>
      <c r="AN1302" s="1" t="s">
        <v>49</v>
      </c>
      <c r="AO1302" s="1" t="s">
        <v>49</v>
      </c>
      <c r="AP1302" s="6">
        <v>1</v>
      </c>
      <c r="AQ1302" s="6">
        <v>0.45600000000000002</v>
      </c>
      <c r="AR1302" s="6" t="s">
        <v>49</v>
      </c>
      <c r="AS1302" s="6" t="s">
        <v>49</v>
      </c>
      <c r="AT1302" s="6" t="s">
        <v>49</v>
      </c>
      <c r="AU1302" s="6" t="s">
        <v>49</v>
      </c>
      <c r="AV1302" s="6" t="s">
        <v>49</v>
      </c>
      <c r="AW1302" s="13" t="s">
        <v>507</v>
      </c>
    </row>
    <row r="1303" spans="1:49" ht="14.4" customHeight="1">
      <c r="A1303" s="1">
        <v>4</v>
      </c>
      <c r="B1303" s="1" t="s">
        <v>38</v>
      </c>
      <c r="C1303" s="1" t="s">
        <v>38</v>
      </c>
      <c r="D1303" s="3" t="s">
        <v>555</v>
      </c>
      <c r="E1303" s="3" t="s">
        <v>302</v>
      </c>
      <c r="F1303" s="3">
        <v>2004</v>
      </c>
      <c r="G1303" s="3" t="s">
        <v>72</v>
      </c>
      <c r="H1303" s="3" t="s">
        <v>73</v>
      </c>
      <c r="I1303" s="3" t="s">
        <v>74</v>
      </c>
      <c r="J1303" s="3" t="s">
        <v>75</v>
      </c>
      <c r="K1303" s="3" t="s">
        <v>45</v>
      </c>
      <c r="L1303" s="3" t="s">
        <v>46</v>
      </c>
      <c r="M1303" s="1" t="s">
        <v>12</v>
      </c>
      <c r="N1303" s="1" t="s">
        <v>76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77</v>
      </c>
      <c r="T1303" s="1" t="s">
        <v>78</v>
      </c>
      <c r="U1303" s="1" t="s">
        <v>398</v>
      </c>
      <c r="V1303" s="3" t="s">
        <v>497</v>
      </c>
      <c r="W1303" s="3">
        <v>49.33</v>
      </c>
      <c r="X1303" s="3">
        <v>-123.26</v>
      </c>
      <c r="Y1303" s="3" t="s">
        <v>498</v>
      </c>
      <c r="Z1303" s="1" t="s">
        <v>49</v>
      </c>
      <c r="AA1303" s="6" t="s">
        <v>49</v>
      </c>
      <c r="AB1303" s="6" t="s">
        <v>49</v>
      </c>
      <c r="AC1303" s="6" t="s">
        <v>49</v>
      </c>
      <c r="AD1303" s="1" t="s">
        <v>153</v>
      </c>
      <c r="AE1303" s="1" t="s">
        <v>82</v>
      </c>
      <c r="AF1303" s="6" t="s">
        <v>49</v>
      </c>
      <c r="AG1303" s="6" t="s">
        <v>49</v>
      </c>
      <c r="AH1303" s="1" t="s">
        <v>502</v>
      </c>
      <c r="AI1303" s="1" t="s">
        <v>55</v>
      </c>
      <c r="AJ1303" s="20" t="s">
        <v>49</v>
      </c>
      <c r="AK1303" s="20" t="s">
        <v>49</v>
      </c>
      <c r="AL1303" s="20" t="s">
        <v>49</v>
      </c>
      <c r="AM1303" s="20" t="s">
        <v>49</v>
      </c>
      <c r="AN1303" s="1" t="s">
        <v>49</v>
      </c>
      <c r="AO1303" s="1" t="s">
        <v>49</v>
      </c>
      <c r="AP1303" s="6">
        <v>1</v>
      </c>
      <c r="AQ1303" s="6">
        <v>0.55600000000000005</v>
      </c>
      <c r="AR1303" s="6" t="s">
        <v>49</v>
      </c>
      <c r="AS1303" s="6" t="s">
        <v>49</v>
      </c>
      <c r="AT1303" s="6" t="s">
        <v>49</v>
      </c>
      <c r="AU1303" s="6" t="s">
        <v>49</v>
      </c>
      <c r="AV1303" s="6" t="s">
        <v>49</v>
      </c>
      <c r="AW1303" s="13" t="s">
        <v>507</v>
      </c>
    </row>
    <row r="1304" spans="1:49" ht="14.4" customHeight="1">
      <c r="A1304" s="1">
        <v>4</v>
      </c>
      <c r="B1304" s="1" t="s">
        <v>38</v>
      </c>
      <c r="C1304" s="1" t="s">
        <v>38</v>
      </c>
      <c r="D1304" s="3" t="s">
        <v>555</v>
      </c>
      <c r="E1304" s="3" t="s">
        <v>302</v>
      </c>
      <c r="F1304" s="3">
        <v>2004</v>
      </c>
      <c r="G1304" s="3" t="s">
        <v>72</v>
      </c>
      <c r="H1304" s="3" t="s">
        <v>73</v>
      </c>
      <c r="I1304" s="3" t="s">
        <v>74</v>
      </c>
      <c r="J1304" s="3" t="s">
        <v>75</v>
      </c>
      <c r="K1304" s="3" t="s">
        <v>45</v>
      </c>
      <c r="L1304" s="3" t="s">
        <v>46</v>
      </c>
      <c r="M1304" s="1" t="s">
        <v>12</v>
      </c>
      <c r="N1304" s="1" t="s">
        <v>76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77</v>
      </c>
      <c r="T1304" s="1" t="s">
        <v>78</v>
      </c>
      <c r="U1304" s="1" t="s">
        <v>398</v>
      </c>
      <c r="V1304" s="3" t="s">
        <v>497</v>
      </c>
      <c r="W1304" s="3">
        <v>49.33</v>
      </c>
      <c r="X1304" s="3">
        <v>-123.26</v>
      </c>
      <c r="Y1304" s="3" t="s">
        <v>498</v>
      </c>
      <c r="Z1304" s="1" t="s">
        <v>49</v>
      </c>
      <c r="AA1304" s="6" t="s">
        <v>49</v>
      </c>
      <c r="AB1304" s="6" t="s">
        <v>49</v>
      </c>
      <c r="AC1304" s="6" t="s">
        <v>49</v>
      </c>
      <c r="AD1304" s="1" t="s">
        <v>153</v>
      </c>
      <c r="AE1304" s="1" t="s">
        <v>501</v>
      </c>
      <c r="AF1304" s="6" t="s">
        <v>49</v>
      </c>
      <c r="AG1304" s="6" t="s">
        <v>49</v>
      </c>
      <c r="AH1304" s="1" t="s">
        <v>502</v>
      </c>
      <c r="AI1304" s="1" t="s">
        <v>55</v>
      </c>
      <c r="AJ1304" s="20" t="s">
        <v>49</v>
      </c>
      <c r="AK1304" s="20" t="s">
        <v>49</v>
      </c>
      <c r="AL1304" s="20" t="s">
        <v>49</v>
      </c>
      <c r="AM1304" s="20" t="s">
        <v>49</v>
      </c>
      <c r="AN1304" s="1" t="s">
        <v>49</v>
      </c>
      <c r="AO1304" s="1" t="s">
        <v>49</v>
      </c>
      <c r="AP1304" s="6">
        <v>1</v>
      </c>
      <c r="AQ1304" s="6">
        <v>0.28199999999999997</v>
      </c>
      <c r="AR1304" s="6" t="s">
        <v>49</v>
      </c>
      <c r="AS1304" s="6" t="s">
        <v>49</v>
      </c>
      <c r="AT1304" s="6" t="s">
        <v>49</v>
      </c>
      <c r="AU1304" s="6" t="s">
        <v>49</v>
      </c>
      <c r="AV1304" s="6" t="s">
        <v>49</v>
      </c>
      <c r="AW1304" s="13" t="s">
        <v>507</v>
      </c>
    </row>
    <row r="1305" spans="1:49" ht="14.4" customHeight="1">
      <c r="A1305" s="1">
        <v>4</v>
      </c>
      <c r="B1305" s="1" t="s">
        <v>38</v>
      </c>
      <c r="C1305" s="1" t="s">
        <v>38</v>
      </c>
      <c r="D1305" s="3" t="s">
        <v>555</v>
      </c>
      <c r="E1305" s="3" t="s">
        <v>302</v>
      </c>
      <c r="F1305" s="3">
        <v>2004</v>
      </c>
      <c r="G1305" s="3" t="s">
        <v>72</v>
      </c>
      <c r="H1305" s="3" t="s">
        <v>73</v>
      </c>
      <c r="I1305" s="3" t="s">
        <v>74</v>
      </c>
      <c r="J1305" s="3" t="s">
        <v>75</v>
      </c>
      <c r="K1305" s="3" t="s">
        <v>45</v>
      </c>
      <c r="L1305" s="3" t="s">
        <v>46</v>
      </c>
      <c r="M1305" s="1" t="s">
        <v>12</v>
      </c>
      <c r="N1305" s="1" t="s">
        <v>76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77</v>
      </c>
      <c r="T1305" s="1" t="s">
        <v>78</v>
      </c>
      <c r="U1305" s="1" t="s">
        <v>398</v>
      </c>
      <c r="V1305" s="3" t="s">
        <v>497</v>
      </c>
      <c r="W1305" s="3">
        <v>49.33</v>
      </c>
      <c r="X1305" s="3">
        <v>-123.26</v>
      </c>
      <c r="Y1305" s="3" t="s">
        <v>498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82</v>
      </c>
      <c r="AE1305" s="1" t="s">
        <v>501</v>
      </c>
      <c r="AF1305" s="6" t="s">
        <v>49</v>
      </c>
      <c r="AG1305" s="6" t="s">
        <v>49</v>
      </c>
      <c r="AH1305" s="1" t="s">
        <v>502</v>
      </c>
      <c r="AI1305" s="1" t="s">
        <v>55</v>
      </c>
      <c r="AJ1305" s="20" t="s">
        <v>49</v>
      </c>
      <c r="AK1305" s="20" t="s">
        <v>49</v>
      </c>
      <c r="AL1305" s="20" t="s">
        <v>49</v>
      </c>
      <c r="AM1305" s="20" t="s">
        <v>49</v>
      </c>
      <c r="AN1305" s="1" t="s">
        <v>49</v>
      </c>
      <c r="AO1305" s="1" t="s">
        <v>49</v>
      </c>
      <c r="AP1305" s="6">
        <v>1</v>
      </c>
      <c r="AQ1305" s="6">
        <v>0.38600000000000001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6" t="s">
        <v>49</v>
      </c>
      <c r="AW1305" s="13" t="s">
        <v>507</v>
      </c>
    </row>
    <row r="1306" spans="1:49">
      <c r="A1306" s="1">
        <v>27</v>
      </c>
      <c r="B1306" s="1" t="s">
        <v>38</v>
      </c>
      <c r="C1306" s="1" t="s">
        <v>38</v>
      </c>
      <c r="D1306" s="1" t="s">
        <v>556</v>
      </c>
      <c r="E1306" s="1" t="s">
        <v>302</v>
      </c>
      <c r="F1306" s="1">
        <v>2005</v>
      </c>
      <c r="G1306" s="1" t="s">
        <v>246</v>
      </c>
      <c r="H1306" s="3" t="s">
        <v>508</v>
      </c>
      <c r="I1306" s="3" t="s">
        <v>509</v>
      </c>
      <c r="J1306" s="1" t="s">
        <v>510</v>
      </c>
      <c r="K1306" s="1" t="s">
        <v>45</v>
      </c>
      <c r="L1306" s="3" t="s">
        <v>46</v>
      </c>
      <c r="M1306" s="1" t="s">
        <v>12</v>
      </c>
      <c r="N1306" s="1" t="s">
        <v>76</v>
      </c>
      <c r="O1306" s="1">
        <v>0.79900000000000004</v>
      </c>
      <c r="P1306" s="1">
        <v>0.55000000000000004</v>
      </c>
      <c r="Q1306" s="1">
        <v>0.55000000000000004</v>
      </c>
      <c r="R1306" s="1">
        <v>1</v>
      </c>
      <c r="S1306" s="1" t="s">
        <v>49</v>
      </c>
      <c r="T1306" s="1" t="s">
        <v>49</v>
      </c>
      <c r="U1306" s="1" t="s">
        <v>511</v>
      </c>
      <c r="V1306" s="1" t="s">
        <v>512</v>
      </c>
      <c r="W1306" s="1">
        <v>45.1</v>
      </c>
      <c r="X1306" s="1">
        <v>-109.3</v>
      </c>
      <c r="Y1306" s="1" t="s">
        <v>48</v>
      </c>
      <c r="Z1306" s="1" t="s">
        <v>49</v>
      </c>
      <c r="AA1306" s="1" t="s">
        <v>50</v>
      </c>
      <c r="AB1306" s="1" t="s">
        <v>96</v>
      </c>
      <c r="AC1306" s="1" t="s">
        <v>519</v>
      </c>
      <c r="AD1306" s="1" t="s">
        <v>520</v>
      </c>
      <c r="AE1306" s="1" t="s">
        <v>520</v>
      </c>
      <c r="AF1306" s="1" t="s">
        <v>484</v>
      </c>
      <c r="AG1306" s="1" t="s">
        <v>484</v>
      </c>
      <c r="AH1306" s="1" t="s">
        <v>478</v>
      </c>
      <c r="AI1306" s="1" t="s">
        <v>55</v>
      </c>
      <c r="AJ1306" s="1">
        <v>42</v>
      </c>
      <c r="AK1306" s="1">
        <v>498</v>
      </c>
      <c r="AL1306" s="4">
        <v>0.23</v>
      </c>
      <c r="AM1306" s="1">
        <v>18.8</v>
      </c>
      <c r="AN1306" s="1">
        <v>15.3</v>
      </c>
      <c r="AO1306" s="1" t="s">
        <v>49</v>
      </c>
      <c r="AP1306" s="6">
        <v>1</v>
      </c>
      <c r="AQ1306" s="1" t="s">
        <v>49</v>
      </c>
      <c r="AR1306" s="6" t="s">
        <v>49</v>
      </c>
      <c r="AS1306" s="1">
        <f t="shared" ref="AS1306:AS1311" si="112">AN1306*AL1306</f>
        <v>3.5190000000000001</v>
      </c>
      <c r="AT1306" s="4">
        <f t="shared" ref="AT1306:AT1311" si="113">AS1306/(AM1306^2)*100</f>
        <v>0.99564282480760513</v>
      </c>
      <c r="AU1306" s="5">
        <v>0</v>
      </c>
      <c r="AV1306" s="4">
        <f t="shared" ref="AV1306:AV1311" si="114">AT1306*(1-AL1306)/AL1306</f>
        <v>3.3332390221819823</v>
      </c>
      <c r="AW1306" s="9" t="s">
        <v>514</v>
      </c>
    </row>
    <row r="1307" spans="1:49">
      <c r="A1307" s="1">
        <v>27</v>
      </c>
      <c r="B1307" s="1" t="s">
        <v>38</v>
      </c>
      <c r="C1307" s="1" t="s">
        <v>38</v>
      </c>
      <c r="D1307" s="1" t="s">
        <v>556</v>
      </c>
      <c r="E1307" s="1" t="s">
        <v>302</v>
      </c>
      <c r="F1307" s="1">
        <v>2005</v>
      </c>
      <c r="G1307" s="1" t="s">
        <v>246</v>
      </c>
      <c r="H1307" s="3" t="s">
        <v>508</v>
      </c>
      <c r="I1307" s="3" t="s">
        <v>509</v>
      </c>
      <c r="J1307" s="1" t="s">
        <v>510</v>
      </c>
      <c r="K1307" s="1" t="s">
        <v>45</v>
      </c>
      <c r="L1307" s="3" t="s">
        <v>46</v>
      </c>
      <c r="M1307" s="1" t="s">
        <v>12</v>
      </c>
      <c r="N1307" s="1" t="s">
        <v>76</v>
      </c>
      <c r="O1307" s="1">
        <v>0.79900000000000004</v>
      </c>
      <c r="P1307" s="1">
        <v>0.55000000000000004</v>
      </c>
      <c r="Q1307" s="1">
        <v>0.55000000000000004</v>
      </c>
      <c r="R1307" s="1">
        <v>1</v>
      </c>
      <c r="S1307" s="1" t="s">
        <v>49</v>
      </c>
      <c r="T1307" s="1" t="s">
        <v>49</v>
      </c>
      <c r="U1307" s="1" t="s">
        <v>511</v>
      </c>
      <c r="V1307" s="1" t="s">
        <v>512</v>
      </c>
      <c r="W1307" s="1">
        <v>45.1</v>
      </c>
      <c r="X1307" s="1">
        <v>-109.3</v>
      </c>
      <c r="Y1307" s="1" t="s">
        <v>48</v>
      </c>
      <c r="Z1307" s="1" t="s">
        <v>49</v>
      </c>
      <c r="AA1307" s="1" t="s">
        <v>50</v>
      </c>
      <c r="AB1307" s="1" t="s">
        <v>96</v>
      </c>
      <c r="AC1307" s="1" t="s">
        <v>299</v>
      </c>
      <c r="AD1307" s="1" t="s">
        <v>518</v>
      </c>
      <c r="AE1307" s="1" t="s">
        <v>518</v>
      </c>
      <c r="AF1307" s="1" t="s">
        <v>484</v>
      </c>
      <c r="AG1307" s="1" t="s">
        <v>484</v>
      </c>
      <c r="AH1307" s="1" t="s">
        <v>478</v>
      </c>
      <c r="AI1307" s="1" t="s">
        <v>55</v>
      </c>
      <c r="AJ1307" s="1">
        <v>42</v>
      </c>
      <c r="AK1307" s="1">
        <v>498</v>
      </c>
      <c r="AL1307" s="4">
        <v>0.17</v>
      </c>
      <c r="AM1307" s="1">
        <v>67.599999999999994</v>
      </c>
      <c r="AN1307" s="1">
        <v>51.4</v>
      </c>
      <c r="AO1307" s="1" t="s">
        <v>49</v>
      </c>
      <c r="AP1307" s="6">
        <v>1</v>
      </c>
      <c r="AQ1307" s="1" t="s">
        <v>49</v>
      </c>
      <c r="AR1307" s="6" t="s">
        <v>49</v>
      </c>
      <c r="AS1307" s="1">
        <f t="shared" si="112"/>
        <v>8.7379999999999995</v>
      </c>
      <c r="AT1307" s="4">
        <f t="shared" si="113"/>
        <v>0.19121354294317428</v>
      </c>
      <c r="AU1307" s="5">
        <v>0</v>
      </c>
      <c r="AV1307" s="4">
        <f t="shared" si="114"/>
        <v>0.93357200378138017</v>
      </c>
      <c r="AW1307" s="9" t="s">
        <v>514</v>
      </c>
    </row>
    <row r="1308" spans="1:49">
      <c r="A1308" s="1">
        <v>27</v>
      </c>
      <c r="B1308" s="1" t="s">
        <v>38</v>
      </c>
      <c r="C1308" s="1" t="s">
        <v>38</v>
      </c>
      <c r="D1308" s="1" t="s">
        <v>556</v>
      </c>
      <c r="E1308" s="1" t="s">
        <v>302</v>
      </c>
      <c r="F1308" s="1">
        <v>2005</v>
      </c>
      <c r="G1308" s="1" t="s">
        <v>246</v>
      </c>
      <c r="H1308" s="3" t="s">
        <v>508</v>
      </c>
      <c r="I1308" s="3" t="s">
        <v>509</v>
      </c>
      <c r="J1308" s="1" t="s">
        <v>510</v>
      </c>
      <c r="K1308" s="1" t="s">
        <v>45</v>
      </c>
      <c r="L1308" s="3" t="s">
        <v>46</v>
      </c>
      <c r="M1308" s="1" t="s">
        <v>12</v>
      </c>
      <c r="N1308" s="1" t="s">
        <v>76</v>
      </c>
      <c r="O1308" s="1">
        <v>0.79900000000000004</v>
      </c>
      <c r="P1308" s="1">
        <v>0.55000000000000004</v>
      </c>
      <c r="Q1308" s="1">
        <v>0.55000000000000004</v>
      </c>
      <c r="R1308" s="1">
        <v>1</v>
      </c>
      <c r="S1308" s="1" t="s">
        <v>49</v>
      </c>
      <c r="T1308" s="1" t="s">
        <v>49</v>
      </c>
      <c r="U1308" s="1" t="s">
        <v>511</v>
      </c>
      <c r="V1308" s="1" t="s">
        <v>512</v>
      </c>
      <c r="W1308" s="1">
        <v>45.1</v>
      </c>
      <c r="X1308" s="1">
        <v>-109.3</v>
      </c>
      <c r="Y1308" s="1" t="s">
        <v>48</v>
      </c>
      <c r="Z1308" s="1" t="s">
        <v>49</v>
      </c>
      <c r="AA1308" s="1" t="s">
        <v>50</v>
      </c>
      <c r="AB1308" s="1" t="s">
        <v>66</v>
      </c>
      <c r="AC1308" s="1" t="s">
        <v>428</v>
      </c>
      <c r="AD1308" s="1" t="s">
        <v>517</v>
      </c>
      <c r="AE1308" s="1" t="s">
        <v>517</v>
      </c>
      <c r="AF1308" s="1" t="s">
        <v>60</v>
      </c>
      <c r="AG1308" s="1" t="s">
        <v>61</v>
      </c>
      <c r="AH1308" s="1" t="s">
        <v>478</v>
      </c>
      <c r="AI1308" s="1" t="s">
        <v>55</v>
      </c>
      <c r="AJ1308" s="1">
        <v>42</v>
      </c>
      <c r="AK1308" s="1">
        <v>453</v>
      </c>
      <c r="AL1308" s="4">
        <v>0.19</v>
      </c>
      <c r="AM1308" s="1">
        <v>31.9</v>
      </c>
      <c r="AN1308" s="1">
        <v>4.0999999999999996</v>
      </c>
      <c r="AO1308" s="1" t="s">
        <v>49</v>
      </c>
      <c r="AP1308" s="6">
        <v>1</v>
      </c>
      <c r="AQ1308" s="1" t="s">
        <v>49</v>
      </c>
      <c r="AR1308" s="6" t="s">
        <v>49</v>
      </c>
      <c r="AS1308" s="1">
        <f t="shared" si="112"/>
        <v>0.77899999999999991</v>
      </c>
      <c r="AT1308" s="4">
        <f t="shared" si="113"/>
        <v>7.6551920676880145E-2</v>
      </c>
      <c r="AU1308" s="5">
        <v>0</v>
      </c>
      <c r="AV1308" s="4">
        <f t="shared" si="114"/>
        <v>0.32635292499091012</v>
      </c>
      <c r="AW1308" s="9" t="s">
        <v>514</v>
      </c>
    </row>
    <row r="1309" spans="1:49">
      <c r="A1309" s="1">
        <v>27</v>
      </c>
      <c r="B1309" s="1" t="s">
        <v>38</v>
      </c>
      <c r="C1309" s="1" t="s">
        <v>38</v>
      </c>
      <c r="D1309" s="1" t="s">
        <v>556</v>
      </c>
      <c r="E1309" s="1" t="s">
        <v>302</v>
      </c>
      <c r="F1309" s="1">
        <v>2005</v>
      </c>
      <c r="G1309" s="1" t="s">
        <v>246</v>
      </c>
      <c r="H1309" s="3" t="s">
        <v>508</v>
      </c>
      <c r="I1309" s="3" t="s">
        <v>509</v>
      </c>
      <c r="J1309" s="1" t="s">
        <v>510</v>
      </c>
      <c r="K1309" s="1" t="s">
        <v>45</v>
      </c>
      <c r="L1309" s="3" t="s">
        <v>46</v>
      </c>
      <c r="M1309" s="1" t="s">
        <v>12</v>
      </c>
      <c r="N1309" s="1" t="s">
        <v>76</v>
      </c>
      <c r="O1309" s="1">
        <v>0.79900000000000004</v>
      </c>
      <c r="P1309" s="1">
        <v>0.55000000000000004</v>
      </c>
      <c r="Q1309" s="1">
        <v>0.55000000000000004</v>
      </c>
      <c r="R1309" s="1">
        <v>1</v>
      </c>
      <c r="S1309" s="1" t="s">
        <v>49</v>
      </c>
      <c r="T1309" s="1" t="s">
        <v>49</v>
      </c>
      <c r="U1309" s="1" t="s">
        <v>511</v>
      </c>
      <c r="V1309" s="1" t="s">
        <v>512</v>
      </c>
      <c r="W1309" s="1">
        <v>45.1</v>
      </c>
      <c r="X1309" s="1">
        <v>-109.3</v>
      </c>
      <c r="Y1309" s="1" t="s">
        <v>48</v>
      </c>
      <c r="Z1309" s="1" t="s">
        <v>49</v>
      </c>
      <c r="AA1309" s="1" t="s">
        <v>50</v>
      </c>
      <c r="AB1309" s="1" t="s">
        <v>51</v>
      </c>
      <c r="AC1309" s="1" t="s">
        <v>513</v>
      </c>
      <c r="AD1309" s="1" t="s">
        <v>513</v>
      </c>
      <c r="AE1309" s="1" t="s">
        <v>513</v>
      </c>
      <c r="AF1309" s="1" t="s">
        <v>60</v>
      </c>
      <c r="AG1309" s="1" t="s">
        <v>61</v>
      </c>
      <c r="AH1309" s="1" t="s">
        <v>478</v>
      </c>
      <c r="AI1309" s="1" t="s">
        <v>55</v>
      </c>
      <c r="AJ1309" s="1">
        <v>42</v>
      </c>
      <c r="AK1309" s="1">
        <v>447</v>
      </c>
      <c r="AL1309" s="4">
        <v>7.0000000000000007E-2</v>
      </c>
      <c r="AM1309" s="1">
        <v>17.399999999999999</v>
      </c>
      <c r="AN1309" s="1">
        <v>5.4</v>
      </c>
      <c r="AO1309" s="1" t="s">
        <v>49</v>
      </c>
      <c r="AP1309" s="6">
        <v>1</v>
      </c>
      <c r="AQ1309" s="1" t="s">
        <v>49</v>
      </c>
      <c r="AR1309" s="6" t="s">
        <v>49</v>
      </c>
      <c r="AS1309" s="1">
        <f t="shared" si="112"/>
        <v>0.37800000000000006</v>
      </c>
      <c r="AT1309" s="4">
        <f t="shared" si="113"/>
        <v>0.12485136741973844</v>
      </c>
      <c r="AU1309" s="5">
        <v>0</v>
      </c>
      <c r="AV1309" s="4">
        <f t="shared" si="114"/>
        <v>1.658739595719382</v>
      </c>
      <c r="AW1309" s="9" t="s">
        <v>514</v>
      </c>
    </row>
    <row r="1310" spans="1:49">
      <c r="A1310" s="1">
        <v>27</v>
      </c>
      <c r="B1310" s="1" t="s">
        <v>38</v>
      </c>
      <c r="C1310" s="1" t="s">
        <v>38</v>
      </c>
      <c r="D1310" s="1" t="s">
        <v>556</v>
      </c>
      <c r="E1310" s="1" t="s">
        <v>302</v>
      </c>
      <c r="F1310" s="1">
        <v>2005</v>
      </c>
      <c r="G1310" s="1" t="s">
        <v>246</v>
      </c>
      <c r="H1310" s="3" t="s">
        <v>508</v>
      </c>
      <c r="I1310" s="3" t="s">
        <v>509</v>
      </c>
      <c r="J1310" s="1" t="s">
        <v>510</v>
      </c>
      <c r="K1310" s="1" t="s">
        <v>45</v>
      </c>
      <c r="L1310" s="3" t="s">
        <v>46</v>
      </c>
      <c r="M1310" s="1" t="s">
        <v>12</v>
      </c>
      <c r="N1310" s="1" t="s">
        <v>76</v>
      </c>
      <c r="O1310" s="1">
        <v>0.79900000000000004</v>
      </c>
      <c r="P1310" s="1">
        <v>0.55000000000000004</v>
      </c>
      <c r="Q1310" s="1">
        <v>0.55000000000000004</v>
      </c>
      <c r="R1310" s="1">
        <v>1</v>
      </c>
      <c r="S1310" s="1" t="s">
        <v>49</v>
      </c>
      <c r="T1310" s="1" t="s">
        <v>49</v>
      </c>
      <c r="U1310" s="1" t="s">
        <v>511</v>
      </c>
      <c r="V1310" s="1" t="s">
        <v>512</v>
      </c>
      <c r="W1310" s="1">
        <v>45.1</v>
      </c>
      <c r="X1310" s="1">
        <v>-109.3</v>
      </c>
      <c r="Y1310" s="1" t="s">
        <v>48</v>
      </c>
      <c r="Z1310" s="1" t="s">
        <v>49</v>
      </c>
      <c r="AA1310" s="1" t="s">
        <v>50</v>
      </c>
      <c r="AB1310" s="1" t="s">
        <v>51</v>
      </c>
      <c r="AC1310" s="1" t="s">
        <v>515</v>
      </c>
      <c r="AD1310" s="1" t="s">
        <v>516</v>
      </c>
      <c r="AE1310" s="1" t="s">
        <v>516</v>
      </c>
      <c r="AF1310" s="1" t="s">
        <v>60</v>
      </c>
      <c r="AG1310" s="1" t="s">
        <v>61</v>
      </c>
      <c r="AH1310" s="1" t="s">
        <v>478</v>
      </c>
      <c r="AI1310" s="1" t="s">
        <v>55</v>
      </c>
      <c r="AJ1310" s="1">
        <v>42</v>
      </c>
      <c r="AK1310" s="1">
        <v>360</v>
      </c>
      <c r="AL1310" s="4">
        <v>0.18</v>
      </c>
      <c r="AM1310" s="1">
        <v>39.200000000000003</v>
      </c>
      <c r="AN1310" s="1">
        <v>0.3</v>
      </c>
      <c r="AO1310" s="1" t="s">
        <v>49</v>
      </c>
      <c r="AP1310" s="6">
        <v>1</v>
      </c>
      <c r="AQ1310" s="1" t="s">
        <v>49</v>
      </c>
      <c r="AR1310" s="6" t="s">
        <v>49</v>
      </c>
      <c r="AS1310" s="1">
        <f t="shared" si="112"/>
        <v>5.3999999999999999E-2</v>
      </c>
      <c r="AT1310" s="4">
        <f t="shared" si="113"/>
        <v>3.5141607663473542E-3</v>
      </c>
      <c r="AU1310" s="5">
        <v>0</v>
      </c>
      <c r="AV1310" s="4">
        <f t="shared" si="114"/>
        <v>1.6008954602249059E-2</v>
      </c>
      <c r="AW1310" s="9" t="s">
        <v>514</v>
      </c>
    </row>
    <row r="1311" spans="1:49">
      <c r="A1311" s="1">
        <v>27</v>
      </c>
      <c r="B1311" s="1" t="s">
        <v>38</v>
      </c>
      <c r="C1311" s="1" t="s">
        <v>38</v>
      </c>
      <c r="D1311" s="1" t="s">
        <v>556</v>
      </c>
      <c r="E1311" s="1" t="s">
        <v>302</v>
      </c>
      <c r="F1311" s="1">
        <v>2005</v>
      </c>
      <c r="G1311" s="1" t="s">
        <v>246</v>
      </c>
      <c r="H1311" s="3" t="s">
        <v>508</v>
      </c>
      <c r="I1311" s="3" t="s">
        <v>509</v>
      </c>
      <c r="J1311" s="1" t="s">
        <v>510</v>
      </c>
      <c r="K1311" s="1" t="s">
        <v>45</v>
      </c>
      <c r="L1311" s="3" t="s">
        <v>46</v>
      </c>
      <c r="M1311" s="1" t="s">
        <v>12</v>
      </c>
      <c r="N1311" s="1" t="s">
        <v>76</v>
      </c>
      <c r="O1311" s="1">
        <v>0.79900000000000004</v>
      </c>
      <c r="P1311" s="1">
        <v>0.55000000000000004</v>
      </c>
      <c r="Q1311" s="1">
        <v>0.55000000000000004</v>
      </c>
      <c r="R1311" s="1">
        <v>1</v>
      </c>
      <c r="S1311" s="1" t="s">
        <v>49</v>
      </c>
      <c r="T1311" s="1" t="s">
        <v>49</v>
      </c>
      <c r="U1311" s="1" t="s">
        <v>511</v>
      </c>
      <c r="V1311" s="1" t="s">
        <v>512</v>
      </c>
      <c r="W1311" s="1">
        <v>45.1</v>
      </c>
      <c r="X1311" s="1">
        <v>-109.3</v>
      </c>
      <c r="Y1311" s="1" t="s">
        <v>48</v>
      </c>
      <c r="Z1311" s="1" t="s">
        <v>49</v>
      </c>
      <c r="AA1311" s="1" t="s">
        <v>50</v>
      </c>
      <c r="AB1311" s="1" t="s">
        <v>51</v>
      </c>
      <c r="AC1311" s="1" t="s">
        <v>52</v>
      </c>
      <c r="AD1311" s="1" t="s">
        <v>52</v>
      </c>
      <c r="AE1311" s="1" t="s">
        <v>52</v>
      </c>
      <c r="AF1311" s="1" t="s">
        <v>53</v>
      </c>
      <c r="AG1311" s="1" t="s">
        <v>53</v>
      </c>
      <c r="AH1311" s="1" t="s">
        <v>478</v>
      </c>
      <c r="AI1311" s="1" t="s">
        <v>55</v>
      </c>
      <c r="AJ1311" s="1">
        <v>42</v>
      </c>
      <c r="AK1311" s="1">
        <v>54</v>
      </c>
      <c r="AL1311" s="4">
        <v>0.22</v>
      </c>
      <c r="AM1311" s="1">
        <v>6.9</v>
      </c>
      <c r="AN1311" s="1">
        <v>8.3000000000000007</v>
      </c>
      <c r="AO1311" s="1" t="s">
        <v>49</v>
      </c>
      <c r="AP1311" s="6">
        <v>1</v>
      </c>
      <c r="AQ1311" s="1" t="s">
        <v>49</v>
      </c>
      <c r="AR1311" s="6" t="s">
        <v>49</v>
      </c>
      <c r="AS1311" s="1">
        <f t="shared" si="112"/>
        <v>1.8260000000000001</v>
      </c>
      <c r="AT1311" s="4">
        <f t="shared" si="113"/>
        <v>3.8353287124553659</v>
      </c>
      <c r="AU1311" s="5">
        <v>0</v>
      </c>
      <c r="AV1311" s="4">
        <f t="shared" si="114"/>
        <v>13.597983616887207</v>
      </c>
      <c r="AW1311" s="9" t="s">
        <v>514</v>
      </c>
    </row>
    <row r="1312" spans="1:49">
      <c r="A1312" s="1">
        <v>27</v>
      </c>
      <c r="B1312" s="1" t="s">
        <v>38</v>
      </c>
      <c r="C1312" s="1" t="s">
        <v>38</v>
      </c>
      <c r="D1312" s="1" t="s">
        <v>556</v>
      </c>
      <c r="E1312" s="1" t="s">
        <v>302</v>
      </c>
      <c r="F1312" s="1">
        <v>2005</v>
      </c>
      <c r="G1312" s="1" t="s">
        <v>246</v>
      </c>
      <c r="H1312" s="3" t="s">
        <v>508</v>
      </c>
      <c r="I1312" s="3" t="s">
        <v>509</v>
      </c>
      <c r="J1312" s="1" t="s">
        <v>510</v>
      </c>
      <c r="K1312" s="1" t="s">
        <v>45</v>
      </c>
      <c r="L1312" s="3" t="s">
        <v>46</v>
      </c>
      <c r="M1312" s="1" t="s">
        <v>12</v>
      </c>
      <c r="N1312" s="1" t="s">
        <v>76</v>
      </c>
      <c r="O1312" s="1">
        <v>0.79900000000000004</v>
      </c>
      <c r="P1312" s="1">
        <v>0.55000000000000004</v>
      </c>
      <c r="Q1312" s="1">
        <v>0.55000000000000004</v>
      </c>
      <c r="R1312" s="1">
        <v>1</v>
      </c>
      <c r="S1312" s="1" t="s">
        <v>49</v>
      </c>
      <c r="T1312" s="1" t="s">
        <v>49</v>
      </c>
      <c r="U1312" s="1" t="s">
        <v>511</v>
      </c>
      <c r="V1312" s="1" t="s">
        <v>512</v>
      </c>
      <c r="W1312" s="1">
        <v>45.1</v>
      </c>
      <c r="X1312" s="1">
        <v>-109.3</v>
      </c>
      <c r="Y1312" s="1" t="s">
        <v>48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520</v>
      </c>
      <c r="AE1312" s="1" t="s">
        <v>518</v>
      </c>
      <c r="AF1312" s="6" t="s">
        <v>49</v>
      </c>
      <c r="AG1312" s="6" t="s">
        <v>49</v>
      </c>
      <c r="AH1312" s="1" t="s">
        <v>478</v>
      </c>
      <c r="AI1312" s="1" t="s">
        <v>55</v>
      </c>
      <c r="AJ1312" s="20" t="s">
        <v>49</v>
      </c>
      <c r="AK1312" s="20" t="s">
        <v>49</v>
      </c>
      <c r="AL1312" s="20" t="s">
        <v>49</v>
      </c>
      <c r="AM1312" s="20" t="s">
        <v>49</v>
      </c>
      <c r="AN1312" s="1" t="s">
        <v>49</v>
      </c>
      <c r="AO1312" s="1" t="s">
        <v>49</v>
      </c>
      <c r="AP1312" s="6">
        <v>1</v>
      </c>
      <c r="AQ1312" s="6">
        <v>-0.17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6" t="s">
        <v>49</v>
      </c>
      <c r="AW1312" s="9" t="s">
        <v>521</v>
      </c>
    </row>
    <row r="1313" spans="1:49">
      <c r="A1313" s="1">
        <v>27</v>
      </c>
      <c r="B1313" s="1" t="s">
        <v>38</v>
      </c>
      <c r="C1313" s="1" t="s">
        <v>38</v>
      </c>
      <c r="D1313" s="1" t="s">
        <v>556</v>
      </c>
      <c r="E1313" s="1" t="s">
        <v>302</v>
      </c>
      <c r="F1313" s="1">
        <v>2005</v>
      </c>
      <c r="G1313" s="1" t="s">
        <v>246</v>
      </c>
      <c r="H1313" s="3" t="s">
        <v>508</v>
      </c>
      <c r="I1313" s="3" t="s">
        <v>509</v>
      </c>
      <c r="J1313" s="1" t="s">
        <v>510</v>
      </c>
      <c r="K1313" s="1" t="s">
        <v>45</v>
      </c>
      <c r="L1313" s="3" t="s">
        <v>46</v>
      </c>
      <c r="M1313" s="1" t="s">
        <v>12</v>
      </c>
      <c r="N1313" s="1" t="s">
        <v>76</v>
      </c>
      <c r="O1313" s="1">
        <v>0.79900000000000004</v>
      </c>
      <c r="P1313" s="1">
        <v>0.55000000000000004</v>
      </c>
      <c r="Q1313" s="1">
        <v>0.55000000000000004</v>
      </c>
      <c r="R1313" s="1">
        <v>1</v>
      </c>
      <c r="S1313" s="1" t="s">
        <v>49</v>
      </c>
      <c r="T1313" s="1" t="s">
        <v>49</v>
      </c>
      <c r="U1313" s="1" t="s">
        <v>511</v>
      </c>
      <c r="V1313" s="1" t="s">
        <v>512</v>
      </c>
      <c r="W1313" s="1">
        <v>45.1</v>
      </c>
      <c r="X1313" s="1">
        <v>-109.3</v>
      </c>
      <c r="Y1313" s="1" t="s">
        <v>48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520</v>
      </c>
      <c r="AE1313" s="1" t="s">
        <v>517</v>
      </c>
      <c r="AF1313" s="6" t="s">
        <v>49</v>
      </c>
      <c r="AG1313" s="6" t="s">
        <v>49</v>
      </c>
      <c r="AH1313" s="1" t="s">
        <v>478</v>
      </c>
      <c r="AI1313" s="1" t="s">
        <v>55</v>
      </c>
      <c r="AJ1313" s="20" t="s">
        <v>49</v>
      </c>
      <c r="AK1313" s="20" t="s">
        <v>49</v>
      </c>
      <c r="AL1313" s="20" t="s">
        <v>49</v>
      </c>
      <c r="AM1313" s="20" t="s">
        <v>49</v>
      </c>
      <c r="AN1313" s="1" t="s">
        <v>49</v>
      </c>
      <c r="AO1313" s="1" t="s">
        <v>49</v>
      </c>
      <c r="AP1313" s="6">
        <v>1</v>
      </c>
      <c r="AQ1313" s="6">
        <v>-0.13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6" t="s">
        <v>49</v>
      </c>
      <c r="AW1313" s="9" t="s">
        <v>521</v>
      </c>
    </row>
    <row r="1314" spans="1:49">
      <c r="A1314" s="1">
        <v>27</v>
      </c>
      <c r="B1314" s="1" t="s">
        <v>38</v>
      </c>
      <c r="C1314" s="1" t="s">
        <v>38</v>
      </c>
      <c r="D1314" s="1" t="s">
        <v>556</v>
      </c>
      <c r="E1314" s="1" t="s">
        <v>302</v>
      </c>
      <c r="F1314" s="1">
        <v>2005</v>
      </c>
      <c r="G1314" s="1" t="s">
        <v>246</v>
      </c>
      <c r="H1314" s="3" t="s">
        <v>508</v>
      </c>
      <c r="I1314" s="3" t="s">
        <v>509</v>
      </c>
      <c r="J1314" s="1" t="s">
        <v>510</v>
      </c>
      <c r="K1314" s="1" t="s">
        <v>45</v>
      </c>
      <c r="L1314" s="3" t="s">
        <v>46</v>
      </c>
      <c r="M1314" s="1" t="s">
        <v>12</v>
      </c>
      <c r="N1314" s="1" t="s">
        <v>76</v>
      </c>
      <c r="O1314" s="1">
        <v>0.79900000000000004</v>
      </c>
      <c r="P1314" s="1">
        <v>0.55000000000000004</v>
      </c>
      <c r="Q1314" s="1">
        <v>0.55000000000000004</v>
      </c>
      <c r="R1314" s="1">
        <v>1</v>
      </c>
      <c r="S1314" s="1" t="s">
        <v>49</v>
      </c>
      <c r="T1314" s="1" t="s">
        <v>49</v>
      </c>
      <c r="U1314" s="1" t="s">
        <v>511</v>
      </c>
      <c r="V1314" s="1" t="s">
        <v>512</v>
      </c>
      <c r="W1314" s="1">
        <v>45.1</v>
      </c>
      <c r="X1314" s="1">
        <v>-109.3</v>
      </c>
      <c r="Y1314" s="1" t="s">
        <v>48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520</v>
      </c>
      <c r="AE1314" s="1" t="s">
        <v>513</v>
      </c>
      <c r="AF1314" s="6" t="s">
        <v>49</v>
      </c>
      <c r="AG1314" s="6" t="s">
        <v>49</v>
      </c>
      <c r="AH1314" s="1" t="s">
        <v>478</v>
      </c>
      <c r="AI1314" s="1" t="s">
        <v>55</v>
      </c>
      <c r="AJ1314" s="20" t="s">
        <v>49</v>
      </c>
      <c r="AK1314" s="20" t="s">
        <v>49</v>
      </c>
      <c r="AL1314" s="20" t="s">
        <v>49</v>
      </c>
      <c r="AM1314" s="20" t="s">
        <v>49</v>
      </c>
      <c r="AN1314" s="1" t="s">
        <v>49</v>
      </c>
      <c r="AO1314" s="1" t="s">
        <v>49</v>
      </c>
      <c r="AP1314" s="6">
        <v>1</v>
      </c>
      <c r="AQ1314" s="6">
        <v>0.49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6" t="s">
        <v>49</v>
      </c>
      <c r="AW1314" s="9" t="s">
        <v>521</v>
      </c>
    </row>
    <row r="1315" spans="1:49">
      <c r="A1315" s="1">
        <v>27</v>
      </c>
      <c r="B1315" s="1" t="s">
        <v>38</v>
      </c>
      <c r="C1315" s="1" t="s">
        <v>38</v>
      </c>
      <c r="D1315" s="1" t="s">
        <v>556</v>
      </c>
      <c r="E1315" s="1" t="s">
        <v>302</v>
      </c>
      <c r="F1315" s="1">
        <v>2005</v>
      </c>
      <c r="G1315" s="1" t="s">
        <v>246</v>
      </c>
      <c r="H1315" s="3" t="s">
        <v>508</v>
      </c>
      <c r="I1315" s="3" t="s">
        <v>509</v>
      </c>
      <c r="J1315" s="1" t="s">
        <v>510</v>
      </c>
      <c r="K1315" s="1" t="s">
        <v>45</v>
      </c>
      <c r="L1315" s="3" t="s">
        <v>46</v>
      </c>
      <c r="M1315" s="1" t="s">
        <v>12</v>
      </c>
      <c r="N1315" s="1" t="s">
        <v>76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511</v>
      </c>
      <c r="V1315" s="1" t="s">
        <v>512</v>
      </c>
      <c r="W1315" s="1">
        <v>45.1</v>
      </c>
      <c r="X1315" s="1">
        <v>-109.3</v>
      </c>
      <c r="Y1315" s="1" t="s">
        <v>48</v>
      </c>
      <c r="Z1315" s="1" t="s">
        <v>49</v>
      </c>
      <c r="AA1315" s="6" t="s">
        <v>49</v>
      </c>
      <c r="AB1315" s="6" t="s">
        <v>49</v>
      </c>
      <c r="AC1315" s="6" t="s">
        <v>49</v>
      </c>
      <c r="AD1315" s="1" t="s">
        <v>520</v>
      </c>
      <c r="AE1315" s="1" t="s">
        <v>516</v>
      </c>
      <c r="AF1315" s="6" t="s">
        <v>49</v>
      </c>
      <c r="AG1315" s="6" t="s">
        <v>49</v>
      </c>
      <c r="AH1315" s="1" t="s">
        <v>478</v>
      </c>
      <c r="AI1315" s="1" t="s">
        <v>55</v>
      </c>
      <c r="AJ1315" s="20" t="s">
        <v>49</v>
      </c>
      <c r="AK1315" s="20" t="s">
        <v>49</v>
      </c>
      <c r="AL1315" s="20" t="s">
        <v>49</v>
      </c>
      <c r="AM1315" s="20" t="s">
        <v>49</v>
      </c>
      <c r="AN1315" s="1" t="s">
        <v>49</v>
      </c>
      <c r="AO1315" s="1" t="s">
        <v>49</v>
      </c>
      <c r="AP1315" s="6">
        <v>1</v>
      </c>
      <c r="AQ1315" s="6">
        <v>0.68</v>
      </c>
      <c r="AR1315" s="6" t="s">
        <v>49</v>
      </c>
      <c r="AS1315" s="6" t="s">
        <v>49</v>
      </c>
      <c r="AT1315" s="6" t="s">
        <v>49</v>
      </c>
      <c r="AU1315" s="6" t="s">
        <v>49</v>
      </c>
      <c r="AV1315" s="6" t="s">
        <v>49</v>
      </c>
      <c r="AW1315" s="9" t="s">
        <v>521</v>
      </c>
    </row>
    <row r="1316" spans="1:49">
      <c r="A1316" s="1">
        <v>27</v>
      </c>
      <c r="B1316" s="1" t="s">
        <v>38</v>
      </c>
      <c r="C1316" s="1" t="s">
        <v>38</v>
      </c>
      <c r="D1316" s="1" t="s">
        <v>556</v>
      </c>
      <c r="E1316" s="1" t="s">
        <v>302</v>
      </c>
      <c r="F1316" s="1">
        <v>2005</v>
      </c>
      <c r="G1316" s="1" t="s">
        <v>246</v>
      </c>
      <c r="H1316" s="3" t="s">
        <v>508</v>
      </c>
      <c r="I1316" s="3" t="s">
        <v>509</v>
      </c>
      <c r="J1316" s="1" t="s">
        <v>510</v>
      </c>
      <c r="K1316" s="1" t="s">
        <v>45</v>
      </c>
      <c r="L1316" s="3" t="s">
        <v>46</v>
      </c>
      <c r="M1316" s="1" t="s">
        <v>12</v>
      </c>
      <c r="N1316" s="1" t="s">
        <v>76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511</v>
      </c>
      <c r="V1316" s="1" t="s">
        <v>512</v>
      </c>
      <c r="W1316" s="1">
        <v>45.1</v>
      </c>
      <c r="X1316" s="1">
        <v>-109.3</v>
      </c>
      <c r="Y1316" s="1" t="s">
        <v>48</v>
      </c>
      <c r="Z1316" s="1" t="s">
        <v>49</v>
      </c>
      <c r="AA1316" s="6" t="s">
        <v>49</v>
      </c>
      <c r="AB1316" s="6" t="s">
        <v>49</v>
      </c>
      <c r="AC1316" s="6" t="s">
        <v>49</v>
      </c>
      <c r="AD1316" s="1" t="s">
        <v>520</v>
      </c>
      <c r="AE1316" s="1" t="s">
        <v>52</v>
      </c>
      <c r="AF1316" s="6" t="s">
        <v>49</v>
      </c>
      <c r="AG1316" s="6" t="s">
        <v>49</v>
      </c>
      <c r="AH1316" s="1" t="s">
        <v>478</v>
      </c>
      <c r="AI1316" s="1" t="s">
        <v>55</v>
      </c>
      <c r="AJ1316" s="20" t="s">
        <v>49</v>
      </c>
      <c r="AK1316" s="20" t="s">
        <v>49</v>
      </c>
      <c r="AL1316" s="20" t="s">
        <v>49</v>
      </c>
      <c r="AM1316" s="20" t="s">
        <v>49</v>
      </c>
      <c r="AN1316" s="1" t="s">
        <v>49</v>
      </c>
      <c r="AO1316" s="1" t="s">
        <v>49</v>
      </c>
      <c r="AP1316" s="6">
        <v>1</v>
      </c>
      <c r="AQ1316" s="6">
        <v>0.22</v>
      </c>
      <c r="AR1316" s="6" t="s">
        <v>49</v>
      </c>
      <c r="AS1316" s="6" t="s">
        <v>49</v>
      </c>
      <c r="AT1316" s="6" t="s">
        <v>49</v>
      </c>
      <c r="AU1316" s="6" t="s">
        <v>49</v>
      </c>
      <c r="AV1316" s="6" t="s">
        <v>49</v>
      </c>
      <c r="AW1316" s="9" t="s">
        <v>521</v>
      </c>
    </row>
    <row r="1317" spans="1:49">
      <c r="A1317" s="1">
        <v>27</v>
      </c>
      <c r="B1317" s="1" t="s">
        <v>38</v>
      </c>
      <c r="C1317" s="1" t="s">
        <v>38</v>
      </c>
      <c r="D1317" s="1" t="s">
        <v>556</v>
      </c>
      <c r="E1317" s="1" t="s">
        <v>302</v>
      </c>
      <c r="F1317" s="1">
        <v>2005</v>
      </c>
      <c r="G1317" s="1" t="s">
        <v>246</v>
      </c>
      <c r="H1317" s="3" t="s">
        <v>508</v>
      </c>
      <c r="I1317" s="3" t="s">
        <v>509</v>
      </c>
      <c r="J1317" s="1" t="s">
        <v>510</v>
      </c>
      <c r="K1317" s="1" t="s">
        <v>45</v>
      </c>
      <c r="L1317" s="3" t="s">
        <v>46</v>
      </c>
      <c r="M1317" s="1" t="s">
        <v>12</v>
      </c>
      <c r="N1317" s="1" t="s">
        <v>76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511</v>
      </c>
      <c r="V1317" s="1" t="s">
        <v>512</v>
      </c>
      <c r="W1317" s="1">
        <v>45.1</v>
      </c>
      <c r="X1317" s="1">
        <v>-109.3</v>
      </c>
      <c r="Y1317" s="1" t="s">
        <v>48</v>
      </c>
      <c r="Z1317" s="1" t="s">
        <v>49</v>
      </c>
      <c r="AA1317" s="6" t="s">
        <v>49</v>
      </c>
      <c r="AB1317" s="6" t="s">
        <v>49</v>
      </c>
      <c r="AC1317" s="6" t="s">
        <v>49</v>
      </c>
      <c r="AD1317" s="1" t="s">
        <v>518</v>
      </c>
      <c r="AE1317" s="1" t="s">
        <v>517</v>
      </c>
      <c r="AF1317" s="6" t="s">
        <v>49</v>
      </c>
      <c r="AG1317" s="6" t="s">
        <v>49</v>
      </c>
      <c r="AH1317" s="1" t="s">
        <v>478</v>
      </c>
      <c r="AI1317" s="1" t="s">
        <v>55</v>
      </c>
      <c r="AJ1317" s="20" t="s">
        <v>49</v>
      </c>
      <c r="AK1317" s="20" t="s">
        <v>49</v>
      </c>
      <c r="AL1317" s="20" t="s">
        <v>49</v>
      </c>
      <c r="AM1317" s="20" t="s">
        <v>49</v>
      </c>
      <c r="AN1317" s="1" t="s">
        <v>49</v>
      </c>
      <c r="AO1317" s="1" t="s">
        <v>49</v>
      </c>
      <c r="AP1317" s="6">
        <v>1</v>
      </c>
      <c r="AQ1317" s="6">
        <v>0.04</v>
      </c>
      <c r="AR1317" s="6" t="s">
        <v>49</v>
      </c>
      <c r="AS1317" s="6" t="s">
        <v>49</v>
      </c>
      <c r="AT1317" s="6" t="s">
        <v>49</v>
      </c>
      <c r="AU1317" s="6" t="s">
        <v>49</v>
      </c>
      <c r="AV1317" s="6" t="s">
        <v>49</v>
      </c>
      <c r="AW1317" s="9" t="s">
        <v>521</v>
      </c>
    </row>
    <row r="1318" spans="1:49">
      <c r="A1318" s="1">
        <v>27</v>
      </c>
      <c r="B1318" s="1" t="s">
        <v>38</v>
      </c>
      <c r="C1318" s="1" t="s">
        <v>38</v>
      </c>
      <c r="D1318" s="1" t="s">
        <v>556</v>
      </c>
      <c r="E1318" s="1" t="s">
        <v>302</v>
      </c>
      <c r="F1318" s="1">
        <v>2005</v>
      </c>
      <c r="G1318" s="1" t="s">
        <v>246</v>
      </c>
      <c r="H1318" s="3" t="s">
        <v>508</v>
      </c>
      <c r="I1318" s="3" t="s">
        <v>509</v>
      </c>
      <c r="J1318" s="1" t="s">
        <v>510</v>
      </c>
      <c r="K1318" s="1" t="s">
        <v>45</v>
      </c>
      <c r="L1318" s="3" t="s">
        <v>46</v>
      </c>
      <c r="M1318" s="1" t="s">
        <v>12</v>
      </c>
      <c r="N1318" s="1" t="s">
        <v>76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511</v>
      </c>
      <c r="V1318" s="1" t="s">
        <v>512</v>
      </c>
      <c r="W1318" s="1">
        <v>45.1</v>
      </c>
      <c r="X1318" s="1">
        <v>-109.3</v>
      </c>
      <c r="Y1318" s="1" t="s">
        <v>48</v>
      </c>
      <c r="Z1318" s="1" t="s">
        <v>49</v>
      </c>
      <c r="AA1318" s="6" t="s">
        <v>49</v>
      </c>
      <c r="AB1318" s="6" t="s">
        <v>49</v>
      </c>
      <c r="AC1318" s="6" t="s">
        <v>49</v>
      </c>
      <c r="AD1318" s="1" t="s">
        <v>518</v>
      </c>
      <c r="AE1318" s="1" t="s">
        <v>513</v>
      </c>
      <c r="AF1318" s="6" t="s">
        <v>49</v>
      </c>
      <c r="AG1318" s="6" t="s">
        <v>49</v>
      </c>
      <c r="AH1318" s="1" t="s">
        <v>478</v>
      </c>
      <c r="AI1318" s="1" t="s">
        <v>55</v>
      </c>
      <c r="AJ1318" s="20" t="s">
        <v>49</v>
      </c>
      <c r="AK1318" s="20" t="s">
        <v>49</v>
      </c>
      <c r="AL1318" s="20" t="s">
        <v>49</v>
      </c>
      <c r="AM1318" s="20" t="s">
        <v>49</v>
      </c>
      <c r="AN1318" s="1" t="s">
        <v>49</v>
      </c>
      <c r="AO1318" s="1" t="s">
        <v>49</v>
      </c>
      <c r="AP1318" s="6">
        <v>1</v>
      </c>
      <c r="AQ1318" s="6">
        <v>-0.26</v>
      </c>
      <c r="AR1318" s="6" t="s">
        <v>49</v>
      </c>
      <c r="AS1318" s="6" t="s">
        <v>49</v>
      </c>
      <c r="AT1318" s="6" t="s">
        <v>49</v>
      </c>
      <c r="AU1318" s="6" t="s">
        <v>49</v>
      </c>
      <c r="AV1318" s="6" t="s">
        <v>49</v>
      </c>
      <c r="AW1318" s="9" t="s">
        <v>521</v>
      </c>
    </row>
    <row r="1319" spans="1:49">
      <c r="A1319" s="1">
        <v>27</v>
      </c>
      <c r="B1319" s="1" t="s">
        <v>38</v>
      </c>
      <c r="C1319" s="1" t="s">
        <v>38</v>
      </c>
      <c r="D1319" s="1" t="s">
        <v>556</v>
      </c>
      <c r="E1319" s="1" t="s">
        <v>302</v>
      </c>
      <c r="F1319" s="1">
        <v>2005</v>
      </c>
      <c r="G1319" s="1" t="s">
        <v>246</v>
      </c>
      <c r="H1319" s="3" t="s">
        <v>508</v>
      </c>
      <c r="I1319" s="3" t="s">
        <v>509</v>
      </c>
      <c r="J1319" s="1" t="s">
        <v>510</v>
      </c>
      <c r="K1319" s="1" t="s">
        <v>45</v>
      </c>
      <c r="L1319" s="3" t="s">
        <v>46</v>
      </c>
      <c r="M1319" s="1" t="s">
        <v>12</v>
      </c>
      <c r="N1319" s="1" t="s">
        <v>76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511</v>
      </c>
      <c r="V1319" s="1" t="s">
        <v>512</v>
      </c>
      <c r="W1319" s="1">
        <v>45.1</v>
      </c>
      <c r="X1319" s="1">
        <v>-109.3</v>
      </c>
      <c r="Y1319" s="1" t="s">
        <v>48</v>
      </c>
      <c r="Z1319" s="1" t="s">
        <v>49</v>
      </c>
      <c r="AA1319" s="6" t="s">
        <v>49</v>
      </c>
      <c r="AB1319" s="6" t="s">
        <v>49</v>
      </c>
      <c r="AC1319" s="6" t="s">
        <v>49</v>
      </c>
      <c r="AD1319" s="1" t="s">
        <v>518</v>
      </c>
      <c r="AE1319" s="1" t="s">
        <v>516</v>
      </c>
      <c r="AF1319" s="6" t="s">
        <v>49</v>
      </c>
      <c r="AG1319" s="6" t="s">
        <v>49</v>
      </c>
      <c r="AH1319" s="1" t="s">
        <v>478</v>
      </c>
      <c r="AI1319" s="1" t="s">
        <v>55</v>
      </c>
      <c r="AJ1319" s="20" t="s">
        <v>49</v>
      </c>
      <c r="AK1319" s="20" t="s">
        <v>49</v>
      </c>
      <c r="AL1319" s="20" t="s">
        <v>49</v>
      </c>
      <c r="AM1319" s="20" t="s">
        <v>49</v>
      </c>
      <c r="AN1319" s="1" t="s">
        <v>49</v>
      </c>
      <c r="AO1319" s="1" t="s">
        <v>49</v>
      </c>
      <c r="AP1319" s="6">
        <v>1</v>
      </c>
      <c r="AQ1319" s="6">
        <v>-0.18</v>
      </c>
      <c r="AR1319" s="6" t="s">
        <v>49</v>
      </c>
      <c r="AS1319" s="6" t="s">
        <v>49</v>
      </c>
      <c r="AT1319" s="6" t="s">
        <v>49</v>
      </c>
      <c r="AU1319" s="6" t="s">
        <v>49</v>
      </c>
      <c r="AV1319" s="6" t="s">
        <v>49</v>
      </c>
      <c r="AW1319" s="9" t="s">
        <v>521</v>
      </c>
    </row>
    <row r="1320" spans="1:49">
      <c r="A1320" s="1">
        <v>27</v>
      </c>
      <c r="B1320" s="1" t="s">
        <v>38</v>
      </c>
      <c r="C1320" s="1" t="s">
        <v>38</v>
      </c>
      <c r="D1320" s="1" t="s">
        <v>556</v>
      </c>
      <c r="E1320" s="1" t="s">
        <v>302</v>
      </c>
      <c r="F1320" s="1">
        <v>2005</v>
      </c>
      <c r="G1320" s="1" t="s">
        <v>246</v>
      </c>
      <c r="H1320" s="3" t="s">
        <v>508</v>
      </c>
      <c r="I1320" s="3" t="s">
        <v>509</v>
      </c>
      <c r="J1320" s="1" t="s">
        <v>510</v>
      </c>
      <c r="K1320" s="1" t="s">
        <v>45</v>
      </c>
      <c r="L1320" s="3" t="s">
        <v>46</v>
      </c>
      <c r="M1320" s="1" t="s">
        <v>12</v>
      </c>
      <c r="N1320" s="1" t="s">
        <v>76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511</v>
      </c>
      <c r="V1320" s="1" t="s">
        <v>512</v>
      </c>
      <c r="W1320" s="1">
        <v>45.1</v>
      </c>
      <c r="X1320" s="1">
        <v>-109.3</v>
      </c>
      <c r="Y1320" s="1" t="s">
        <v>48</v>
      </c>
      <c r="Z1320" s="1" t="s">
        <v>49</v>
      </c>
      <c r="AA1320" s="6" t="s">
        <v>49</v>
      </c>
      <c r="AB1320" s="6" t="s">
        <v>49</v>
      </c>
      <c r="AC1320" s="6" t="s">
        <v>49</v>
      </c>
      <c r="AD1320" s="1" t="s">
        <v>518</v>
      </c>
      <c r="AE1320" s="1" t="s">
        <v>52</v>
      </c>
      <c r="AF1320" s="6" t="s">
        <v>49</v>
      </c>
      <c r="AG1320" s="6" t="s">
        <v>49</v>
      </c>
      <c r="AH1320" s="1" t="s">
        <v>478</v>
      </c>
      <c r="AI1320" s="1" t="s">
        <v>55</v>
      </c>
      <c r="AJ1320" s="20" t="s">
        <v>49</v>
      </c>
      <c r="AK1320" s="20" t="s">
        <v>49</v>
      </c>
      <c r="AL1320" s="20" t="s">
        <v>49</v>
      </c>
      <c r="AM1320" s="20" t="s">
        <v>49</v>
      </c>
      <c r="AN1320" s="1" t="s">
        <v>49</v>
      </c>
      <c r="AO1320" s="1" t="s">
        <v>49</v>
      </c>
      <c r="AP1320" s="6">
        <v>1</v>
      </c>
      <c r="AQ1320" s="6">
        <v>0.38</v>
      </c>
      <c r="AR1320" s="6" t="s">
        <v>49</v>
      </c>
      <c r="AS1320" s="6" t="s">
        <v>49</v>
      </c>
      <c r="AT1320" s="6" t="s">
        <v>49</v>
      </c>
      <c r="AU1320" s="6" t="s">
        <v>49</v>
      </c>
      <c r="AV1320" s="6" t="s">
        <v>49</v>
      </c>
      <c r="AW1320" s="9" t="s">
        <v>521</v>
      </c>
    </row>
    <row r="1321" spans="1:49">
      <c r="A1321" s="1">
        <v>27</v>
      </c>
      <c r="B1321" s="1" t="s">
        <v>38</v>
      </c>
      <c r="C1321" s="1" t="s">
        <v>38</v>
      </c>
      <c r="D1321" s="1" t="s">
        <v>556</v>
      </c>
      <c r="E1321" s="1" t="s">
        <v>302</v>
      </c>
      <c r="F1321" s="1">
        <v>2005</v>
      </c>
      <c r="G1321" s="1" t="s">
        <v>246</v>
      </c>
      <c r="H1321" s="3" t="s">
        <v>508</v>
      </c>
      <c r="I1321" s="3" t="s">
        <v>509</v>
      </c>
      <c r="J1321" s="1" t="s">
        <v>510</v>
      </c>
      <c r="K1321" s="1" t="s">
        <v>45</v>
      </c>
      <c r="L1321" s="3" t="s">
        <v>46</v>
      </c>
      <c r="M1321" s="1" t="s">
        <v>12</v>
      </c>
      <c r="N1321" s="1" t="s">
        <v>76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511</v>
      </c>
      <c r="V1321" s="1" t="s">
        <v>512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517</v>
      </c>
      <c r="AE1321" s="1" t="s">
        <v>513</v>
      </c>
      <c r="AF1321" s="6" t="s">
        <v>49</v>
      </c>
      <c r="AG1321" s="6" t="s">
        <v>49</v>
      </c>
      <c r="AH1321" s="1" t="s">
        <v>478</v>
      </c>
      <c r="AI1321" s="1" t="s">
        <v>55</v>
      </c>
      <c r="AJ1321" s="20" t="s">
        <v>49</v>
      </c>
      <c r="AK1321" s="20" t="s">
        <v>49</v>
      </c>
      <c r="AL1321" s="20" t="s">
        <v>49</v>
      </c>
      <c r="AM1321" s="20" t="s">
        <v>49</v>
      </c>
      <c r="AN1321" s="1" t="s">
        <v>49</v>
      </c>
      <c r="AO1321" s="1" t="s">
        <v>49</v>
      </c>
      <c r="AP1321" s="6">
        <v>1</v>
      </c>
      <c r="AQ1321" s="6">
        <v>0.26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6" t="s">
        <v>49</v>
      </c>
      <c r="AW1321" s="9" t="s">
        <v>521</v>
      </c>
    </row>
    <row r="1322" spans="1:49">
      <c r="A1322" s="1">
        <v>27</v>
      </c>
      <c r="B1322" s="1" t="s">
        <v>38</v>
      </c>
      <c r="C1322" s="1" t="s">
        <v>38</v>
      </c>
      <c r="D1322" s="1" t="s">
        <v>556</v>
      </c>
      <c r="E1322" s="1" t="s">
        <v>302</v>
      </c>
      <c r="F1322" s="1">
        <v>2005</v>
      </c>
      <c r="G1322" s="1" t="s">
        <v>246</v>
      </c>
      <c r="H1322" s="3" t="s">
        <v>508</v>
      </c>
      <c r="I1322" s="3" t="s">
        <v>509</v>
      </c>
      <c r="J1322" s="1" t="s">
        <v>510</v>
      </c>
      <c r="K1322" s="1" t="s">
        <v>45</v>
      </c>
      <c r="L1322" s="3" t="s">
        <v>46</v>
      </c>
      <c r="M1322" s="1" t="s">
        <v>12</v>
      </c>
      <c r="N1322" s="1" t="s">
        <v>76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511</v>
      </c>
      <c r="V1322" s="1" t="s">
        <v>512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517</v>
      </c>
      <c r="AE1322" s="1" t="s">
        <v>516</v>
      </c>
      <c r="AF1322" s="6" t="s">
        <v>49</v>
      </c>
      <c r="AG1322" s="6" t="s">
        <v>49</v>
      </c>
      <c r="AH1322" s="1" t="s">
        <v>478</v>
      </c>
      <c r="AI1322" s="1" t="s">
        <v>55</v>
      </c>
      <c r="AJ1322" s="20" t="s">
        <v>49</v>
      </c>
      <c r="AK1322" s="20" t="s">
        <v>49</v>
      </c>
      <c r="AL1322" s="20" t="s">
        <v>49</v>
      </c>
      <c r="AM1322" s="20" t="s">
        <v>49</v>
      </c>
      <c r="AN1322" s="1" t="s">
        <v>49</v>
      </c>
      <c r="AO1322" s="1" t="s">
        <v>49</v>
      </c>
      <c r="AP1322" s="6">
        <v>1</v>
      </c>
      <c r="AQ1322" s="6">
        <v>0.47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6" t="s">
        <v>49</v>
      </c>
      <c r="AW1322" s="9" t="s">
        <v>521</v>
      </c>
    </row>
    <row r="1323" spans="1:49">
      <c r="A1323" s="1">
        <v>27</v>
      </c>
      <c r="B1323" s="1" t="s">
        <v>38</v>
      </c>
      <c r="C1323" s="1" t="s">
        <v>38</v>
      </c>
      <c r="D1323" s="1" t="s">
        <v>556</v>
      </c>
      <c r="E1323" s="1" t="s">
        <v>302</v>
      </c>
      <c r="F1323" s="1">
        <v>2005</v>
      </c>
      <c r="G1323" s="1" t="s">
        <v>246</v>
      </c>
      <c r="H1323" s="3" t="s">
        <v>508</v>
      </c>
      <c r="I1323" s="3" t="s">
        <v>509</v>
      </c>
      <c r="J1323" s="1" t="s">
        <v>510</v>
      </c>
      <c r="K1323" s="1" t="s">
        <v>45</v>
      </c>
      <c r="L1323" s="3" t="s">
        <v>46</v>
      </c>
      <c r="M1323" s="1" t="s">
        <v>12</v>
      </c>
      <c r="N1323" s="1" t="s">
        <v>76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511</v>
      </c>
      <c r="V1323" s="1" t="s">
        <v>512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517</v>
      </c>
      <c r="AE1323" s="1" t="s">
        <v>52</v>
      </c>
      <c r="AF1323" s="6" t="s">
        <v>49</v>
      </c>
      <c r="AG1323" s="6" t="s">
        <v>49</v>
      </c>
      <c r="AH1323" s="1" t="s">
        <v>478</v>
      </c>
      <c r="AI1323" s="1" t="s">
        <v>55</v>
      </c>
      <c r="AJ1323" s="20" t="s">
        <v>49</v>
      </c>
      <c r="AK1323" s="20" t="s">
        <v>49</v>
      </c>
      <c r="AL1323" s="20" t="s">
        <v>49</v>
      </c>
      <c r="AM1323" s="20" t="s">
        <v>49</v>
      </c>
      <c r="AN1323" s="1" t="s">
        <v>49</v>
      </c>
      <c r="AO1323" s="1" t="s">
        <v>49</v>
      </c>
      <c r="AP1323" s="6">
        <v>1</v>
      </c>
      <c r="AQ1323" s="6">
        <v>-0.13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6" t="s">
        <v>49</v>
      </c>
      <c r="AW1323" s="9" t="s">
        <v>521</v>
      </c>
    </row>
    <row r="1324" spans="1:49">
      <c r="A1324" s="1">
        <v>27</v>
      </c>
      <c r="B1324" s="1" t="s">
        <v>38</v>
      </c>
      <c r="C1324" s="1" t="s">
        <v>38</v>
      </c>
      <c r="D1324" s="1" t="s">
        <v>556</v>
      </c>
      <c r="E1324" s="1" t="s">
        <v>302</v>
      </c>
      <c r="F1324" s="1">
        <v>2005</v>
      </c>
      <c r="G1324" s="1" t="s">
        <v>246</v>
      </c>
      <c r="H1324" s="3" t="s">
        <v>508</v>
      </c>
      <c r="I1324" s="3" t="s">
        <v>509</v>
      </c>
      <c r="J1324" s="1" t="s">
        <v>510</v>
      </c>
      <c r="K1324" s="1" t="s">
        <v>45</v>
      </c>
      <c r="L1324" s="3" t="s">
        <v>46</v>
      </c>
      <c r="M1324" s="1" t="s">
        <v>12</v>
      </c>
      <c r="N1324" s="1" t="s">
        <v>76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511</v>
      </c>
      <c r="V1324" s="1" t="s">
        <v>512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513</v>
      </c>
      <c r="AE1324" s="1" t="s">
        <v>516</v>
      </c>
      <c r="AF1324" s="6" t="s">
        <v>49</v>
      </c>
      <c r="AG1324" s="6" t="s">
        <v>49</v>
      </c>
      <c r="AH1324" s="1" t="s">
        <v>478</v>
      </c>
      <c r="AI1324" s="1" t="s">
        <v>55</v>
      </c>
      <c r="AJ1324" s="20" t="s">
        <v>49</v>
      </c>
      <c r="AK1324" s="20" t="s">
        <v>49</v>
      </c>
      <c r="AL1324" s="20" t="s">
        <v>49</v>
      </c>
      <c r="AM1324" s="20" t="s">
        <v>49</v>
      </c>
      <c r="AN1324" s="1" t="s">
        <v>49</v>
      </c>
      <c r="AO1324" s="1" t="s">
        <v>49</v>
      </c>
      <c r="AP1324" s="6">
        <v>1</v>
      </c>
      <c r="AQ1324" s="6">
        <v>0.89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6" t="s">
        <v>49</v>
      </c>
      <c r="AW1324" s="9" t="s">
        <v>521</v>
      </c>
    </row>
    <row r="1325" spans="1:49">
      <c r="A1325" s="1">
        <v>27</v>
      </c>
      <c r="B1325" s="1" t="s">
        <v>38</v>
      </c>
      <c r="C1325" s="1" t="s">
        <v>38</v>
      </c>
      <c r="D1325" s="1" t="s">
        <v>556</v>
      </c>
      <c r="E1325" s="1" t="s">
        <v>302</v>
      </c>
      <c r="F1325" s="1">
        <v>2005</v>
      </c>
      <c r="G1325" s="1" t="s">
        <v>246</v>
      </c>
      <c r="H1325" s="3" t="s">
        <v>508</v>
      </c>
      <c r="I1325" s="3" t="s">
        <v>509</v>
      </c>
      <c r="J1325" s="1" t="s">
        <v>510</v>
      </c>
      <c r="K1325" s="1" t="s">
        <v>45</v>
      </c>
      <c r="L1325" s="3" t="s">
        <v>46</v>
      </c>
      <c r="M1325" s="1" t="s">
        <v>12</v>
      </c>
      <c r="N1325" s="1" t="s">
        <v>76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511</v>
      </c>
      <c r="V1325" s="1" t="s">
        <v>512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513</v>
      </c>
      <c r="AE1325" s="1" t="s">
        <v>52</v>
      </c>
      <c r="AF1325" s="6" t="s">
        <v>49</v>
      </c>
      <c r="AG1325" s="6" t="s">
        <v>49</v>
      </c>
      <c r="AH1325" s="1" t="s">
        <v>478</v>
      </c>
      <c r="AI1325" s="1" t="s">
        <v>55</v>
      </c>
      <c r="AJ1325" s="20" t="s">
        <v>49</v>
      </c>
      <c r="AK1325" s="20" t="s">
        <v>49</v>
      </c>
      <c r="AL1325" s="20" t="s">
        <v>49</v>
      </c>
      <c r="AM1325" s="20" t="s">
        <v>49</v>
      </c>
      <c r="AN1325" s="1" t="s">
        <v>49</v>
      </c>
      <c r="AO1325" s="1" t="s">
        <v>49</v>
      </c>
      <c r="AP1325" s="6">
        <v>1</v>
      </c>
      <c r="AQ1325" s="6">
        <v>0.68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6" t="s">
        <v>49</v>
      </c>
      <c r="AW1325" s="9" t="s">
        <v>521</v>
      </c>
    </row>
    <row r="1326" spans="1:49">
      <c r="A1326" s="1">
        <v>27</v>
      </c>
      <c r="B1326" s="1" t="s">
        <v>38</v>
      </c>
      <c r="C1326" s="1" t="s">
        <v>38</v>
      </c>
      <c r="D1326" s="1" t="s">
        <v>556</v>
      </c>
      <c r="E1326" s="1" t="s">
        <v>302</v>
      </c>
      <c r="F1326" s="1">
        <v>2005</v>
      </c>
      <c r="G1326" s="1" t="s">
        <v>246</v>
      </c>
      <c r="H1326" s="3" t="s">
        <v>508</v>
      </c>
      <c r="I1326" s="3" t="s">
        <v>509</v>
      </c>
      <c r="J1326" s="1" t="s">
        <v>510</v>
      </c>
      <c r="K1326" s="1" t="s">
        <v>45</v>
      </c>
      <c r="L1326" s="3" t="s">
        <v>46</v>
      </c>
      <c r="M1326" s="1" t="s">
        <v>12</v>
      </c>
      <c r="N1326" s="1" t="s">
        <v>76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511</v>
      </c>
      <c r="V1326" s="1" t="s">
        <v>512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516</v>
      </c>
      <c r="AE1326" s="1" t="s">
        <v>52</v>
      </c>
      <c r="AF1326" s="6" t="s">
        <v>49</v>
      </c>
      <c r="AG1326" s="6" t="s">
        <v>49</v>
      </c>
      <c r="AH1326" s="1" t="s">
        <v>478</v>
      </c>
      <c r="AI1326" s="1" t="s">
        <v>55</v>
      </c>
      <c r="AJ1326" s="20" t="s">
        <v>49</v>
      </c>
      <c r="AK1326" s="20" t="s">
        <v>49</v>
      </c>
      <c r="AL1326" s="20" t="s">
        <v>49</v>
      </c>
      <c r="AM1326" s="20" t="s">
        <v>49</v>
      </c>
      <c r="AN1326" s="1" t="s">
        <v>49</v>
      </c>
      <c r="AO1326" s="1" t="s">
        <v>49</v>
      </c>
      <c r="AP1326" s="6">
        <v>1</v>
      </c>
      <c r="AQ1326" s="6">
        <v>0.46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6" t="s">
        <v>49</v>
      </c>
      <c r="AW1326" s="9" t="s">
        <v>521</v>
      </c>
    </row>
    <row r="1327" spans="1:49" ht="15" customHeight="1">
      <c r="A1327" s="1">
        <v>15</v>
      </c>
      <c r="B1327" s="1" t="s">
        <v>38</v>
      </c>
      <c r="C1327" s="1" t="s">
        <v>38</v>
      </c>
      <c r="D1327" s="3" t="s">
        <v>557</v>
      </c>
      <c r="E1327" s="3" t="s">
        <v>40</v>
      </c>
      <c r="F1327" s="3">
        <v>1995</v>
      </c>
      <c r="G1327" s="3" t="s">
        <v>522</v>
      </c>
      <c r="H1327" s="3" t="s">
        <v>523</v>
      </c>
      <c r="I1327" s="3" t="s">
        <v>524</v>
      </c>
      <c r="J1327" s="3" t="s">
        <v>525</v>
      </c>
      <c r="K1327" s="3" t="s">
        <v>307</v>
      </c>
      <c r="L1327" s="3" t="s">
        <v>46</v>
      </c>
      <c r="M1327" s="1" t="s">
        <v>12</v>
      </c>
      <c r="N1327" s="1" t="s">
        <v>80</v>
      </c>
      <c r="O1327" s="1">
        <v>0.05</v>
      </c>
      <c r="P1327" s="1">
        <v>0.05</v>
      </c>
      <c r="Q1327" s="1">
        <v>0.05</v>
      </c>
      <c r="R1327" s="1">
        <v>1</v>
      </c>
      <c r="S1327" s="1" t="s">
        <v>49</v>
      </c>
      <c r="T1327" s="1" t="s">
        <v>49</v>
      </c>
      <c r="U1327" s="1" t="s">
        <v>526</v>
      </c>
      <c r="V1327" s="3" t="s">
        <v>527</v>
      </c>
      <c r="W1327" s="3">
        <v>10.43</v>
      </c>
      <c r="X1327" s="3">
        <v>-84.01</v>
      </c>
      <c r="Y1327" s="3" t="s">
        <v>48</v>
      </c>
      <c r="Z1327" s="3" t="s">
        <v>49</v>
      </c>
      <c r="AA1327" s="1" t="s">
        <v>50</v>
      </c>
      <c r="AB1327" s="1" t="s">
        <v>51</v>
      </c>
      <c r="AC1327" s="1" t="s">
        <v>52</v>
      </c>
      <c r="AD1327" s="1" t="s">
        <v>467</v>
      </c>
      <c r="AE1327" s="1" t="s">
        <v>467</v>
      </c>
      <c r="AF1327" s="1" t="s">
        <v>53</v>
      </c>
      <c r="AG1327" s="1" t="s">
        <v>53</v>
      </c>
      <c r="AH1327" s="1" t="s">
        <v>199</v>
      </c>
      <c r="AI1327" s="1" t="s">
        <v>200</v>
      </c>
      <c r="AJ1327" s="1">
        <v>59</v>
      </c>
      <c r="AK1327" s="1">
        <v>885</v>
      </c>
      <c r="AL1327" s="4">
        <v>0.17</v>
      </c>
      <c r="AM1327" s="3">
        <v>4.5</v>
      </c>
      <c r="AN1327" s="6">
        <f>0.113+0.105+0.45</f>
        <v>0.66800000000000004</v>
      </c>
      <c r="AO1327" s="1" t="s">
        <v>49</v>
      </c>
      <c r="AP1327" s="6">
        <v>1</v>
      </c>
      <c r="AQ1327" s="6" t="s">
        <v>49</v>
      </c>
      <c r="AR1327" s="6" t="s">
        <v>49</v>
      </c>
      <c r="AS1327" s="1">
        <v>0.113</v>
      </c>
      <c r="AT1327" s="4">
        <f t="shared" ref="AT1327:AT1332" si="115">AS1327/(AM1327^2)*100</f>
        <v>0.55802469135802468</v>
      </c>
      <c r="AU1327" s="5">
        <v>0</v>
      </c>
      <c r="AV1327" s="4">
        <f t="shared" ref="AV1327:AV1332" si="116">AT1327*(1-AL1327)/AL1327</f>
        <v>2.7244734931009438</v>
      </c>
      <c r="AW1327" s="9" t="s">
        <v>528</v>
      </c>
    </row>
    <row r="1328" spans="1:49" ht="15" customHeight="1">
      <c r="A1328" s="1">
        <v>15</v>
      </c>
      <c r="B1328" s="1" t="s">
        <v>38</v>
      </c>
      <c r="C1328" s="1" t="s">
        <v>38</v>
      </c>
      <c r="D1328" s="3" t="s">
        <v>557</v>
      </c>
      <c r="E1328" s="3" t="s">
        <v>40</v>
      </c>
      <c r="F1328" s="3">
        <v>1995</v>
      </c>
      <c r="G1328" s="3" t="s">
        <v>522</v>
      </c>
      <c r="H1328" s="3" t="s">
        <v>523</v>
      </c>
      <c r="I1328" s="3" t="s">
        <v>524</v>
      </c>
      <c r="J1328" s="3" t="s">
        <v>525</v>
      </c>
      <c r="K1328" s="3" t="s">
        <v>307</v>
      </c>
      <c r="L1328" s="3" t="s">
        <v>46</v>
      </c>
      <c r="M1328" s="1" t="s">
        <v>12</v>
      </c>
      <c r="N1328" s="1" t="s">
        <v>80</v>
      </c>
      <c r="O1328" s="1">
        <v>0.05</v>
      </c>
      <c r="P1328" s="1">
        <v>0.05</v>
      </c>
      <c r="Q1328" s="1">
        <v>0.05</v>
      </c>
      <c r="R1328" s="1">
        <v>1</v>
      </c>
      <c r="S1328" s="1" t="s">
        <v>49</v>
      </c>
      <c r="T1328" s="1" t="s">
        <v>49</v>
      </c>
      <c r="U1328" s="1" t="s">
        <v>526</v>
      </c>
      <c r="V1328" s="3" t="s">
        <v>527</v>
      </c>
      <c r="W1328" s="3">
        <v>10.43</v>
      </c>
      <c r="X1328" s="3">
        <v>-84.01</v>
      </c>
      <c r="Y1328" s="3" t="s">
        <v>48</v>
      </c>
      <c r="Z1328" s="3" t="s">
        <v>49</v>
      </c>
      <c r="AA1328" s="1" t="s">
        <v>50</v>
      </c>
      <c r="AB1328" s="1" t="s">
        <v>66</v>
      </c>
      <c r="AC1328" s="1" t="s">
        <v>171</v>
      </c>
      <c r="AD1328" s="1" t="s">
        <v>529</v>
      </c>
      <c r="AE1328" s="1" t="s">
        <v>529</v>
      </c>
      <c r="AF1328" s="1" t="s">
        <v>60</v>
      </c>
      <c r="AG1328" s="1" t="s">
        <v>173</v>
      </c>
      <c r="AH1328" s="1" t="s">
        <v>199</v>
      </c>
      <c r="AI1328" s="1" t="s">
        <v>200</v>
      </c>
      <c r="AJ1328" s="1">
        <v>59</v>
      </c>
      <c r="AK1328" s="1">
        <v>885</v>
      </c>
      <c r="AL1328" s="4">
        <v>0.17699999999999999</v>
      </c>
      <c r="AM1328" s="4">
        <v>0.31</v>
      </c>
      <c r="AN1328" s="6">
        <f>0.001657+0.003031+0.004646</f>
        <v>9.3339999999999985E-3</v>
      </c>
      <c r="AO1328" s="1" t="s">
        <v>49</v>
      </c>
      <c r="AP1328" s="6">
        <v>1</v>
      </c>
      <c r="AQ1328" s="6" t="s">
        <v>49</v>
      </c>
      <c r="AR1328" s="6" t="s">
        <v>49</v>
      </c>
      <c r="AS1328" s="1">
        <v>1.6570000000000001E-3</v>
      </c>
      <c r="AT1328" s="4">
        <f t="shared" si="115"/>
        <v>1.7242455775234131</v>
      </c>
      <c r="AU1328" s="5">
        <v>0</v>
      </c>
      <c r="AV1328" s="4">
        <f t="shared" si="116"/>
        <v>8.0172548604619713</v>
      </c>
      <c r="AW1328" s="9" t="s">
        <v>528</v>
      </c>
    </row>
    <row r="1329" spans="1:49" ht="15" customHeight="1">
      <c r="A1329" s="1">
        <v>15</v>
      </c>
      <c r="B1329" s="1" t="s">
        <v>38</v>
      </c>
      <c r="C1329" s="1" t="s">
        <v>38</v>
      </c>
      <c r="D1329" s="3" t="s">
        <v>557</v>
      </c>
      <c r="E1329" s="3" t="s">
        <v>40</v>
      </c>
      <c r="F1329" s="3">
        <v>1995</v>
      </c>
      <c r="G1329" s="3" t="s">
        <v>522</v>
      </c>
      <c r="H1329" s="3" t="s">
        <v>523</v>
      </c>
      <c r="I1329" s="3" t="s">
        <v>524</v>
      </c>
      <c r="J1329" s="3" t="s">
        <v>525</v>
      </c>
      <c r="K1329" s="3" t="s">
        <v>307</v>
      </c>
      <c r="L1329" s="3" t="s">
        <v>46</v>
      </c>
      <c r="M1329" s="1" t="s">
        <v>12</v>
      </c>
      <c r="N1329" s="1" t="s">
        <v>80</v>
      </c>
      <c r="O1329" s="1">
        <v>0.05</v>
      </c>
      <c r="P1329" s="1">
        <v>0.05</v>
      </c>
      <c r="Q1329" s="1">
        <v>0.05</v>
      </c>
      <c r="R1329" s="1">
        <v>1</v>
      </c>
      <c r="S1329" s="1" t="s">
        <v>49</v>
      </c>
      <c r="T1329" s="1" t="s">
        <v>49</v>
      </c>
      <c r="U1329" s="1" t="s">
        <v>526</v>
      </c>
      <c r="V1329" s="3" t="s">
        <v>527</v>
      </c>
      <c r="W1329" s="3">
        <v>10.43</v>
      </c>
      <c r="X1329" s="3">
        <v>-84.01</v>
      </c>
      <c r="Y1329" s="3" t="s">
        <v>48</v>
      </c>
      <c r="Z1329" s="3" t="s">
        <v>49</v>
      </c>
      <c r="AA1329" s="1" t="s">
        <v>50</v>
      </c>
      <c r="AB1329" s="1" t="s">
        <v>66</v>
      </c>
      <c r="AC1329" s="1" t="s">
        <v>171</v>
      </c>
      <c r="AD1329" s="1" t="s">
        <v>530</v>
      </c>
      <c r="AE1329" s="1" t="s">
        <v>530</v>
      </c>
      <c r="AF1329" s="1" t="s">
        <v>60</v>
      </c>
      <c r="AG1329" s="1" t="s">
        <v>173</v>
      </c>
      <c r="AH1329" s="1" t="s">
        <v>199</v>
      </c>
      <c r="AI1329" s="1" t="s">
        <v>200</v>
      </c>
      <c r="AJ1329" s="1">
        <v>59</v>
      </c>
      <c r="AK1329" s="1">
        <v>885</v>
      </c>
      <c r="AL1329" s="4">
        <v>0.26500000000000001</v>
      </c>
      <c r="AM1329" s="3">
        <v>0.65</v>
      </c>
      <c r="AN1329" s="6">
        <f>0.01174+0.01848+0.01409</f>
        <v>4.4310000000000002E-2</v>
      </c>
      <c r="AO1329" s="1" t="s">
        <v>49</v>
      </c>
      <c r="AP1329" s="6">
        <v>1</v>
      </c>
      <c r="AQ1329" s="6" t="s">
        <v>49</v>
      </c>
      <c r="AR1329" s="6" t="s">
        <v>49</v>
      </c>
      <c r="AS1329" s="1">
        <v>1.174E-2</v>
      </c>
      <c r="AT1329" s="4">
        <f t="shared" si="115"/>
        <v>2.7786982248520711</v>
      </c>
      <c r="AU1329" s="5">
        <v>0</v>
      </c>
      <c r="AV1329" s="4">
        <f t="shared" si="116"/>
        <v>7.7069554538349889</v>
      </c>
      <c r="AW1329" s="9" t="s">
        <v>528</v>
      </c>
    </row>
    <row r="1330" spans="1:49" ht="15" customHeight="1">
      <c r="A1330" s="1">
        <v>15</v>
      </c>
      <c r="B1330" s="1" t="s">
        <v>38</v>
      </c>
      <c r="C1330" s="1" t="s">
        <v>38</v>
      </c>
      <c r="D1330" s="3" t="s">
        <v>557</v>
      </c>
      <c r="E1330" s="3" t="s">
        <v>40</v>
      </c>
      <c r="F1330" s="3">
        <v>1995</v>
      </c>
      <c r="G1330" s="3" t="s">
        <v>522</v>
      </c>
      <c r="H1330" s="3" t="s">
        <v>523</v>
      </c>
      <c r="I1330" s="3" t="s">
        <v>524</v>
      </c>
      <c r="J1330" s="3" t="s">
        <v>525</v>
      </c>
      <c r="K1330" s="3" t="s">
        <v>307</v>
      </c>
      <c r="L1330" s="3" t="s">
        <v>46</v>
      </c>
      <c r="M1330" s="1" t="s">
        <v>12</v>
      </c>
      <c r="N1330" s="1" t="s">
        <v>80</v>
      </c>
      <c r="O1330" s="1">
        <v>0.05</v>
      </c>
      <c r="P1330" s="1">
        <v>0.05</v>
      </c>
      <c r="Q1330" s="1">
        <v>0.05</v>
      </c>
      <c r="R1330" s="1">
        <v>1</v>
      </c>
      <c r="S1330" s="1" t="s">
        <v>49</v>
      </c>
      <c r="T1330" s="1" t="s">
        <v>49</v>
      </c>
      <c r="U1330" s="1" t="s">
        <v>526</v>
      </c>
      <c r="V1330" s="3" t="s">
        <v>527</v>
      </c>
      <c r="W1330" s="3">
        <v>10.43</v>
      </c>
      <c r="X1330" s="3">
        <v>-84.01</v>
      </c>
      <c r="Y1330" s="3" t="s">
        <v>48</v>
      </c>
      <c r="Z1330" s="3" t="s">
        <v>49</v>
      </c>
      <c r="AA1330" s="1" t="s">
        <v>50</v>
      </c>
      <c r="AB1330" s="1" t="s">
        <v>66</v>
      </c>
      <c r="AC1330" s="1" t="s">
        <v>124</v>
      </c>
      <c r="AD1330" s="1" t="s">
        <v>531</v>
      </c>
      <c r="AE1330" s="1" t="s">
        <v>531</v>
      </c>
      <c r="AF1330" s="1" t="s">
        <v>60</v>
      </c>
      <c r="AG1330" s="1" t="s">
        <v>61</v>
      </c>
      <c r="AH1330" s="1" t="s">
        <v>199</v>
      </c>
      <c r="AI1330" s="1" t="s">
        <v>200</v>
      </c>
      <c r="AJ1330" s="1">
        <v>59</v>
      </c>
      <c r="AK1330" s="1">
        <v>352</v>
      </c>
      <c r="AL1330" s="4">
        <v>0.2</v>
      </c>
      <c r="AM1330" s="3">
        <v>3.1</v>
      </c>
      <c r="AN1330" s="6">
        <f>0.0279+0.056+0.0553</f>
        <v>0.13919999999999999</v>
      </c>
      <c r="AO1330" s="1" t="s">
        <v>49</v>
      </c>
      <c r="AP1330" s="6">
        <v>1</v>
      </c>
      <c r="AQ1330" s="6" t="s">
        <v>49</v>
      </c>
      <c r="AR1330" s="6" t="s">
        <v>49</v>
      </c>
      <c r="AS1330" s="1">
        <v>2.7900000000000001E-2</v>
      </c>
      <c r="AT1330" s="4">
        <f t="shared" si="115"/>
        <v>0.29032258064516125</v>
      </c>
      <c r="AU1330" s="5">
        <v>0</v>
      </c>
      <c r="AV1330" s="4">
        <f t="shared" si="116"/>
        <v>1.161290322580645</v>
      </c>
      <c r="AW1330" s="9" t="s">
        <v>528</v>
      </c>
    </row>
    <row r="1331" spans="1:49" ht="15" customHeight="1">
      <c r="A1331" s="1">
        <v>15</v>
      </c>
      <c r="B1331" s="1" t="s">
        <v>38</v>
      </c>
      <c r="C1331" s="1" t="s">
        <v>38</v>
      </c>
      <c r="D1331" s="3" t="s">
        <v>557</v>
      </c>
      <c r="E1331" s="3" t="s">
        <v>40</v>
      </c>
      <c r="F1331" s="3">
        <v>1995</v>
      </c>
      <c r="G1331" s="3" t="s">
        <v>522</v>
      </c>
      <c r="H1331" s="3" t="s">
        <v>523</v>
      </c>
      <c r="I1331" s="3" t="s">
        <v>524</v>
      </c>
      <c r="J1331" s="3" t="s">
        <v>525</v>
      </c>
      <c r="K1331" s="3" t="s">
        <v>307</v>
      </c>
      <c r="L1331" s="3" t="s">
        <v>46</v>
      </c>
      <c r="M1331" s="1" t="s">
        <v>12</v>
      </c>
      <c r="N1331" s="1" t="s">
        <v>80</v>
      </c>
      <c r="O1331" s="1">
        <v>0.05</v>
      </c>
      <c r="P1331" s="1">
        <v>0.05</v>
      </c>
      <c r="Q1331" s="1">
        <v>0.05</v>
      </c>
      <c r="R1331" s="1">
        <v>1</v>
      </c>
      <c r="S1331" s="1" t="s">
        <v>49</v>
      </c>
      <c r="T1331" s="1" t="s">
        <v>49</v>
      </c>
      <c r="U1331" s="1" t="s">
        <v>526</v>
      </c>
      <c r="V1331" s="3" t="s">
        <v>527</v>
      </c>
      <c r="W1331" s="3">
        <v>10.43</v>
      </c>
      <c r="X1331" s="3">
        <v>-84.01</v>
      </c>
      <c r="Y1331" s="3" t="s">
        <v>48</v>
      </c>
      <c r="Z1331" s="3" t="s">
        <v>49</v>
      </c>
      <c r="AA1331" s="1" t="s">
        <v>50</v>
      </c>
      <c r="AB1331" s="1" t="s">
        <v>66</v>
      </c>
      <c r="AC1331" s="1" t="s">
        <v>124</v>
      </c>
      <c r="AD1331" s="1" t="s">
        <v>532</v>
      </c>
      <c r="AE1331" s="1" t="s">
        <v>532</v>
      </c>
      <c r="AF1331" s="1" t="s">
        <v>60</v>
      </c>
      <c r="AG1331" s="1" t="s">
        <v>61</v>
      </c>
      <c r="AH1331" s="1" t="s">
        <v>199</v>
      </c>
      <c r="AI1331" s="1" t="s">
        <v>200</v>
      </c>
      <c r="AJ1331" s="1">
        <v>59</v>
      </c>
      <c r="AK1331" s="1">
        <v>352</v>
      </c>
      <c r="AL1331" s="4">
        <v>0.29699999999999999</v>
      </c>
      <c r="AM1331" s="3">
        <v>2.4</v>
      </c>
      <c r="AN1331" s="6">
        <f>0.0371+0.0458+0.0419</f>
        <v>0.12479999999999999</v>
      </c>
      <c r="AO1331" s="1" t="s">
        <v>49</v>
      </c>
      <c r="AP1331" s="6">
        <v>1</v>
      </c>
      <c r="AQ1331" s="6" t="s">
        <v>49</v>
      </c>
      <c r="AR1331" s="6" t="s">
        <v>49</v>
      </c>
      <c r="AS1331" s="1">
        <v>3.7100000000000001E-2</v>
      </c>
      <c r="AT1331" s="4">
        <f t="shared" si="115"/>
        <v>0.64409722222222232</v>
      </c>
      <c r="AU1331" s="5">
        <v>0</v>
      </c>
      <c r="AV1331" s="4">
        <f t="shared" si="116"/>
        <v>1.5245802936775164</v>
      </c>
      <c r="AW1331" s="9" t="s">
        <v>528</v>
      </c>
    </row>
    <row r="1332" spans="1:49" ht="15" customHeight="1">
      <c r="A1332" s="1">
        <v>15</v>
      </c>
      <c r="B1332" s="1" t="s">
        <v>38</v>
      </c>
      <c r="C1332" s="1" t="s">
        <v>38</v>
      </c>
      <c r="D1332" s="3" t="s">
        <v>557</v>
      </c>
      <c r="E1332" s="3" t="s">
        <v>40</v>
      </c>
      <c r="F1332" s="3">
        <v>1995</v>
      </c>
      <c r="G1332" s="3" t="s">
        <v>522</v>
      </c>
      <c r="H1332" s="3" t="s">
        <v>523</v>
      </c>
      <c r="I1332" s="3" t="s">
        <v>524</v>
      </c>
      <c r="J1332" s="3" t="s">
        <v>525</v>
      </c>
      <c r="K1332" s="3" t="s">
        <v>307</v>
      </c>
      <c r="L1332" s="3" t="s">
        <v>46</v>
      </c>
      <c r="M1332" s="1" t="s">
        <v>12</v>
      </c>
      <c r="N1332" s="1" t="s">
        <v>80</v>
      </c>
      <c r="O1332" s="1">
        <v>0.05</v>
      </c>
      <c r="P1332" s="1">
        <v>0.05</v>
      </c>
      <c r="Q1332" s="1">
        <v>0.05</v>
      </c>
      <c r="R1332" s="1">
        <v>1</v>
      </c>
      <c r="S1332" s="1" t="s">
        <v>49</v>
      </c>
      <c r="T1332" s="1" t="s">
        <v>49</v>
      </c>
      <c r="U1332" s="1" t="s">
        <v>526</v>
      </c>
      <c r="V1332" s="3" t="s">
        <v>527</v>
      </c>
      <c r="W1332" s="3">
        <v>10.43</v>
      </c>
      <c r="X1332" s="3">
        <v>-84.01</v>
      </c>
      <c r="Y1332" s="3" t="s">
        <v>48</v>
      </c>
      <c r="Z1332" s="3" t="s">
        <v>49</v>
      </c>
      <c r="AA1332" s="1" t="s">
        <v>50</v>
      </c>
      <c r="AB1332" s="1" t="s">
        <v>66</v>
      </c>
      <c r="AC1332" s="1" t="s">
        <v>124</v>
      </c>
      <c r="AD1332" s="1" t="s">
        <v>533</v>
      </c>
      <c r="AE1332" s="1" t="s">
        <v>533</v>
      </c>
      <c r="AF1332" s="1" t="s">
        <v>53</v>
      </c>
      <c r="AG1332" s="1" t="s">
        <v>53</v>
      </c>
      <c r="AH1332" s="1" t="s">
        <v>199</v>
      </c>
      <c r="AI1332" s="1" t="s">
        <v>200</v>
      </c>
      <c r="AJ1332" s="1">
        <v>59</v>
      </c>
      <c r="AK1332" s="1">
        <v>352</v>
      </c>
      <c r="AL1332" s="4">
        <v>0.159</v>
      </c>
      <c r="AM1332" s="3">
        <v>4.5999999999999996</v>
      </c>
      <c r="AN1332" s="6">
        <f>0.0596+0.0606+0.2557</f>
        <v>0.37590000000000001</v>
      </c>
      <c r="AO1332" s="1" t="s">
        <v>49</v>
      </c>
      <c r="AP1332" s="6">
        <v>1</v>
      </c>
      <c r="AQ1332" s="6" t="s">
        <v>49</v>
      </c>
      <c r="AR1332" s="6" t="s">
        <v>49</v>
      </c>
      <c r="AS1332" s="1">
        <v>5.96E-2</v>
      </c>
      <c r="AT1332" s="4">
        <f t="shared" si="115"/>
        <v>0.28166351606805295</v>
      </c>
      <c r="AU1332" s="5">
        <v>0</v>
      </c>
      <c r="AV1332" s="4">
        <f t="shared" si="116"/>
        <v>1.4898051384480033</v>
      </c>
      <c r="AW1332" s="9" t="s">
        <v>528</v>
      </c>
    </row>
    <row r="1333" spans="1:49">
      <c r="A1333" s="1">
        <v>15</v>
      </c>
      <c r="B1333" s="1" t="s">
        <v>38</v>
      </c>
      <c r="C1333" s="1" t="s">
        <v>38</v>
      </c>
      <c r="D1333" s="3" t="s">
        <v>557</v>
      </c>
      <c r="E1333" s="3" t="s">
        <v>40</v>
      </c>
      <c r="F1333" s="3">
        <v>1995</v>
      </c>
      <c r="G1333" s="3" t="s">
        <v>522</v>
      </c>
      <c r="H1333" s="3" t="s">
        <v>523</v>
      </c>
      <c r="I1333" s="3" t="s">
        <v>524</v>
      </c>
      <c r="J1333" s="3" t="s">
        <v>525</v>
      </c>
      <c r="K1333" s="3" t="s">
        <v>307</v>
      </c>
      <c r="L1333" s="3" t="s">
        <v>46</v>
      </c>
      <c r="M1333" s="1" t="s">
        <v>12</v>
      </c>
      <c r="N1333" s="1" t="s">
        <v>80</v>
      </c>
      <c r="O1333" s="1">
        <v>0.05</v>
      </c>
      <c r="P1333" s="1">
        <v>0.05</v>
      </c>
      <c r="Q1333" s="1">
        <v>0.05</v>
      </c>
      <c r="R1333" s="1">
        <v>1</v>
      </c>
      <c r="S1333" s="1" t="s">
        <v>49</v>
      </c>
      <c r="T1333" s="1" t="s">
        <v>49</v>
      </c>
      <c r="U1333" s="1" t="s">
        <v>526</v>
      </c>
      <c r="V1333" s="3" t="s">
        <v>527</v>
      </c>
      <c r="W1333" s="3">
        <v>10.43</v>
      </c>
      <c r="X1333" s="3">
        <v>-84.01</v>
      </c>
      <c r="Y1333" s="3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529</v>
      </c>
      <c r="AE1333" s="1" t="s">
        <v>530</v>
      </c>
      <c r="AF1333" s="6" t="s">
        <v>49</v>
      </c>
      <c r="AG1333" s="6" t="s">
        <v>49</v>
      </c>
      <c r="AH1333" s="1" t="s">
        <v>199</v>
      </c>
      <c r="AI1333" s="1" t="s">
        <v>200</v>
      </c>
      <c r="AJ1333" s="20" t="s">
        <v>49</v>
      </c>
      <c r="AK1333" s="20" t="s">
        <v>49</v>
      </c>
      <c r="AL1333" s="20" t="s">
        <v>49</v>
      </c>
      <c r="AM1333" s="20" t="s">
        <v>49</v>
      </c>
      <c r="AN1333" s="1" t="s">
        <v>49</v>
      </c>
      <c r="AO1333" s="1" t="s">
        <v>49</v>
      </c>
      <c r="AP1333" s="6">
        <v>1</v>
      </c>
      <c r="AQ1333" s="6">
        <v>0.88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6" t="s">
        <v>49</v>
      </c>
      <c r="AW1333" s="9" t="s">
        <v>534</v>
      </c>
    </row>
    <row r="1334" spans="1:49">
      <c r="A1334" s="1">
        <v>15</v>
      </c>
      <c r="B1334" s="1" t="s">
        <v>38</v>
      </c>
      <c r="C1334" s="1" t="s">
        <v>38</v>
      </c>
      <c r="D1334" s="3" t="s">
        <v>557</v>
      </c>
      <c r="E1334" s="3" t="s">
        <v>40</v>
      </c>
      <c r="F1334" s="3">
        <v>1995</v>
      </c>
      <c r="G1334" s="3" t="s">
        <v>522</v>
      </c>
      <c r="H1334" s="3" t="s">
        <v>523</v>
      </c>
      <c r="I1334" s="3" t="s">
        <v>524</v>
      </c>
      <c r="J1334" s="3" t="s">
        <v>525</v>
      </c>
      <c r="K1334" s="3" t="s">
        <v>307</v>
      </c>
      <c r="L1334" s="3" t="s">
        <v>46</v>
      </c>
      <c r="M1334" s="1" t="s">
        <v>12</v>
      </c>
      <c r="N1334" s="1" t="s">
        <v>80</v>
      </c>
      <c r="O1334" s="1">
        <v>0.05</v>
      </c>
      <c r="P1334" s="1">
        <v>0.05</v>
      </c>
      <c r="Q1334" s="1">
        <v>0.05</v>
      </c>
      <c r="R1334" s="1">
        <v>1</v>
      </c>
      <c r="S1334" s="1" t="s">
        <v>49</v>
      </c>
      <c r="T1334" s="1" t="s">
        <v>49</v>
      </c>
      <c r="U1334" s="1" t="s">
        <v>526</v>
      </c>
      <c r="V1334" s="3" t="s">
        <v>527</v>
      </c>
      <c r="W1334" s="3">
        <v>10.43</v>
      </c>
      <c r="X1334" s="3">
        <v>-84.01</v>
      </c>
      <c r="Y1334" s="3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531</v>
      </c>
      <c r="AE1334" s="1" t="s">
        <v>532</v>
      </c>
      <c r="AF1334" s="6" t="s">
        <v>49</v>
      </c>
      <c r="AG1334" s="6" t="s">
        <v>49</v>
      </c>
      <c r="AH1334" s="1" t="s">
        <v>199</v>
      </c>
      <c r="AI1334" s="1" t="s">
        <v>200</v>
      </c>
      <c r="AJ1334" s="20" t="s">
        <v>49</v>
      </c>
      <c r="AK1334" s="20" t="s">
        <v>49</v>
      </c>
      <c r="AL1334" s="20" t="s">
        <v>49</v>
      </c>
      <c r="AM1334" s="20" t="s">
        <v>49</v>
      </c>
      <c r="AN1334" s="1" t="s">
        <v>49</v>
      </c>
      <c r="AO1334" s="1" t="s">
        <v>49</v>
      </c>
      <c r="AP1334" s="6">
        <v>1</v>
      </c>
      <c r="AQ1334" s="6">
        <v>0.93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6" t="s">
        <v>49</v>
      </c>
      <c r="AW1334" s="9" t="s">
        <v>534</v>
      </c>
    </row>
    <row r="1335" spans="1:49">
      <c r="A1335" s="1">
        <v>15</v>
      </c>
      <c r="B1335" s="1" t="s">
        <v>38</v>
      </c>
      <c r="C1335" s="1" t="s">
        <v>38</v>
      </c>
      <c r="D1335" s="3" t="s">
        <v>557</v>
      </c>
      <c r="E1335" s="3" t="s">
        <v>40</v>
      </c>
      <c r="F1335" s="3">
        <v>1995</v>
      </c>
      <c r="G1335" s="3" t="s">
        <v>522</v>
      </c>
      <c r="H1335" s="3" t="s">
        <v>523</v>
      </c>
      <c r="I1335" s="3" t="s">
        <v>524</v>
      </c>
      <c r="J1335" s="3" t="s">
        <v>525</v>
      </c>
      <c r="K1335" s="3" t="s">
        <v>307</v>
      </c>
      <c r="L1335" s="3" t="s">
        <v>46</v>
      </c>
      <c r="M1335" s="1" t="s">
        <v>12</v>
      </c>
      <c r="N1335" s="1" t="s">
        <v>80</v>
      </c>
      <c r="O1335" s="1">
        <v>0.05</v>
      </c>
      <c r="P1335" s="1">
        <v>0.05</v>
      </c>
      <c r="Q1335" s="1">
        <v>0.05</v>
      </c>
      <c r="R1335" s="1">
        <v>1</v>
      </c>
      <c r="S1335" s="1" t="s">
        <v>49</v>
      </c>
      <c r="T1335" s="1" t="s">
        <v>49</v>
      </c>
      <c r="U1335" s="1" t="s">
        <v>526</v>
      </c>
      <c r="V1335" s="3" t="s">
        <v>527</v>
      </c>
      <c r="W1335" s="3">
        <v>10.43</v>
      </c>
      <c r="X1335" s="3">
        <v>-84.01</v>
      </c>
      <c r="Y1335" s="3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529</v>
      </c>
      <c r="AE1335" s="1" t="s">
        <v>467</v>
      </c>
      <c r="AF1335" s="6" t="s">
        <v>49</v>
      </c>
      <c r="AG1335" s="6" t="s">
        <v>49</v>
      </c>
      <c r="AH1335" s="1" t="s">
        <v>199</v>
      </c>
      <c r="AI1335" s="1" t="s">
        <v>200</v>
      </c>
      <c r="AJ1335" s="20" t="s">
        <v>49</v>
      </c>
      <c r="AK1335" s="20" t="s">
        <v>49</v>
      </c>
      <c r="AL1335" s="20" t="s">
        <v>49</v>
      </c>
      <c r="AM1335" s="20" t="s">
        <v>49</v>
      </c>
      <c r="AN1335" s="1" t="s">
        <v>49</v>
      </c>
      <c r="AO1335" s="1" t="s">
        <v>49</v>
      </c>
      <c r="AP1335" s="6">
        <v>1</v>
      </c>
      <c r="AQ1335" s="6">
        <v>-0.09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6" t="s">
        <v>49</v>
      </c>
      <c r="AW1335" s="9" t="s">
        <v>534</v>
      </c>
    </row>
    <row r="1336" spans="1:49">
      <c r="A1336" s="1">
        <v>15</v>
      </c>
      <c r="B1336" s="1" t="s">
        <v>38</v>
      </c>
      <c r="C1336" s="1" t="s">
        <v>38</v>
      </c>
      <c r="D1336" s="3" t="s">
        <v>557</v>
      </c>
      <c r="E1336" s="3" t="s">
        <v>40</v>
      </c>
      <c r="F1336" s="3">
        <v>1995</v>
      </c>
      <c r="G1336" s="3" t="s">
        <v>522</v>
      </c>
      <c r="H1336" s="3" t="s">
        <v>523</v>
      </c>
      <c r="I1336" s="3" t="s">
        <v>524</v>
      </c>
      <c r="J1336" s="3" t="s">
        <v>525</v>
      </c>
      <c r="K1336" s="3" t="s">
        <v>307</v>
      </c>
      <c r="L1336" s="3" t="s">
        <v>46</v>
      </c>
      <c r="M1336" s="1" t="s">
        <v>12</v>
      </c>
      <c r="N1336" s="1" t="s">
        <v>80</v>
      </c>
      <c r="O1336" s="1">
        <v>0.05</v>
      </c>
      <c r="P1336" s="1">
        <v>0.05</v>
      </c>
      <c r="Q1336" s="1">
        <v>0.05</v>
      </c>
      <c r="R1336" s="1">
        <v>1</v>
      </c>
      <c r="S1336" s="1" t="s">
        <v>49</v>
      </c>
      <c r="T1336" s="1" t="s">
        <v>49</v>
      </c>
      <c r="U1336" s="1" t="s">
        <v>526</v>
      </c>
      <c r="V1336" s="3" t="s">
        <v>527</v>
      </c>
      <c r="W1336" s="3">
        <v>10.43</v>
      </c>
      <c r="X1336" s="3">
        <v>-84.01</v>
      </c>
      <c r="Y1336" s="3" t="s">
        <v>48</v>
      </c>
      <c r="Z1336" s="1" t="s">
        <v>49</v>
      </c>
      <c r="AA1336" s="6" t="s">
        <v>49</v>
      </c>
      <c r="AB1336" s="6" t="s">
        <v>49</v>
      </c>
      <c r="AC1336" s="6" t="s">
        <v>49</v>
      </c>
      <c r="AD1336" s="1" t="s">
        <v>530</v>
      </c>
      <c r="AE1336" s="1" t="s">
        <v>467</v>
      </c>
      <c r="AF1336" s="6" t="s">
        <v>49</v>
      </c>
      <c r="AG1336" s="6" t="s">
        <v>49</v>
      </c>
      <c r="AH1336" s="1" t="s">
        <v>199</v>
      </c>
      <c r="AI1336" s="1" t="s">
        <v>200</v>
      </c>
      <c r="AJ1336" s="20" t="s">
        <v>49</v>
      </c>
      <c r="AK1336" s="20" t="s">
        <v>49</v>
      </c>
      <c r="AL1336" s="20" t="s">
        <v>49</v>
      </c>
      <c r="AM1336" s="20" t="s">
        <v>49</v>
      </c>
      <c r="AN1336" s="1" t="s">
        <v>49</v>
      </c>
      <c r="AO1336" s="1" t="s">
        <v>49</v>
      </c>
      <c r="AP1336" s="6">
        <v>1</v>
      </c>
      <c r="AQ1336" s="6">
        <v>0.08</v>
      </c>
      <c r="AR1336" s="6" t="s">
        <v>49</v>
      </c>
      <c r="AS1336" s="6" t="s">
        <v>49</v>
      </c>
      <c r="AT1336" s="6" t="s">
        <v>49</v>
      </c>
      <c r="AU1336" s="6" t="s">
        <v>49</v>
      </c>
      <c r="AV1336" s="6" t="s">
        <v>49</v>
      </c>
      <c r="AW1336" s="9" t="s">
        <v>534</v>
      </c>
    </row>
    <row r="1337" spans="1:49">
      <c r="A1337" s="1">
        <v>44</v>
      </c>
      <c r="B1337" s="1" t="s">
        <v>38</v>
      </c>
      <c r="C1337" s="1" t="s">
        <v>38</v>
      </c>
      <c r="D1337" s="1" t="s">
        <v>535</v>
      </c>
      <c r="E1337" s="1" t="s">
        <v>40</v>
      </c>
      <c r="F1337" s="1">
        <v>2004</v>
      </c>
      <c r="G1337" s="1" t="s">
        <v>536</v>
      </c>
      <c r="H1337" s="3" t="s">
        <v>537</v>
      </c>
      <c r="I1337" s="3" t="s">
        <v>538</v>
      </c>
      <c r="J1337" s="1" t="s">
        <v>539</v>
      </c>
      <c r="K1337" s="1" t="s">
        <v>45</v>
      </c>
      <c r="L1337" s="1" t="s">
        <v>46</v>
      </c>
      <c r="M1337" s="1" t="s">
        <v>115</v>
      </c>
      <c r="N1337" s="1" t="s">
        <v>116</v>
      </c>
      <c r="O1337" s="1">
        <v>1</v>
      </c>
      <c r="P1337" s="1">
        <v>1</v>
      </c>
      <c r="Q1337" s="1">
        <v>1</v>
      </c>
      <c r="R1337" s="1">
        <v>1</v>
      </c>
      <c r="S1337" s="1" t="s">
        <v>49</v>
      </c>
      <c r="T1337" s="1" t="s">
        <v>49</v>
      </c>
      <c r="U1337" s="1" t="s">
        <v>540</v>
      </c>
      <c r="V1337" s="1" t="s">
        <v>541</v>
      </c>
      <c r="W1337" s="1">
        <v>30.2</v>
      </c>
      <c r="X1337" s="1">
        <v>-84.4</v>
      </c>
      <c r="Y1337" s="1" t="s">
        <v>141</v>
      </c>
      <c r="Z1337" s="1" t="s">
        <v>49</v>
      </c>
      <c r="AA1337" s="1" t="s">
        <v>94</v>
      </c>
      <c r="AB1337" s="1" t="s">
        <v>482</v>
      </c>
      <c r="AC1337" s="1" t="s">
        <v>482</v>
      </c>
      <c r="AD1337" s="1" t="s">
        <v>564</v>
      </c>
      <c r="AE1337" s="1" t="s">
        <v>564</v>
      </c>
      <c r="AF1337" s="1" t="s">
        <v>484</v>
      </c>
      <c r="AG1337" s="1" t="s">
        <v>484</v>
      </c>
      <c r="AH1337" s="1" t="s">
        <v>123</v>
      </c>
      <c r="AI1337" s="1" t="s">
        <v>55</v>
      </c>
      <c r="AJ1337" s="1">
        <v>50</v>
      </c>
      <c r="AK1337" s="1">
        <v>4023</v>
      </c>
      <c r="AL1337" s="4">
        <v>6.9000000000000006E-2</v>
      </c>
      <c r="AM1337" s="4">
        <v>9.81</v>
      </c>
      <c r="AN1337" s="4">
        <f>0.912+0.021+11.9</f>
        <v>12.833</v>
      </c>
      <c r="AO1337" s="1">
        <v>9.7000000000000003E-2</v>
      </c>
      <c r="AP1337" s="6">
        <v>1</v>
      </c>
      <c r="AQ1337" s="6" t="s">
        <v>49</v>
      </c>
      <c r="AR1337" s="6" t="s">
        <v>49</v>
      </c>
      <c r="AS1337" s="4">
        <v>0.91200000000000003</v>
      </c>
      <c r="AT1337" s="4">
        <f t="shared" ref="AT1337:AT1342" si="117">(AO1337^2)*100</f>
        <v>0.94090000000000007</v>
      </c>
      <c r="AU1337" s="5">
        <v>0</v>
      </c>
      <c r="AV1337" s="4">
        <f t="shared" ref="AV1337:AV1346" si="118">AT1337*(1-AL1337)/AL1337</f>
        <v>12.695331884057971</v>
      </c>
      <c r="AW1337" s="9" t="s">
        <v>545</v>
      </c>
    </row>
    <row r="1338" spans="1:49">
      <c r="A1338" s="1">
        <v>44</v>
      </c>
      <c r="B1338" s="1" t="s">
        <v>38</v>
      </c>
      <c r="C1338" s="1" t="s">
        <v>38</v>
      </c>
      <c r="D1338" s="1" t="s">
        <v>535</v>
      </c>
      <c r="E1338" s="1" t="s">
        <v>40</v>
      </c>
      <c r="F1338" s="1">
        <v>2004</v>
      </c>
      <c r="G1338" s="1" t="s">
        <v>536</v>
      </c>
      <c r="H1338" s="3" t="s">
        <v>537</v>
      </c>
      <c r="I1338" s="3" t="s">
        <v>538</v>
      </c>
      <c r="J1338" s="1" t="s">
        <v>539</v>
      </c>
      <c r="K1338" s="1" t="s">
        <v>45</v>
      </c>
      <c r="L1338" s="1" t="s">
        <v>46</v>
      </c>
      <c r="M1338" s="1" t="s">
        <v>115</v>
      </c>
      <c r="N1338" s="1" t="s">
        <v>116</v>
      </c>
      <c r="O1338" s="1">
        <v>1</v>
      </c>
      <c r="P1338" s="1">
        <v>1</v>
      </c>
      <c r="Q1338" s="1">
        <v>1</v>
      </c>
      <c r="R1338" s="1">
        <v>1</v>
      </c>
      <c r="S1338" s="1" t="s">
        <v>49</v>
      </c>
      <c r="T1338" s="1" t="s">
        <v>49</v>
      </c>
      <c r="U1338" s="1" t="s">
        <v>540</v>
      </c>
      <c r="V1338" s="1" t="s">
        <v>541</v>
      </c>
      <c r="W1338" s="1">
        <v>30.2</v>
      </c>
      <c r="X1338" s="1">
        <v>-84.4</v>
      </c>
      <c r="Y1338" s="1" t="s">
        <v>141</v>
      </c>
      <c r="Z1338" s="1" t="s">
        <v>49</v>
      </c>
      <c r="AA1338" s="1" t="s">
        <v>127</v>
      </c>
      <c r="AB1338" s="1" t="s">
        <v>239</v>
      </c>
      <c r="AC1338" s="1" t="s">
        <v>240</v>
      </c>
      <c r="AD1338" s="1" t="s">
        <v>558</v>
      </c>
      <c r="AE1338" s="1" t="s">
        <v>558</v>
      </c>
      <c r="AF1338" s="1" t="s">
        <v>60</v>
      </c>
      <c r="AG1338" s="1" t="s">
        <v>61</v>
      </c>
      <c r="AH1338" s="1" t="s">
        <v>123</v>
      </c>
      <c r="AI1338" s="1" t="s">
        <v>55</v>
      </c>
      <c r="AJ1338" s="1">
        <v>50</v>
      </c>
      <c r="AK1338" s="1">
        <v>2236</v>
      </c>
      <c r="AL1338" s="4">
        <v>0.1069</v>
      </c>
      <c r="AM1338" s="4">
        <v>10.27</v>
      </c>
      <c r="AN1338" s="4">
        <f>0.172+0.1256+1.309</f>
        <v>1.6065999999999998</v>
      </c>
      <c r="AO1338" s="1">
        <v>6.7699999999999996E-2</v>
      </c>
      <c r="AP1338" s="6">
        <v>1</v>
      </c>
      <c r="AQ1338" s="6" t="s">
        <v>49</v>
      </c>
      <c r="AR1338" s="6" t="s">
        <v>49</v>
      </c>
      <c r="AS1338" s="4">
        <v>0.17199999999999999</v>
      </c>
      <c r="AT1338" s="4">
        <f t="shared" si="117"/>
        <v>0.45832899999999993</v>
      </c>
      <c r="AU1338" s="5">
        <v>0</v>
      </c>
      <c r="AV1338" s="4">
        <f t="shared" si="118"/>
        <v>3.8291265659494851</v>
      </c>
      <c r="AW1338" s="9" t="s">
        <v>545</v>
      </c>
    </row>
    <row r="1339" spans="1:49">
      <c r="A1339" s="1">
        <v>44</v>
      </c>
      <c r="B1339" s="1" t="s">
        <v>38</v>
      </c>
      <c r="C1339" s="1" t="s">
        <v>38</v>
      </c>
      <c r="D1339" s="1" t="s">
        <v>535</v>
      </c>
      <c r="E1339" s="1" t="s">
        <v>40</v>
      </c>
      <c r="F1339" s="1">
        <v>2004</v>
      </c>
      <c r="G1339" s="1" t="s">
        <v>536</v>
      </c>
      <c r="H1339" s="3" t="s">
        <v>537</v>
      </c>
      <c r="I1339" s="3" t="s">
        <v>538</v>
      </c>
      <c r="J1339" s="1" t="s">
        <v>539</v>
      </c>
      <c r="K1339" s="1" t="s">
        <v>45</v>
      </c>
      <c r="L1339" s="1" t="s">
        <v>46</v>
      </c>
      <c r="M1339" s="1" t="s">
        <v>115</v>
      </c>
      <c r="N1339" s="1" t="s">
        <v>116</v>
      </c>
      <c r="O1339" s="1">
        <v>1</v>
      </c>
      <c r="P1339" s="1">
        <v>1</v>
      </c>
      <c r="Q1339" s="1">
        <v>1</v>
      </c>
      <c r="R1339" s="1">
        <v>1</v>
      </c>
      <c r="S1339" s="1" t="s">
        <v>49</v>
      </c>
      <c r="T1339" s="1" t="s">
        <v>49</v>
      </c>
      <c r="U1339" s="1" t="s">
        <v>540</v>
      </c>
      <c r="V1339" s="1" t="s">
        <v>541</v>
      </c>
      <c r="W1339" s="1">
        <v>30.2</v>
      </c>
      <c r="X1339" s="1">
        <v>-84.4</v>
      </c>
      <c r="Y1339" s="1" t="s">
        <v>141</v>
      </c>
      <c r="Z1339" s="1" t="s">
        <v>49</v>
      </c>
      <c r="AA1339" s="1" t="s">
        <v>127</v>
      </c>
      <c r="AB1339" s="1" t="s">
        <v>239</v>
      </c>
      <c r="AC1339" s="1" t="s">
        <v>346</v>
      </c>
      <c r="AD1339" s="1" t="s">
        <v>559</v>
      </c>
      <c r="AE1339" s="1" t="s">
        <v>559</v>
      </c>
      <c r="AF1339" s="1" t="s">
        <v>60</v>
      </c>
      <c r="AG1339" s="1" t="s">
        <v>61</v>
      </c>
      <c r="AH1339" s="1" t="s">
        <v>123</v>
      </c>
      <c r="AI1339" s="1" t="s">
        <v>55</v>
      </c>
      <c r="AJ1339" s="1">
        <v>50</v>
      </c>
      <c r="AK1339" s="1">
        <v>2236</v>
      </c>
      <c r="AL1339" s="4">
        <v>0.15040000000000001</v>
      </c>
      <c r="AM1339" s="4">
        <v>2.58</v>
      </c>
      <c r="AN1339" s="4">
        <f>0.058+0.028+0.298</f>
        <v>0.38400000000000001</v>
      </c>
      <c r="AO1339" s="1">
        <v>8.5999999999999993E-2</v>
      </c>
      <c r="AP1339" s="6">
        <v>1</v>
      </c>
      <c r="AQ1339" s="6" t="s">
        <v>49</v>
      </c>
      <c r="AR1339" s="6" t="s">
        <v>49</v>
      </c>
      <c r="AS1339" s="4">
        <v>5.8000000000000003E-2</v>
      </c>
      <c r="AT1339" s="4">
        <f t="shared" si="117"/>
        <v>0.73959999999999992</v>
      </c>
      <c r="AU1339" s="5">
        <v>0</v>
      </c>
      <c r="AV1339" s="4">
        <f t="shared" si="118"/>
        <v>4.1779531914893608</v>
      </c>
      <c r="AW1339" s="9" t="s">
        <v>545</v>
      </c>
    </row>
    <row r="1340" spans="1:49">
      <c r="A1340" s="1">
        <v>44</v>
      </c>
      <c r="B1340" s="1" t="s">
        <v>38</v>
      </c>
      <c r="C1340" s="1" t="s">
        <v>38</v>
      </c>
      <c r="D1340" s="1" t="s">
        <v>535</v>
      </c>
      <c r="E1340" s="1" t="s">
        <v>40</v>
      </c>
      <c r="F1340" s="1">
        <v>2004</v>
      </c>
      <c r="G1340" s="1" t="s">
        <v>536</v>
      </c>
      <c r="H1340" s="3" t="s">
        <v>537</v>
      </c>
      <c r="I1340" s="3" t="s">
        <v>538</v>
      </c>
      <c r="J1340" s="1" t="s">
        <v>539</v>
      </c>
      <c r="K1340" s="1" t="s">
        <v>45</v>
      </c>
      <c r="L1340" s="1" t="s">
        <v>46</v>
      </c>
      <c r="M1340" s="1" t="s">
        <v>115</v>
      </c>
      <c r="N1340" s="1" t="s">
        <v>116</v>
      </c>
      <c r="O1340" s="1">
        <v>1</v>
      </c>
      <c r="P1340" s="1">
        <v>1</v>
      </c>
      <c r="Q1340" s="1">
        <v>1</v>
      </c>
      <c r="R1340" s="1">
        <v>1</v>
      </c>
      <c r="S1340" s="1" t="s">
        <v>49</v>
      </c>
      <c r="T1340" s="1" t="s">
        <v>49</v>
      </c>
      <c r="U1340" s="1" t="s">
        <v>540</v>
      </c>
      <c r="V1340" s="1" t="s">
        <v>541</v>
      </c>
      <c r="W1340" s="1">
        <v>30.2</v>
      </c>
      <c r="X1340" s="1">
        <v>-84.4</v>
      </c>
      <c r="Y1340" s="1" t="s">
        <v>141</v>
      </c>
      <c r="Z1340" s="1" t="s">
        <v>49</v>
      </c>
      <c r="AA1340" s="1" t="s">
        <v>127</v>
      </c>
      <c r="AB1340" s="1" t="s">
        <v>546</v>
      </c>
      <c r="AC1340" s="1" t="s">
        <v>546</v>
      </c>
      <c r="AD1340" s="1" t="s">
        <v>560</v>
      </c>
      <c r="AE1340" s="1" t="s">
        <v>560</v>
      </c>
      <c r="AF1340" s="1" t="s">
        <v>60</v>
      </c>
      <c r="AG1340" s="1" t="s">
        <v>61</v>
      </c>
      <c r="AH1340" s="1" t="s">
        <v>123</v>
      </c>
      <c r="AI1340" s="1" t="s">
        <v>55</v>
      </c>
      <c r="AJ1340" s="1">
        <v>50</v>
      </c>
      <c r="AK1340" s="1">
        <v>2217</v>
      </c>
      <c r="AL1340" s="4">
        <v>3.7600000000000001E-2</v>
      </c>
      <c r="AM1340" s="4">
        <v>0.14399999999999999</v>
      </c>
      <c r="AN1340" s="4">
        <f>0.0000168+0.00000499+0.000425</f>
        <v>4.4678999999999997E-4</v>
      </c>
      <c r="AO1340" s="1">
        <v>2.8000000000000001E-2</v>
      </c>
      <c r="AP1340" s="6">
        <v>1</v>
      </c>
      <c r="AQ1340" s="6" t="s">
        <v>49</v>
      </c>
      <c r="AR1340" s="6" t="s">
        <v>49</v>
      </c>
      <c r="AS1340" s="4">
        <v>1.6799999999999998E-5</v>
      </c>
      <c r="AT1340" s="4">
        <f t="shared" si="117"/>
        <v>7.8400000000000011E-2</v>
      </c>
      <c r="AU1340" s="5">
        <v>0</v>
      </c>
      <c r="AV1340" s="4">
        <f t="shared" si="118"/>
        <v>2.0067063829787237</v>
      </c>
      <c r="AW1340" s="9" t="s">
        <v>545</v>
      </c>
    </row>
    <row r="1341" spans="1:49">
      <c r="A1341" s="1">
        <v>44</v>
      </c>
      <c r="B1341" s="1" t="s">
        <v>38</v>
      </c>
      <c r="C1341" s="1" t="s">
        <v>38</v>
      </c>
      <c r="D1341" s="1" t="s">
        <v>535</v>
      </c>
      <c r="E1341" s="1" t="s">
        <v>40</v>
      </c>
      <c r="F1341" s="1">
        <v>2004</v>
      </c>
      <c r="G1341" s="1" t="s">
        <v>536</v>
      </c>
      <c r="H1341" s="3" t="s">
        <v>537</v>
      </c>
      <c r="I1341" s="3" t="s">
        <v>538</v>
      </c>
      <c r="J1341" s="1" t="s">
        <v>539</v>
      </c>
      <c r="K1341" s="1" t="s">
        <v>45</v>
      </c>
      <c r="L1341" s="1" t="s">
        <v>46</v>
      </c>
      <c r="M1341" s="1" t="s">
        <v>115</v>
      </c>
      <c r="N1341" s="1" t="s">
        <v>116</v>
      </c>
      <c r="O1341" s="1">
        <v>1</v>
      </c>
      <c r="P1341" s="1">
        <v>1</v>
      </c>
      <c r="Q1341" s="1">
        <v>1</v>
      </c>
      <c r="R1341" s="1">
        <v>1</v>
      </c>
      <c r="S1341" s="1" t="s">
        <v>49</v>
      </c>
      <c r="T1341" s="1" t="s">
        <v>49</v>
      </c>
      <c r="U1341" s="1" t="s">
        <v>540</v>
      </c>
      <c r="V1341" s="1" t="s">
        <v>541</v>
      </c>
      <c r="W1341" s="1">
        <v>30.2</v>
      </c>
      <c r="X1341" s="1">
        <v>-84.4</v>
      </c>
      <c r="Y1341" s="1" t="s">
        <v>141</v>
      </c>
      <c r="Z1341" s="1" t="s">
        <v>49</v>
      </c>
      <c r="AA1341" s="1" t="s">
        <v>127</v>
      </c>
      <c r="AB1341" s="1" t="s">
        <v>239</v>
      </c>
      <c r="AC1341" s="1" t="s">
        <v>240</v>
      </c>
      <c r="AD1341" s="1" t="s">
        <v>561</v>
      </c>
      <c r="AE1341" s="1" t="s">
        <v>561</v>
      </c>
      <c r="AF1341" s="1" t="s">
        <v>60</v>
      </c>
      <c r="AG1341" s="1" t="s">
        <v>61</v>
      </c>
      <c r="AH1341" s="1" t="s">
        <v>123</v>
      </c>
      <c r="AI1341" s="1" t="s">
        <v>55</v>
      </c>
      <c r="AJ1341" s="1">
        <v>50</v>
      </c>
      <c r="AK1341" s="1">
        <v>2398</v>
      </c>
      <c r="AL1341" s="4">
        <v>3.32E-2</v>
      </c>
      <c r="AM1341" s="4">
        <v>27.33</v>
      </c>
      <c r="AN1341" s="4">
        <f>1.209+-0.096+35.56</f>
        <v>36.673000000000002</v>
      </c>
      <c r="AO1341" s="1">
        <v>6.9000000000000006E-2</v>
      </c>
      <c r="AP1341" s="6">
        <v>1</v>
      </c>
      <c r="AQ1341" s="6" t="s">
        <v>49</v>
      </c>
      <c r="AR1341" s="6" t="s">
        <v>49</v>
      </c>
      <c r="AS1341" s="4">
        <v>1.2190000000000001</v>
      </c>
      <c r="AT1341" s="4">
        <f t="shared" si="117"/>
        <v>0.47610000000000002</v>
      </c>
      <c r="AU1341" s="5">
        <v>0</v>
      </c>
      <c r="AV1341" s="4">
        <f t="shared" si="118"/>
        <v>13.864261445783134</v>
      </c>
      <c r="AW1341" s="9" t="s">
        <v>545</v>
      </c>
    </row>
    <row r="1342" spans="1:49">
      <c r="A1342" s="1">
        <v>44</v>
      </c>
      <c r="B1342" s="1" t="s">
        <v>38</v>
      </c>
      <c r="C1342" s="1" t="s">
        <v>38</v>
      </c>
      <c r="D1342" s="1" t="s">
        <v>535</v>
      </c>
      <c r="E1342" s="1" t="s">
        <v>40</v>
      </c>
      <c r="F1342" s="1">
        <v>2004</v>
      </c>
      <c r="G1342" s="1" t="s">
        <v>536</v>
      </c>
      <c r="H1342" s="3" t="s">
        <v>537</v>
      </c>
      <c r="I1342" s="3" t="s">
        <v>538</v>
      </c>
      <c r="J1342" s="1" t="s">
        <v>539</v>
      </c>
      <c r="K1342" s="1" t="s">
        <v>45</v>
      </c>
      <c r="L1342" s="1" t="s">
        <v>46</v>
      </c>
      <c r="M1342" s="1" t="s">
        <v>115</v>
      </c>
      <c r="N1342" s="1" t="s">
        <v>116</v>
      </c>
      <c r="O1342" s="1">
        <v>1</v>
      </c>
      <c r="P1342" s="1">
        <v>1</v>
      </c>
      <c r="Q1342" s="1">
        <v>1</v>
      </c>
      <c r="R1342" s="1">
        <v>1</v>
      </c>
      <c r="S1342" s="1" t="s">
        <v>49</v>
      </c>
      <c r="T1342" s="1" t="s">
        <v>49</v>
      </c>
      <c r="U1342" s="1" t="s">
        <v>540</v>
      </c>
      <c r="V1342" s="1" t="s">
        <v>541</v>
      </c>
      <c r="W1342" s="1">
        <v>30.2</v>
      </c>
      <c r="X1342" s="1">
        <v>-84.4</v>
      </c>
      <c r="Y1342" s="1" t="s">
        <v>141</v>
      </c>
      <c r="Z1342" s="1" t="s">
        <v>49</v>
      </c>
      <c r="AA1342" s="1" t="s">
        <v>127</v>
      </c>
      <c r="AB1342" s="1" t="s">
        <v>239</v>
      </c>
      <c r="AC1342" s="1" t="s">
        <v>346</v>
      </c>
      <c r="AD1342" s="1" t="s">
        <v>562</v>
      </c>
      <c r="AE1342" s="1" t="s">
        <v>562</v>
      </c>
      <c r="AF1342" s="1" t="s">
        <v>60</v>
      </c>
      <c r="AG1342" s="1" t="s">
        <v>61</v>
      </c>
      <c r="AH1342" s="1" t="s">
        <v>123</v>
      </c>
      <c r="AI1342" s="1" t="s">
        <v>55</v>
      </c>
      <c r="AJ1342" s="1">
        <v>50</v>
      </c>
      <c r="AK1342" s="1">
        <v>2398</v>
      </c>
      <c r="AL1342" s="4">
        <v>9.8199999999999996E-2</v>
      </c>
      <c r="AM1342" s="4">
        <v>3.16</v>
      </c>
      <c r="AN1342" s="4">
        <f>0.08+-0.008+0.741</f>
        <v>0.81299999999999994</v>
      </c>
      <c r="AO1342" s="1">
        <v>0.111</v>
      </c>
      <c r="AP1342" s="6">
        <v>1</v>
      </c>
      <c r="AQ1342" s="6" t="s">
        <v>49</v>
      </c>
      <c r="AR1342" s="6" t="s">
        <v>49</v>
      </c>
      <c r="AS1342" s="4">
        <v>0.08</v>
      </c>
      <c r="AT1342" s="4">
        <f t="shared" si="117"/>
        <v>1.2321</v>
      </c>
      <c r="AU1342" s="5">
        <v>0</v>
      </c>
      <c r="AV1342" s="4">
        <f t="shared" si="118"/>
        <v>11.31474317718941</v>
      </c>
      <c r="AW1342" s="9" t="s">
        <v>545</v>
      </c>
    </row>
    <row r="1343" spans="1:49">
      <c r="A1343" s="1">
        <v>44</v>
      </c>
      <c r="B1343" s="1" t="s">
        <v>38</v>
      </c>
      <c r="C1343" s="1" t="s">
        <v>38</v>
      </c>
      <c r="D1343" s="1" t="s">
        <v>535</v>
      </c>
      <c r="E1343" s="1" t="s">
        <v>40</v>
      </c>
      <c r="F1343" s="1">
        <v>2004</v>
      </c>
      <c r="G1343" s="1" t="s">
        <v>536</v>
      </c>
      <c r="H1343" s="3" t="s">
        <v>537</v>
      </c>
      <c r="I1343" s="3" t="s">
        <v>538</v>
      </c>
      <c r="J1343" s="1" t="s">
        <v>539</v>
      </c>
      <c r="K1343" s="1" t="s">
        <v>45</v>
      </c>
      <c r="L1343" s="1" t="s">
        <v>46</v>
      </c>
      <c r="M1343" s="1" t="s">
        <v>115</v>
      </c>
      <c r="N1343" s="1" t="s">
        <v>116</v>
      </c>
      <c r="O1343" s="1">
        <v>1</v>
      </c>
      <c r="P1343" s="1">
        <v>1</v>
      </c>
      <c r="Q1343" s="1">
        <v>1</v>
      </c>
      <c r="R1343" s="1">
        <v>1</v>
      </c>
      <c r="S1343" s="1" t="s">
        <v>49</v>
      </c>
      <c r="T1343" s="1" t="s">
        <v>49</v>
      </c>
      <c r="U1343" s="1" t="s">
        <v>540</v>
      </c>
      <c r="V1343" s="1" t="s">
        <v>541</v>
      </c>
      <c r="W1343" s="1">
        <v>30.2</v>
      </c>
      <c r="X1343" s="1">
        <v>-84.4</v>
      </c>
      <c r="Y1343" s="1" t="s">
        <v>141</v>
      </c>
      <c r="Z1343" s="1" t="s">
        <v>49</v>
      </c>
      <c r="AA1343" s="1" t="s">
        <v>127</v>
      </c>
      <c r="AB1343" s="1" t="s">
        <v>546</v>
      </c>
      <c r="AC1343" s="1" t="s">
        <v>546</v>
      </c>
      <c r="AD1343" s="1" t="s">
        <v>563</v>
      </c>
      <c r="AE1343" s="1" t="s">
        <v>563</v>
      </c>
      <c r="AF1343" s="1" t="s">
        <v>60</v>
      </c>
      <c r="AG1343" s="1" t="s">
        <v>61</v>
      </c>
      <c r="AH1343" s="1" t="s">
        <v>123</v>
      </c>
      <c r="AI1343" s="1" t="s">
        <v>55</v>
      </c>
      <c r="AJ1343" s="1">
        <v>50</v>
      </c>
      <c r="AK1343" s="1">
        <v>2373</v>
      </c>
      <c r="AL1343" s="34">
        <v>-6.3E-3</v>
      </c>
      <c r="AM1343" s="4">
        <v>0.14899999999999999</v>
      </c>
      <c r="AN1343" s="4">
        <f>0.00000519+0.000455</f>
        <v>4.6019000000000002E-4</v>
      </c>
      <c r="AO1343" s="1" t="s">
        <v>49</v>
      </c>
      <c r="AP1343" s="6">
        <v>1</v>
      </c>
      <c r="AQ1343" s="6" t="s">
        <v>49</v>
      </c>
      <c r="AR1343" s="6" t="s">
        <v>49</v>
      </c>
      <c r="AS1343" s="4">
        <v>0</v>
      </c>
      <c r="AT1343" s="4">
        <v>0</v>
      </c>
      <c r="AU1343" s="5">
        <v>0</v>
      </c>
      <c r="AV1343" s="4">
        <f t="shared" si="118"/>
        <v>0</v>
      </c>
      <c r="AW1343" s="9" t="s">
        <v>545</v>
      </c>
    </row>
    <row r="1344" spans="1:49">
      <c r="A1344" s="1">
        <v>44</v>
      </c>
      <c r="B1344" s="1" t="s">
        <v>38</v>
      </c>
      <c r="C1344" s="1" t="s">
        <v>38</v>
      </c>
      <c r="D1344" s="1" t="s">
        <v>535</v>
      </c>
      <c r="E1344" s="1" t="s">
        <v>40</v>
      </c>
      <c r="F1344" s="1">
        <v>2004</v>
      </c>
      <c r="G1344" s="1" t="s">
        <v>536</v>
      </c>
      <c r="H1344" s="3" t="s">
        <v>537</v>
      </c>
      <c r="I1344" s="3" t="s">
        <v>538</v>
      </c>
      <c r="J1344" s="1" t="s">
        <v>539</v>
      </c>
      <c r="K1344" s="1" t="s">
        <v>45</v>
      </c>
      <c r="L1344" s="1" t="s">
        <v>46</v>
      </c>
      <c r="M1344" s="1" t="s">
        <v>115</v>
      </c>
      <c r="N1344" s="1" t="s">
        <v>116</v>
      </c>
      <c r="O1344" s="1">
        <v>1</v>
      </c>
      <c r="P1344" s="1">
        <v>1</v>
      </c>
      <c r="Q1344" s="1">
        <v>1</v>
      </c>
      <c r="R1344" s="1">
        <v>1</v>
      </c>
      <c r="S1344" s="1" t="s">
        <v>49</v>
      </c>
      <c r="T1344" s="1" t="s">
        <v>49</v>
      </c>
      <c r="U1344" s="1" t="s">
        <v>540</v>
      </c>
      <c r="V1344" s="1" t="s">
        <v>541</v>
      </c>
      <c r="W1344" s="1">
        <v>30.2</v>
      </c>
      <c r="X1344" s="1">
        <v>-84.4</v>
      </c>
      <c r="Y1344" s="1" t="s">
        <v>141</v>
      </c>
      <c r="Z1344" s="1" t="s">
        <v>49</v>
      </c>
      <c r="AA1344" s="1" t="s">
        <v>127</v>
      </c>
      <c r="AB1344" s="1" t="s">
        <v>241</v>
      </c>
      <c r="AC1344" s="1" t="s">
        <v>171</v>
      </c>
      <c r="AD1344" s="1" t="s">
        <v>547</v>
      </c>
      <c r="AE1344" s="1" t="s">
        <v>547</v>
      </c>
      <c r="AF1344" s="1" t="s">
        <v>60</v>
      </c>
      <c r="AG1344" s="1" t="s">
        <v>173</v>
      </c>
      <c r="AH1344" s="1" t="s">
        <v>123</v>
      </c>
      <c r="AI1344" s="1" t="s">
        <v>55</v>
      </c>
      <c r="AJ1344" s="1">
        <v>50</v>
      </c>
      <c r="AK1344" s="1" t="s">
        <v>49</v>
      </c>
      <c r="AL1344" s="34">
        <v>5.5999999999999999E-3</v>
      </c>
      <c r="AM1344" s="4" t="s">
        <v>544</v>
      </c>
      <c r="AN1344" s="4">
        <f>0.000269+0.000545+0.048</f>
        <v>4.8814000000000003E-2</v>
      </c>
      <c r="AO1344" s="1">
        <v>0.129</v>
      </c>
      <c r="AP1344" s="6">
        <v>1</v>
      </c>
      <c r="AQ1344" s="6" t="s">
        <v>49</v>
      </c>
      <c r="AR1344" s="6" t="s">
        <v>49</v>
      </c>
      <c r="AS1344" s="4">
        <v>2.6899999999999998E-4</v>
      </c>
      <c r="AT1344" s="4">
        <f>(AO1344^2)*100</f>
        <v>1.6640999999999999</v>
      </c>
      <c r="AU1344" s="5">
        <v>0</v>
      </c>
      <c r="AV1344" s="4">
        <f t="shared" si="118"/>
        <v>295.49661428571426</v>
      </c>
      <c r="AW1344" s="9" t="s">
        <v>545</v>
      </c>
    </row>
    <row r="1345" spans="1:49">
      <c r="A1345" s="1">
        <v>44</v>
      </c>
      <c r="B1345" s="1" t="s">
        <v>38</v>
      </c>
      <c r="C1345" s="1" t="s">
        <v>38</v>
      </c>
      <c r="D1345" s="1" t="s">
        <v>535</v>
      </c>
      <c r="E1345" s="1" t="s">
        <v>40</v>
      </c>
      <c r="F1345" s="1">
        <v>2004</v>
      </c>
      <c r="G1345" s="1" t="s">
        <v>536</v>
      </c>
      <c r="H1345" s="3" t="s">
        <v>537</v>
      </c>
      <c r="I1345" s="3" t="s">
        <v>538</v>
      </c>
      <c r="J1345" s="1" t="s">
        <v>539</v>
      </c>
      <c r="K1345" s="1" t="s">
        <v>45</v>
      </c>
      <c r="L1345" s="1" t="s">
        <v>46</v>
      </c>
      <c r="M1345" s="1" t="s">
        <v>115</v>
      </c>
      <c r="N1345" s="1" t="s">
        <v>116</v>
      </c>
      <c r="O1345" s="1">
        <v>1</v>
      </c>
      <c r="P1345" s="1">
        <v>1</v>
      </c>
      <c r="Q1345" s="1">
        <v>1</v>
      </c>
      <c r="R1345" s="1">
        <v>1</v>
      </c>
      <c r="S1345" s="1" t="s">
        <v>49</v>
      </c>
      <c r="T1345" s="1" t="s">
        <v>49</v>
      </c>
      <c r="U1345" s="1" t="s">
        <v>540</v>
      </c>
      <c r="V1345" s="1" t="s">
        <v>541</v>
      </c>
      <c r="W1345" s="1">
        <v>30.2</v>
      </c>
      <c r="X1345" s="1">
        <v>-84.4</v>
      </c>
      <c r="Y1345" s="1" t="s">
        <v>141</v>
      </c>
      <c r="Z1345" s="1" t="s">
        <v>49</v>
      </c>
      <c r="AA1345" s="1" t="s">
        <v>208</v>
      </c>
      <c r="AB1345" s="1" t="s">
        <v>542</v>
      </c>
      <c r="AC1345" s="1" t="s">
        <v>542</v>
      </c>
      <c r="AD1345" s="1" t="s">
        <v>542</v>
      </c>
      <c r="AE1345" s="1" t="s">
        <v>542</v>
      </c>
      <c r="AF1345" s="1" t="s">
        <v>60</v>
      </c>
      <c r="AG1345" s="1" t="s">
        <v>543</v>
      </c>
      <c r="AH1345" s="1" t="s">
        <v>123</v>
      </c>
      <c r="AI1345" s="1" t="s">
        <v>55</v>
      </c>
      <c r="AJ1345" s="1">
        <v>50</v>
      </c>
      <c r="AK1345" s="1" t="s">
        <v>49</v>
      </c>
      <c r="AL1345" s="4">
        <v>9.7000000000000003E-3</v>
      </c>
      <c r="AM1345" s="4" t="s">
        <v>544</v>
      </c>
      <c r="AN1345" s="4">
        <f>0.0024+-0.001+0.249</f>
        <v>0.25040000000000001</v>
      </c>
      <c r="AO1345" s="1">
        <v>0.10100000000000001</v>
      </c>
      <c r="AP1345" s="6">
        <v>1</v>
      </c>
      <c r="AQ1345" s="6" t="s">
        <v>49</v>
      </c>
      <c r="AR1345" s="6" t="s">
        <v>49</v>
      </c>
      <c r="AS1345" s="4">
        <v>2.3999999999999998E-3</v>
      </c>
      <c r="AT1345" s="4">
        <f>(AO1345^2)*100</f>
        <v>1.0201000000000002</v>
      </c>
      <c r="AU1345" s="5">
        <v>0</v>
      </c>
      <c r="AV1345" s="4">
        <f t="shared" si="118"/>
        <v>104.14484845360828</v>
      </c>
      <c r="AW1345" s="9" t="s">
        <v>545</v>
      </c>
    </row>
    <row r="1346" spans="1:49">
      <c r="A1346" s="1">
        <v>44</v>
      </c>
      <c r="B1346" s="1" t="s">
        <v>38</v>
      </c>
      <c r="C1346" s="1" t="s">
        <v>38</v>
      </c>
      <c r="D1346" s="1" t="s">
        <v>535</v>
      </c>
      <c r="E1346" s="1" t="s">
        <v>40</v>
      </c>
      <c r="F1346" s="1">
        <v>2004</v>
      </c>
      <c r="G1346" s="1" t="s">
        <v>536</v>
      </c>
      <c r="H1346" s="3" t="s">
        <v>537</v>
      </c>
      <c r="I1346" s="3" t="s">
        <v>538</v>
      </c>
      <c r="J1346" s="1" t="s">
        <v>539</v>
      </c>
      <c r="K1346" s="1" t="s">
        <v>45</v>
      </c>
      <c r="L1346" s="1" t="s">
        <v>46</v>
      </c>
      <c r="M1346" s="1" t="s">
        <v>115</v>
      </c>
      <c r="N1346" s="1" t="s">
        <v>116</v>
      </c>
      <c r="O1346" s="1">
        <v>1</v>
      </c>
      <c r="P1346" s="1">
        <v>1</v>
      </c>
      <c r="Q1346" s="1">
        <v>1</v>
      </c>
      <c r="R1346" s="1">
        <v>1</v>
      </c>
      <c r="S1346" s="1" t="s">
        <v>49</v>
      </c>
      <c r="T1346" s="1" t="s">
        <v>49</v>
      </c>
      <c r="U1346" s="1" t="s">
        <v>540</v>
      </c>
      <c r="V1346" s="1" t="s">
        <v>541</v>
      </c>
      <c r="W1346" s="1">
        <v>30.2</v>
      </c>
      <c r="X1346" s="1">
        <v>-84.4</v>
      </c>
      <c r="Y1346" s="1" t="s">
        <v>141</v>
      </c>
      <c r="Z1346" s="1" t="s">
        <v>49</v>
      </c>
      <c r="AA1346" s="1" t="s">
        <v>50</v>
      </c>
      <c r="AB1346" s="1" t="s">
        <v>51</v>
      </c>
      <c r="AC1346" s="1" t="s">
        <v>52</v>
      </c>
      <c r="AD1346" s="1" t="s">
        <v>52</v>
      </c>
      <c r="AE1346" s="1" t="s">
        <v>52</v>
      </c>
      <c r="AF1346" s="1" t="s">
        <v>53</v>
      </c>
      <c r="AG1346" s="1" t="s">
        <v>53</v>
      </c>
      <c r="AH1346" s="1" t="s">
        <v>123</v>
      </c>
      <c r="AI1346" s="1" t="s">
        <v>55</v>
      </c>
      <c r="AJ1346" s="1">
        <v>50</v>
      </c>
      <c r="AK1346" s="1" t="s">
        <v>49</v>
      </c>
      <c r="AL1346" s="34">
        <v>4.1000000000000003E-3</v>
      </c>
      <c r="AM1346" s="4" t="s">
        <v>544</v>
      </c>
      <c r="AN1346" s="4">
        <f>1.489+4.84+355.8</f>
        <v>362.12900000000002</v>
      </c>
      <c r="AO1346" s="1">
        <v>0.11700000000000001</v>
      </c>
      <c r="AP1346" s="6">
        <v>1</v>
      </c>
      <c r="AQ1346" s="6" t="s">
        <v>49</v>
      </c>
      <c r="AR1346" s="6" t="s">
        <v>49</v>
      </c>
      <c r="AS1346" s="4">
        <v>1.4890000000000001</v>
      </c>
      <c r="AT1346" s="4">
        <f>(AO1346^2)*100</f>
        <v>1.3689000000000002</v>
      </c>
      <c r="AU1346" s="5">
        <v>0</v>
      </c>
      <c r="AV1346" s="4">
        <f t="shared" si="118"/>
        <v>332.50914878048781</v>
      </c>
      <c r="AW1346" s="9" t="s">
        <v>545</v>
      </c>
    </row>
    <row r="1347" spans="1:49">
      <c r="A1347" s="1">
        <v>44</v>
      </c>
      <c r="B1347" s="1" t="s">
        <v>38</v>
      </c>
      <c r="C1347" s="1" t="s">
        <v>38</v>
      </c>
      <c r="D1347" s="1" t="s">
        <v>535</v>
      </c>
      <c r="E1347" s="1" t="s">
        <v>40</v>
      </c>
      <c r="F1347" s="1">
        <v>2004</v>
      </c>
      <c r="G1347" s="1" t="s">
        <v>536</v>
      </c>
      <c r="H1347" s="3" t="s">
        <v>537</v>
      </c>
      <c r="I1347" s="3" t="s">
        <v>538</v>
      </c>
      <c r="J1347" s="1" t="s">
        <v>539</v>
      </c>
      <c r="K1347" s="1" t="s">
        <v>45</v>
      </c>
      <c r="L1347" s="1" t="s">
        <v>46</v>
      </c>
      <c r="M1347" s="1" t="s">
        <v>115</v>
      </c>
      <c r="N1347" s="1" t="s">
        <v>116</v>
      </c>
      <c r="O1347" s="1">
        <v>1</v>
      </c>
      <c r="P1347" s="1">
        <v>1</v>
      </c>
      <c r="Q1347" s="1">
        <v>1</v>
      </c>
      <c r="R1347" s="1">
        <v>1</v>
      </c>
      <c r="S1347" s="1" t="s">
        <v>49</v>
      </c>
      <c r="T1347" s="1" t="s">
        <v>49</v>
      </c>
      <c r="U1347" s="1" t="s">
        <v>540</v>
      </c>
      <c r="V1347" s="1" t="s">
        <v>541</v>
      </c>
      <c r="W1347" s="1">
        <v>30.2</v>
      </c>
      <c r="X1347" s="1">
        <v>-84.4</v>
      </c>
      <c r="Y1347" s="1" t="s">
        <v>141</v>
      </c>
      <c r="Z1347" s="1" t="s">
        <v>49</v>
      </c>
      <c r="AA1347" s="6" t="s">
        <v>49</v>
      </c>
      <c r="AB1347" s="6" t="s">
        <v>49</v>
      </c>
      <c r="AC1347" s="6" t="s">
        <v>49</v>
      </c>
      <c r="AD1347" s="1" t="s">
        <v>564</v>
      </c>
      <c r="AE1347" s="1" t="s">
        <v>558</v>
      </c>
      <c r="AF1347" s="6" t="s">
        <v>49</v>
      </c>
      <c r="AG1347" s="6" t="s">
        <v>49</v>
      </c>
      <c r="AH1347" s="1" t="s">
        <v>123</v>
      </c>
      <c r="AI1347" s="1" t="s">
        <v>55</v>
      </c>
      <c r="AJ1347" s="20" t="s">
        <v>49</v>
      </c>
      <c r="AK1347" s="20" t="s">
        <v>49</v>
      </c>
      <c r="AL1347" s="20" t="s">
        <v>49</v>
      </c>
      <c r="AM1347" s="20" t="s">
        <v>49</v>
      </c>
      <c r="AN1347" s="1" t="s">
        <v>49</v>
      </c>
      <c r="AO1347" s="1" t="s">
        <v>49</v>
      </c>
      <c r="AP1347" s="6">
        <v>1</v>
      </c>
      <c r="AQ1347" s="6">
        <v>1.2E-2</v>
      </c>
      <c r="AR1347" s="6" t="s">
        <v>49</v>
      </c>
      <c r="AS1347" s="6" t="s">
        <v>49</v>
      </c>
      <c r="AT1347" s="6" t="s">
        <v>49</v>
      </c>
      <c r="AU1347" s="6" t="s">
        <v>49</v>
      </c>
      <c r="AV1347" s="6" t="s">
        <v>49</v>
      </c>
      <c r="AW1347" s="9" t="s">
        <v>565</v>
      </c>
    </row>
    <row r="1348" spans="1:49">
      <c r="A1348" s="1">
        <v>44</v>
      </c>
      <c r="B1348" s="1" t="s">
        <v>38</v>
      </c>
      <c r="C1348" s="1" t="s">
        <v>38</v>
      </c>
      <c r="D1348" s="1" t="s">
        <v>535</v>
      </c>
      <c r="E1348" s="1" t="s">
        <v>40</v>
      </c>
      <c r="F1348" s="1">
        <v>2004</v>
      </c>
      <c r="G1348" s="1" t="s">
        <v>536</v>
      </c>
      <c r="H1348" s="3" t="s">
        <v>537</v>
      </c>
      <c r="I1348" s="3" t="s">
        <v>538</v>
      </c>
      <c r="J1348" s="1" t="s">
        <v>539</v>
      </c>
      <c r="K1348" s="1" t="s">
        <v>45</v>
      </c>
      <c r="L1348" s="1" t="s">
        <v>46</v>
      </c>
      <c r="M1348" s="1" t="s">
        <v>115</v>
      </c>
      <c r="N1348" s="1" t="s">
        <v>116</v>
      </c>
      <c r="O1348" s="1">
        <v>1</v>
      </c>
      <c r="P1348" s="1">
        <v>1</v>
      </c>
      <c r="Q1348" s="1">
        <v>1</v>
      </c>
      <c r="R1348" s="1">
        <v>1</v>
      </c>
      <c r="S1348" s="1" t="s">
        <v>49</v>
      </c>
      <c r="T1348" s="1" t="s">
        <v>49</v>
      </c>
      <c r="U1348" s="1" t="s">
        <v>540</v>
      </c>
      <c r="V1348" s="1" t="s">
        <v>541</v>
      </c>
      <c r="W1348" s="1">
        <v>30.2</v>
      </c>
      <c r="X1348" s="1">
        <v>-84.4</v>
      </c>
      <c r="Y1348" s="1" t="s">
        <v>141</v>
      </c>
      <c r="Z1348" s="1" t="s">
        <v>49</v>
      </c>
      <c r="AA1348" s="6" t="s">
        <v>49</v>
      </c>
      <c r="AB1348" s="6" t="s">
        <v>49</v>
      </c>
      <c r="AC1348" s="6" t="s">
        <v>49</v>
      </c>
      <c r="AD1348" s="1" t="s">
        <v>564</v>
      </c>
      <c r="AE1348" s="1" t="s">
        <v>559</v>
      </c>
      <c r="AF1348" s="6" t="s">
        <v>49</v>
      </c>
      <c r="AG1348" s="6" t="s">
        <v>49</v>
      </c>
      <c r="AH1348" s="1" t="s">
        <v>123</v>
      </c>
      <c r="AI1348" s="1" t="s">
        <v>55</v>
      </c>
      <c r="AJ1348" s="20" t="s">
        <v>49</v>
      </c>
      <c r="AK1348" s="20" t="s">
        <v>49</v>
      </c>
      <c r="AL1348" s="20" t="s">
        <v>49</v>
      </c>
      <c r="AM1348" s="20" t="s">
        <v>49</v>
      </c>
      <c r="AN1348" s="1" t="s">
        <v>49</v>
      </c>
      <c r="AO1348" s="1" t="s">
        <v>49</v>
      </c>
      <c r="AP1348" s="6">
        <v>1</v>
      </c>
      <c r="AQ1348" s="6">
        <v>0.41099999999999998</v>
      </c>
      <c r="AR1348" s="6" t="s">
        <v>49</v>
      </c>
      <c r="AS1348" s="6" t="s">
        <v>49</v>
      </c>
      <c r="AT1348" s="6" t="s">
        <v>49</v>
      </c>
      <c r="AU1348" s="6" t="s">
        <v>49</v>
      </c>
      <c r="AV1348" s="6" t="s">
        <v>49</v>
      </c>
      <c r="AW1348" s="9" t="s">
        <v>565</v>
      </c>
    </row>
    <row r="1349" spans="1:49">
      <c r="A1349" s="1">
        <v>44</v>
      </c>
      <c r="B1349" s="1" t="s">
        <v>38</v>
      </c>
      <c r="C1349" s="1" t="s">
        <v>38</v>
      </c>
      <c r="D1349" s="1" t="s">
        <v>535</v>
      </c>
      <c r="E1349" s="1" t="s">
        <v>40</v>
      </c>
      <c r="F1349" s="1">
        <v>2004</v>
      </c>
      <c r="G1349" s="1" t="s">
        <v>536</v>
      </c>
      <c r="H1349" s="3" t="s">
        <v>537</v>
      </c>
      <c r="I1349" s="3" t="s">
        <v>538</v>
      </c>
      <c r="J1349" s="1" t="s">
        <v>539</v>
      </c>
      <c r="K1349" s="1" t="s">
        <v>45</v>
      </c>
      <c r="L1349" s="1" t="s">
        <v>46</v>
      </c>
      <c r="M1349" s="1" t="s">
        <v>115</v>
      </c>
      <c r="N1349" s="1" t="s">
        <v>116</v>
      </c>
      <c r="O1349" s="1">
        <v>1</v>
      </c>
      <c r="P1349" s="1">
        <v>1</v>
      </c>
      <c r="Q1349" s="1">
        <v>1</v>
      </c>
      <c r="R1349" s="1">
        <v>1</v>
      </c>
      <c r="S1349" s="1" t="s">
        <v>49</v>
      </c>
      <c r="T1349" s="1" t="s">
        <v>49</v>
      </c>
      <c r="U1349" s="1" t="s">
        <v>540</v>
      </c>
      <c r="V1349" s="1" t="s">
        <v>541</v>
      </c>
      <c r="W1349" s="1">
        <v>30.2</v>
      </c>
      <c r="X1349" s="1">
        <v>-84.4</v>
      </c>
      <c r="Y1349" s="1" t="s">
        <v>141</v>
      </c>
      <c r="Z1349" s="1" t="s">
        <v>49</v>
      </c>
      <c r="AA1349" s="6" t="s">
        <v>49</v>
      </c>
      <c r="AB1349" s="6" t="s">
        <v>49</v>
      </c>
      <c r="AC1349" s="6" t="s">
        <v>49</v>
      </c>
      <c r="AD1349" s="1" t="s">
        <v>564</v>
      </c>
      <c r="AE1349" s="1" t="s">
        <v>560</v>
      </c>
      <c r="AF1349" s="6" t="s">
        <v>49</v>
      </c>
      <c r="AG1349" s="6" t="s">
        <v>49</v>
      </c>
      <c r="AH1349" s="1" t="s">
        <v>123</v>
      </c>
      <c r="AI1349" s="1" t="s">
        <v>55</v>
      </c>
      <c r="AJ1349" s="20" t="s">
        <v>49</v>
      </c>
      <c r="AK1349" s="20" t="s">
        <v>49</v>
      </c>
      <c r="AL1349" s="20" t="s">
        <v>49</v>
      </c>
      <c r="AM1349" s="20" t="s">
        <v>49</v>
      </c>
      <c r="AN1349" s="1" t="s">
        <v>49</v>
      </c>
      <c r="AO1349" s="1" t="s">
        <v>49</v>
      </c>
      <c r="AP1349" s="6">
        <v>1</v>
      </c>
      <c r="AQ1349" s="6">
        <v>1.1859999999999999</v>
      </c>
      <c r="AR1349" s="6" t="s">
        <v>49</v>
      </c>
      <c r="AS1349" s="6" t="s">
        <v>49</v>
      </c>
      <c r="AT1349" s="6" t="s">
        <v>49</v>
      </c>
      <c r="AU1349" s="6" t="s">
        <v>49</v>
      </c>
      <c r="AV1349" s="6" t="s">
        <v>49</v>
      </c>
      <c r="AW1349" s="9" t="s">
        <v>565</v>
      </c>
    </row>
    <row r="1350" spans="1:49">
      <c r="A1350" s="1">
        <v>44</v>
      </c>
      <c r="B1350" s="1" t="s">
        <v>38</v>
      </c>
      <c r="C1350" s="1" t="s">
        <v>38</v>
      </c>
      <c r="D1350" s="1" t="s">
        <v>535</v>
      </c>
      <c r="E1350" s="1" t="s">
        <v>40</v>
      </c>
      <c r="F1350" s="1">
        <v>2004</v>
      </c>
      <c r="G1350" s="1" t="s">
        <v>536</v>
      </c>
      <c r="H1350" s="3" t="s">
        <v>537</v>
      </c>
      <c r="I1350" s="3" t="s">
        <v>538</v>
      </c>
      <c r="J1350" s="1" t="s">
        <v>539</v>
      </c>
      <c r="K1350" s="1" t="s">
        <v>45</v>
      </c>
      <c r="L1350" s="1" t="s">
        <v>46</v>
      </c>
      <c r="M1350" s="1" t="s">
        <v>115</v>
      </c>
      <c r="N1350" s="1" t="s">
        <v>116</v>
      </c>
      <c r="O1350" s="1">
        <v>1</v>
      </c>
      <c r="P1350" s="1">
        <v>1</v>
      </c>
      <c r="Q1350" s="1">
        <v>1</v>
      </c>
      <c r="R1350" s="1">
        <v>1</v>
      </c>
      <c r="S1350" s="1" t="s">
        <v>49</v>
      </c>
      <c r="T1350" s="1" t="s">
        <v>49</v>
      </c>
      <c r="U1350" s="1" t="s">
        <v>540</v>
      </c>
      <c r="V1350" s="1" t="s">
        <v>541</v>
      </c>
      <c r="W1350" s="1">
        <v>30.2</v>
      </c>
      <c r="X1350" s="1">
        <v>-84.4</v>
      </c>
      <c r="Y1350" s="1" t="s">
        <v>141</v>
      </c>
      <c r="Z1350" s="1" t="s">
        <v>49</v>
      </c>
      <c r="AA1350" s="6" t="s">
        <v>49</v>
      </c>
      <c r="AB1350" s="6" t="s">
        <v>49</v>
      </c>
      <c r="AC1350" s="6" t="s">
        <v>49</v>
      </c>
      <c r="AD1350" s="1" t="s">
        <v>564</v>
      </c>
      <c r="AE1350" s="1" t="s">
        <v>561</v>
      </c>
      <c r="AF1350" s="6" t="s">
        <v>49</v>
      </c>
      <c r="AG1350" s="6" t="s">
        <v>49</v>
      </c>
      <c r="AH1350" s="1" t="s">
        <v>123</v>
      </c>
      <c r="AI1350" s="1" t="s">
        <v>55</v>
      </c>
      <c r="AJ1350" s="20" t="s">
        <v>49</v>
      </c>
      <c r="AK1350" s="20" t="s">
        <v>49</v>
      </c>
      <c r="AL1350" s="20" t="s">
        <v>49</v>
      </c>
      <c r="AM1350" s="20" t="s">
        <v>49</v>
      </c>
      <c r="AN1350" s="1" t="s">
        <v>49</v>
      </c>
      <c r="AO1350" s="1" t="s">
        <v>49</v>
      </c>
      <c r="AP1350" s="6">
        <v>1</v>
      </c>
      <c r="AQ1350" s="6">
        <v>1.294</v>
      </c>
      <c r="AR1350" s="6" t="s">
        <v>49</v>
      </c>
      <c r="AS1350" s="6" t="s">
        <v>49</v>
      </c>
      <c r="AT1350" s="6" t="s">
        <v>49</v>
      </c>
      <c r="AU1350" s="6" t="s">
        <v>49</v>
      </c>
      <c r="AV1350" s="6" t="s">
        <v>49</v>
      </c>
      <c r="AW1350" s="9" t="s">
        <v>565</v>
      </c>
    </row>
    <row r="1351" spans="1:49">
      <c r="A1351" s="1">
        <v>44</v>
      </c>
      <c r="B1351" s="1" t="s">
        <v>38</v>
      </c>
      <c r="C1351" s="1" t="s">
        <v>38</v>
      </c>
      <c r="D1351" s="1" t="s">
        <v>535</v>
      </c>
      <c r="E1351" s="1" t="s">
        <v>40</v>
      </c>
      <c r="F1351" s="1">
        <v>2004</v>
      </c>
      <c r="G1351" s="1" t="s">
        <v>536</v>
      </c>
      <c r="H1351" s="3" t="s">
        <v>537</v>
      </c>
      <c r="I1351" s="3" t="s">
        <v>538</v>
      </c>
      <c r="J1351" s="1" t="s">
        <v>539</v>
      </c>
      <c r="K1351" s="1" t="s">
        <v>45</v>
      </c>
      <c r="L1351" s="1" t="s">
        <v>46</v>
      </c>
      <c r="M1351" s="1" t="s">
        <v>115</v>
      </c>
      <c r="N1351" s="1" t="s">
        <v>116</v>
      </c>
      <c r="O1351" s="1">
        <v>1</v>
      </c>
      <c r="P1351" s="1">
        <v>1</v>
      </c>
      <c r="Q1351" s="1">
        <v>1</v>
      </c>
      <c r="R1351" s="1">
        <v>1</v>
      </c>
      <c r="S1351" s="1" t="s">
        <v>49</v>
      </c>
      <c r="T1351" s="1" t="s">
        <v>49</v>
      </c>
      <c r="U1351" s="1" t="s">
        <v>540</v>
      </c>
      <c r="V1351" s="1" t="s">
        <v>541</v>
      </c>
      <c r="W1351" s="1">
        <v>30.2</v>
      </c>
      <c r="X1351" s="1">
        <v>-84.4</v>
      </c>
      <c r="Y1351" s="1" t="s">
        <v>141</v>
      </c>
      <c r="Z1351" s="1" t="s">
        <v>49</v>
      </c>
      <c r="AA1351" s="6" t="s">
        <v>49</v>
      </c>
      <c r="AB1351" s="6" t="s">
        <v>49</v>
      </c>
      <c r="AC1351" s="6" t="s">
        <v>49</v>
      </c>
      <c r="AD1351" s="1" t="s">
        <v>564</v>
      </c>
      <c r="AE1351" s="1" t="s">
        <v>562</v>
      </c>
      <c r="AF1351" s="6" t="s">
        <v>49</v>
      </c>
      <c r="AG1351" s="6" t="s">
        <v>49</v>
      </c>
      <c r="AH1351" s="1" t="s">
        <v>123</v>
      </c>
      <c r="AI1351" s="1" t="s">
        <v>55</v>
      </c>
      <c r="AJ1351" s="20" t="s">
        <v>49</v>
      </c>
      <c r="AK1351" s="20" t="s">
        <v>49</v>
      </c>
      <c r="AL1351" s="20" t="s">
        <v>49</v>
      </c>
      <c r="AM1351" s="20" t="s">
        <v>49</v>
      </c>
      <c r="AN1351" s="1" t="s">
        <v>49</v>
      </c>
      <c r="AO1351" s="1" t="s">
        <v>49</v>
      </c>
      <c r="AP1351" s="6">
        <v>1</v>
      </c>
      <c r="AQ1351" s="6">
        <v>0.746</v>
      </c>
      <c r="AR1351" s="6" t="s">
        <v>49</v>
      </c>
      <c r="AS1351" s="6" t="s">
        <v>49</v>
      </c>
      <c r="AT1351" s="6" t="s">
        <v>49</v>
      </c>
      <c r="AU1351" s="6" t="s">
        <v>49</v>
      </c>
      <c r="AV1351" s="6" t="s">
        <v>49</v>
      </c>
      <c r="AW1351" s="9" t="s">
        <v>565</v>
      </c>
    </row>
    <row r="1352" spans="1:49">
      <c r="A1352" s="1">
        <v>44</v>
      </c>
      <c r="B1352" s="1" t="s">
        <v>38</v>
      </c>
      <c r="C1352" s="1" t="s">
        <v>38</v>
      </c>
      <c r="D1352" s="1" t="s">
        <v>535</v>
      </c>
      <c r="E1352" s="1" t="s">
        <v>40</v>
      </c>
      <c r="F1352" s="1">
        <v>2004</v>
      </c>
      <c r="G1352" s="1" t="s">
        <v>536</v>
      </c>
      <c r="H1352" s="3" t="s">
        <v>537</v>
      </c>
      <c r="I1352" s="3" t="s">
        <v>538</v>
      </c>
      <c r="J1352" s="1" t="s">
        <v>539</v>
      </c>
      <c r="K1352" s="1" t="s">
        <v>45</v>
      </c>
      <c r="L1352" s="1" t="s">
        <v>46</v>
      </c>
      <c r="M1352" s="1" t="s">
        <v>115</v>
      </c>
      <c r="N1352" s="1" t="s">
        <v>116</v>
      </c>
      <c r="O1352" s="1">
        <v>1</v>
      </c>
      <c r="P1352" s="1">
        <v>1</v>
      </c>
      <c r="Q1352" s="1">
        <v>1</v>
      </c>
      <c r="R1352" s="1">
        <v>1</v>
      </c>
      <c r="S1352" s="1" t="s">
        <v>49</v>
      </c>
      <c r="T1352" s="1" t="s">
        <v>49</v>
      </c>
      <c r="U1352" s="1" t="s">
        <v>540</v>
      </c>
      <c r="V1352" s="1" t="s">
        <v>541</v>
      </c>
      <c r="W1352" s="1">
        <v>30.2</v>
      </c>
      <c r="X1352" s="1">
        <v>-84.4</v>
      </c>
      <c r="Y1352" s="1" t="s">
        <v>141</v>
      </c>
      <c r="Z1352" s="1" t="s">
        <v>49</v>
      </c>
      <c r="AA1352" s="6" t="s">
        <v>49</v>
      </c>
      <c r="AB1352" s="6" t="s">
        <v>49</v>
      </c>
      <c r="AC1352" s="6" t="s">
        <v>49</v>
      </c>
      <c r="AD1352" s="1" t="s">
        <v>564</v>
      </c>
      <c r="AE1352" s="1" t="s">
        <v>563</v>
      </c>
      <c r="AF1352" s="6" t="s">
        <v>49</v>
      </c>
      <c r="AG1352" s="6" t="s">
        <v>49</v>
      </c>
      <c r="AH1352" s="1" t="s">
        <v>123</v>
      </c>
      <c r="AI1352" s="1" t="s">
        <v>55</v>
      </c>
      <c r="AJ1352" s="20" t="s">
        <v>49</v>
      </c>
      <c r="AK1352" s="20" t="s">
        <v>49</v>
      </c>
      <c r="AL1352" s="20" t="s">
        <v>49</v>
      </c>
      <c r="AM1352" s="20" t="s">
        <v>49</v>
      </c>
      <c r="AN1352" s="1" t="s">
        <v>49</v>
      </c>
      <c r="AO1352" s="1" t="s">
        <v>49</v>
      </c>
      <c r="AP1352" s="6">
        <v>1</v>
      </c>
      <c r="AQ1352" s="6">
        <v>2.8809999999999998</v>
      </c>
      <c r="AR1352" s="6" t="s">
        <v>49</v>
      </c>
      <c r="AS1352" s="6" t="s">
        <v>49</v>
      </c>
      <c r="AT1352" s="6" t="s">
        <v>49</v>
      </c>
      <c r="AU1352" s="6" t="s">
        <v>49</v>
      </c>
      <c r="AV1352" s="6" t="s">
        <v>49</v>
      </c>
      <c r="AW1352" s="9" t="s">
        <v>565</v>
      </c>
    </row>
    <row r="1353" spans="1:49">
      <c r="A1353" s="1">
        <v>44</v>
      </c>
      <c r="B1353" s="1" t="s">
        <v>38</v>
      </c>
      <c r="C1353" s="1" t="s">
        <v>38</v>
      </c>
      <c r="D1353" s="1" t="s">
        <v>535</v>
      </c>
      <c r="E1353" s="1" t="s">
        <v>40</v>
      </c>
      <c r="F1353" s="1">
        <v>2004</v>
      </c>
      <c r="G1353" s="1" t="s">
        <v>536</v>
      </c>
      <c r="H1353" s="3" t="s">
        <v>537</v>
      </c>
      <c r="I1353" s="3" t="s">
        <v>538</v>
      </c>
      <c r="J1353" s="1" t="s">
        <v>539</v>
      </c>
      <c r="K1353" s="1" t="s">
        <v>45</v>
      </c>
      <c r="L1353" s="1" t="s">
        <v>46</v>
      </c>
      <c r="M1353" s="1" t="s">
        <v>115</v>
      </c>
      <c r="N1353" s="1" t="s">
        <v>116</v>
      </c>
      <c r="O1353" s="1">
        <v>1</v>
      </c>
      <c r="P1353" s="1">
        <v>1</v>
      </c>
      <c r="Q1353" s="1">
        <v>1</v>
      </c>
      <c r="R1353" s="1">
        <v>1</v>
      </c>
      <c r="S1353" s="1" t="s">
        <v>49</v>
      </c>
      <c r="T1353" s="1" t="s">
        <v>49</v>
      </c>
      <c r="U1353" s="1" t="s">
        <v>540</v>
      </c>
      <c r="V1353" s="1" t="s">
        <v>541</v>
      </c>
      <c r="W1353" s="1">
        <v>30.2</v>
      </c>
      <c r="X1353" s="1">
        <v>-84.4</v>
      </c>
      <c r="Y1353" s="1" t="s">
        <v>141</v>
      </c>
      <c r="Z1353" s="1" t="s">
        <v>49</v>
      </c>
      <c r="AA1353" s="6" t="s">
        <v>49</v>
      </c>
      <c r="AB1353" s="6" t="s">
        <v>49</v>
      </c>
      <c r="AC1353" s="6" t="s">
        <v>49</v>
      </c>
      <c r="AD1353" s="1" t="s">
        <v>564</v>
      </c>
      <c r="AE1353" s="1" t="s">
        <v>547</v>
      </c>
      <c r="AF1353" s="6" t="s">
        <v>49</v>
      </c>
      <c r="AG1353" s="6" t="s">
        <v>49</v>
      </c>
      <c r="AH1353" s="1" t="s">
        <v>123</v>
      </c>
      <c r="AI1353" s="1" t="s">
        <v>55</v>
      </c>
      <c r="AJ1353" s="20" t="s">
        <v>49</v>
      </c>
      <c r="AK1353" s="20" t="s">
        <v>49</v>
      </c>
      <c r="AL1353" s="20" t="s">
        <v>49</v>
      </c>
      <c r="AM1353" s="20" t="s">
        <v>49</v>
      </c>
      <c r="AN1353" s="1" t="s">
        <v>49</v>
      </c>
      <c r="AO1353" s="1" t="s">
        <v>49</v>
      </c>
      <c r="AP1353" s="6">
        <v>1</v>
      </c>
      <c r="AQ1353" s="6">
        <v>-0.79100000000000004</v>
      </c>
      <c r="AR1353" s="6" t="s">
        <v>49</v>
      </c>
      <c r="AS1353" s="6" t="s">
        <v>49</v>
      </c>
      <c r="AT1353" s="6" t="s">
        <v>49</v>
      </c>
      <c r="AU1353" s="6" t="s">
        <v>49</v>
      </c>
      <c r="AV1353" s="6" t="s">
        <v>49</v>
      </c>
      <c r="AW1353" s="9" t="s">
        <v>565</v>
      </c>
    </row>
    <row r="1354" spans="1:49">
      <c r="A1354" s="1">
        <v>44</v>
      </c>
      <c r="B1354" s="1" t="s">
        <v>38</v>
      </c>
      <c r="C1354" s="1" t="s">
        <v>38</v>
      </c>
      <c r="D1354" s="1" t="s">
        <v>535</v>
      </c>
      <c r="E1354" s="1" t="s">
        <v>40</v>
      </c>
      <c r="F1354" s="1">
        <v>2004</v>
      </c>
      <c r="G1354" s="1" t="s">
        <v>536</v>
      </c>
      <c r="H1354" s="3" t="s">
        <v>537</v>
      </c>
      <c r="I1354" s="3" t="s">
        <v>538</v>
      </c>
      <c r="J1354" s="1" t="s">
        <v>539</v>
      </c>
      <c r="K1354" s="1" t="s">
        <v>45</v>
      </c>
      <c r="L1354" s="1" t="s">
        <v>46</v>
      </c>
      <c r="M1354" s="1" t="s">
        <v>115</v>
      </c>
      <c r="N1354" s="1" t="s">
        <v>116</v>
      </c>
      <c r="O1354" s="1">
        <v>1</v>
      </c>
      <c r="P1354" s="1">
        <v>1</v>
      </c>
      <c r="Q1354" s="1">
        <v>1</v>
      </c>
      <c r="R1354" s="1">
        <v>1</v>
      </c>
      <c r="S1354" s="1" t="s">
        <v>49</v>
      </c>
      <c r="T1354" s="1" t="s">
        <v>49</v>
      </c>
      <c r="U1354" s="1" t="s">
        <v>540</v>
      </c>
      <c r="V1354" s="1" t="s">
        <v>541</v>
      </c>
      <c r="W1354" s="1">
        <v>30.2</v>
      </c>
      <c r="X1354" s="1">
        <v>-84.4</v>
      </c>
      <c r="Y1354" s="1" t="s">
        <v>141</v>
      </c>
      <c r="Z1354" s="1" t="s">
        <v>49</v>
      </c>
      <c r="AA1354" s="6" t="s">
        <v>49</v>
      </c>
      <c r="AB1354" s="6" t="s">
        <v>49</v>
      </c>
      <c r="AC1354" s="6" t="s">
        <v>49</v>
      </c>
      <c r="AD1354" s="1" t="s">
        <v>564</v>
      </c>
      <c r="AE1354" s="1" t="s">
        <v>542</v>
      </c>
      <c r="AF1354" s="6" t="s">
        <v>49</v>
      </c>
      <c r="AG1354" s="6" t="s">
        <v>49</v>
      </c>
      <c r="AH1354" s="1" t="s">
        <v>123</v>
      </c>
      <c r="AI1354" s="1" t="s">
        <v>55</v>
      </c>
      <c r="AJ1354" s="20" t="s">
        <v>49</v>
      </c>
      <c r="AK1354" s="20" t="s">
        <v>49</v>
      </c>
      <c r="AL1354" s="20" t="s">
        <v>49</v>
      </c>
      <c r="AM1354" s="20" t="s">
        <v>49</v>
      </c>
      <c r="AN1354" s="1" t="s">
        <v>49</v>
      </c>
      <c r="AO1354" s="1" t="s">
        <v>49</v>
      </c>
      <c r="AP1354" s="6">
        <v>1</v>
      </c>
      <c r="AQ1354" s="6">
        <v>-1.3740000000000001</v>
      </c>
      <c r="AR1354" s="6" t="s">
        <v>49</v>
      </c>
      <c r="AS1354" s="6" t="s">
        <v>49</v>
      </c>
      <c r="AT1354" s="6" t="s">
        <v>49</v>
      </c>
      <c r="AU1354" s="6" t="s">
        <v>49</v>
      </c>
      <c r="AV1354" s="6" t="s">
        <v>49</v>
      </c>
      <c r="AW1354" s="9" t="s">
        <v>565</v>
      </c>
    </row>
    <row r="1355" spans="1:49">
      <c r="A1355" s="1">
        <v>44</v>
      </c>
      <c r="B1355" s="1" t="s">
        <v>38</v>
      </c>
      <c r="C1355" s="1" t="s">
        <v>38</v>
      </c>
      <c r="D1355" s="1" t="s">
        <v>535</v>
      </c>
      <c r="E1355" s="1" t="s">
        <v>40</v>
      </c>
      <c r="F1355" s="1">
        <v>2004</v>
      </c>
      <c r="G1355" s="1" t="s">
        <v>536</v>
      </c>
      <c r="H1355" s="3" t="s">
        <v>537</v>
      </c>
      <c r="I1355" s="3" t="s">
        <v>538</v>
      </c>
      <c r="J1355" s="1" t="s">
        <v>539</v>
      </c>
      <c r="K1355" s="1" t="s">
        <v>45</v>
      </c>
      <c r="L1355" s="1" t="s">
        <v>46</v>
      </c>
      <c r="M1355" s="1" t="s">
        <v>115</v>
      </c>
      <c r="N1355" s="1" t="s">
        <v>116</v>
      </c>
      <c r="O1355" s="1">
        <v>1</v>
      </c>
      <c r="P1355" s="1">
        <v>1</v>
      </c>
      <c r="Q1355" s="1">
        <v>1</v>
      </c>
      <c r="R1355" s="1">
        <v>1</v>
      </c>
      <c r="S1355" s="1" t="s">
        <v>49</v>
      </c>
      <c r="T1355" s="1" t="s">
        <v>49</v>
      </c>
      <c r="U1355" s="1" t="s">
        <v>540</v>
      </c>
      <c r="V1355" s="1" t="s">
        <v>541</v>
      </c>
      <c r="W1355" s="1">
        <v>30.2</v>
      </c>
      <c r="X1355" s="1">
        <v>-84.4</v>
      </c>
      <c r="Y1355" s="1" t="s">
        <v>141</v>
      </c>
      <c r="Z1355" s="1" t="s">
        <v>49</v>
      </c>
      <c r="AA1355" s="6" t="s">
        <v>49</v>
      </c>
      <c r="AB1355" s="6" t="s">
        <v>49</v>
      </c>
      <c r="AC1355" s="6" t="s">
        <v>49</v>
      </c>
      <c r="AD1355" s="1" t="s">
        <v>564</v>
      </c>
      <c r="AE1355" s="1" t="s">
        <v>52</v>
      </c>
      <c r="AF1355" s="6" t="s">
        <v>49</v>
      </c>
      <c r="AG1355" s="6" t="s">
        <v>49</v>
      </c>
      <c r="AH1355" s="1" t="s">
        <v>123</v>
      </c>
      <c r="AI1355" s="1" t="s">
        <v>55</v>
      </c>
      <c r="AJ1355" s="20" t="s">
        <v>49</v>
      </c>
      <c r="AK1355" s="20" t="s">
        <v>49</v>
      </c>
      <c r="AL1355" s="20" t="s">
        <v>49</v>
      </c>
      <c r="AM1355" s="20" t="s">
        <v>49</v>
      </c>
      <c r="AN1355" s="1" t="s">
        <v>49</v>
      </c>
      <c r="AO1355" s="1" t="s">
        <v>49</v>
      </c>
      <c r="AP1355" s="6">
        <v>1</v>
      </c>
      <c r="AQ1355" s="6">
        <v>-1.238</v>
      </c>
      <c r="AR1355" s="6" t="s">
        <v>49</v>
      </c>
      <c r="AS1355" s="6" t="s">
        <v>49</v>
      </c>
      <c r="AT1355" s="6" t="s">
        <v>49</v>
      </c>
      <c r="AU1355" s="6" t="s">
        <v>49</v>
      </c>
      <c r="AV1355" s="6" t="s">
        <v>49</v>
      </c>
      <c r="AW1355" s="9" t="s">
        <v>565</v>
      </c>
    </row>
    <row r="1356" spans="1:49">
      <c r="A1356" s="1">
        <v>44</v>
      </c>
      <c r="B1356" s="1" t="s">
        <v>38</v>
      </c>
      <c r="C1356" s="1" t="s">
        <v>38</v>
      </c>
      <c r="D1356" s="1" t="s">
        <v>535</v>
      </c>
      <c r="E1356" s="1" t="s">
        <v>40</v>
      </c>
      <c r="F1356" s="1">
        <v>2004</v>
      </c>
      <c r="G1356" s="1" t="s">
        <v>536</v>
      </c>
      <c r="H1356" s="3" t="s">
        <v>537</v>
      </c>
      <c r="I1356" s="3" t="s">
        <v>538</v>
      </c>
      <c r="J1356" s="1" t="s">
        <v>539</v>
      </c>
      <c r="K1356" s="1" t="s">
        <v>45</v>
      </c>
      <c r="L1356" s="1" t="s">
        <v>46</v>
      </c>
      <c r="M1356" s="1" t="s">
        <v>115</v>
      </c>
      <c r="N1356" s="1" t="s">
        <v>116</v>
      </c>
      <c r="O1356" s="1">
        <v>1</v>
      </c>
      <c r="P1356" s="1">
        <v>1</v>
      </c>
      <c r="Q1356" s="1">
        <v>1</v>
      </c>
      <c r="R1356" s="1">
        <v>1</v>
      </c>
      <c r="S1356" s="1" t="s">
        <v>49</v>
      </c>
      <c r="T1356" s="1" t="s">
        <v>49</v>
      </c>
      <c r="U1356" s="1" t="s">
        <v>540</v>
      </c>
      <c r="V1356" s="1" t="s">
        <v>541</v>
      </c>
      <c r="W1356" s="1">
        <v>30.2</v>
      </c>
      <c r="X1356" s="1">
        <v>-84.4</v>
      </c>
      <c r="Y1356" s="1" t="s">
        <v>141</v>
      </c>
      <c r="Z1356" s="1" t="s">
        <v>49</v>
      </c>
      <c r="AA1356" s="6" t="s">
        <v>49</v>
      </c>
      <c r="AB1356" s="6" t="s">
        <v>49</v>
      </c>
      <c r="AC1356" s="6" t="s">
        <v>49</v>
      </c>
      <c r="AD1356" s="1" t="s">
        <v>558</v>
      </c>
      <c r="AE1356" s="1" t="s">
        <v>559</v>
      </c>
      <c r="AF1356" s="6" t="s">
        <v>49</v>
      </c>
      <c r="AG1356" s="6" t="s">
        <v>49</v>
      </c>
      <c r="AH1356" s="1" t="s">
        <v>123</v>
      </c>
      <c r="AI1356" s="1" t="s">
        <v>55</v>
      </c>
      <c r="AJ1356" s="20" t="s">
        <v>49</v>
      </c>
      <c r="AK1356" s="20" t="s">
        <v>49</v>
      </c>
      <c r="AL1356" s="20" t="s">
        <v>49</v>
      </c>
      <c r="AM1356" s="20" t="s">
        <v>49</v>
      </c>
      <c r="AN1356" s="1" t="s">
        <v>49</v>
      </c>
      <c r="AO1356" s="1" t="s">
        <v>49</v>
      </c>
      <c r="AP1356" s="6">
        <v>1</v>
      </c>
      <c r="AQ1356" s="6">
        <v>-0.57599999999999996</v>
      </c>
      <c r="AR1356" s="6" t="s">
        <v>49</v>
      </c>
      <c r="AS1356" s="6" t="s">
        <v>49</v>
      </c>
      <c r="AT1356" s="6" t="s">
        <v>49</v>
      </c>
      <c r="AU1356" s="6" t="s">
        <v>49</v>
      </c>
      <c r="AV1356" s="6" t="s">
        <v>49</v>
      </c>
      <c r="AW1356" s="9" t="s">
        <v>565</v>
      </c>
    </row>
    <row r="1357" spans="1:49">
      <c r="A1357" s="1">
        <v>44</v>
      </c>
      <c r="B1357" s="1" t="s">
        <v>38</v>
      </c>
      <c r="C1357" s="1" t="s">
        <v>38</v>
      </c>
      <c r="D1357" s="1" t="s">
        <v>535</v>
      </c>
      <c r="E1357" s="1" t="s">
        <v>40</v>
      </c>
      <c r="F1357" s="1">
        <v>2004</v>
      </c>
      <c r="G1357" s="1" t="s">
        <v>536</v>
      </c>
      <c r="H1357" s="3" t="s">
        <v>537</v>
      </c>
      <c r="I1357" s="3" t="s">
        <v>538</v>
      </c>
      <c r="J1357" s="1" t="s">
        <v>539</v>
      </c>
      <c r="K1357" s="1" t="s">
        <v>45</v>
      </c>
      <c r="L1357" s="1" t="s">
        <v>46</v>
      </c>
      <c r="M1357" s="1" t="s">
        <v>115</v>
      </c>
      <c r="N1357" s="1" t="s">
        <v>116</v>
      </c>
      <c r="O1357" s="1">
        <v>1</v>
      </c>
      <c r="P1357" s="1">
        <v>1</v>
      </c>
      <c r="Q1357" s="1">
        <v>1</v>
      </c>
      <c r="R1357" s="1">
        <v>1</v>
      </c>
      <c r="S1357" s="1" t="s">
        <v>49</v>
      </c>
      <c r="T1357" s="1" t="s">
        <v>49</v>
      </c>
      <c r="U1357" s="1" t="s">
        <v>540</v>
      </c>
      <c r="V1357" s="1" t="s">
        <v>541</v>
      </c>
      <c r="W1357" s="1">
        <v>30.2</v>
      </c>
      <c r="X1357" s="1">
        <v>-84.4</v>
      </c>
      <c r="Y1357" s="1" t="s">
        <v>141</v>
      </c>
      <c r="Z1357" s="1" t="s">
        <v>49</v>
      </c>
      <c r="AA1357" s="6" t="s">
        <v>49</v>
      </c>
      <c r="AB1357" s="6" t="s">
        <v>49</v>
      </c>
      <c r="AC1357" s="6" t="s">
        <v>49</v>
      </c>
      <c r="AD1357" s="1" t="s">
        <v>558</v>
      </c>
      <c r="AE1357" s="1" t="s">
        <v>560</v>
      </c>
      <c r="AF1357" s="6" t="s">
        <v>49</v>
      </c>
      <c r="AG1357" s="6" t="s">
        <v>49</v>
      </c>
      <c r="AH1357" s="1" t="s">
        <v>123</v>
      </c>
      <c r="AI1357" s="1" t="s">
        <v>55</v>
      </c>
      <c r="AJ1357" s="20" t="s">
        <v>49</v>
      </c>
      <c r="AK1357" s="20" t="s">
        <v>49</v>
      </c>
      <c r="AL1357" s="20" t="s">
        <v>49</v>
      </c>
      <c r="AM1357" s="20" t="s">
        <v>49</v>
      </c>
      <c r="AN1357" s="1" t="s">
        <v>49</v>
      </c>
      <c r="AO1357" s="1" t="s">
        <v>49</v>
      </c>
      <c r="AP1357" s="6">
        <v>1</v>
      </c>
      <c r="AQ1357" s="6">
        <v>-0.42799999999999999</v>
      </c>
      <c r="AR1357" s="6" t="s">
        <v>49</v>
      </c>
      <c r="AS1357" s="6" t="s">
        <v>49</v>
      </c>
      <c r="AT1357" s="6" t="s">
        <v>49</v>
      </c>
      <c r="AU1357" s="6" t="s">
        <v>49</v>
      </c>
      <c r="AV1357" s="6" t="s">
        <v>49</v>
      </c>
      <c r="AW1357" s="9" t="s">
        <v>565</v>
      </c>
    </row>
    <row r="1358" spans="1:49">
      <c r="A1358" s="1">
        <v>44</v>
      </c>
      <c r="B1358" s="1" t="s">
        <v>38</v>
      </c>
      <c r="C1358" s="1" t="s">
        <v>38</v>
      </c>
      <c r="D1358" s="1" t="s">
        <v>535</v>
      </c>
      <c r="E1358" s="1" t="s">
        <v>40</v>
      </c>
      <c r="F1358" s="1">
        <v>2004</v>
      </c>
      <c r="G1358" s="1" t="s">
        <v>536</v>
      </c>
      <c r="H1358" s="3" t="s">
        <v>537</v>
      </c>
      <c r="I1358" s="3" t="s">
        <v>538</v>
      </c>
      <c r="J1358" s="1" t="s">
        <v>539</v>
      </c>
      <c r="K1358" s="1" t="s">
        <v>45</v>
      </c>
      <c r="L1358" s="1" t="s">
        <v>46</v>
      </c>
      <c r="M1358" s="1" t="s">
        <v>115</v>
      </c>
      <c r="N1358" s="1" t="s">
        <v>116</v>
      </c>
      <c r="O1358" s="1">
        <v>1</v>
      </c>
      <c r="P1358" s="1">
        <v>1</v>
      </c>
      <c r="Q1358" s="1">
        <v>1</v>
      </c>
      <c r="R1358" s="1">
        <v>1</v>
      </c>
      <c r="S1358" s="1" t="s">
        <v>49</v>
      </c>
      <c r="T1358" s="1" t="s">
        <v>49</v>
      </c>
      <c r="U1358" s="1" t="s">
        <v>540</v>
      </c>
      <c r="V1358" s="1" t="s">
        <v>541</v>
      </c>
      <c r="W1358" s="1">
        <v>30.2</v>
      </c>
      <c r="X1358" s="1">
        <v>-84.4</v>
      </c>
      <c r="Y1358" s="1" t="s">
        <v>141</v>
      </c>
      <c r="Z1358" s="1" t="s">
        <v>49</v>
      </c>
      <c r="AA1358" s="6" t="s">
        <v>49</v>
      </c>
      <c r="AB1358" s="6" t="s">
        <v>49</v>
      </c>
      <c r="AC1358" s="6" t="s">
        <v>49</v>
      </c>
      <c r="AD1358" s="1" t="s">
        <v>558</v>
      </c>
      <c r="AE1358" s="1" t="s">
        <v>561</v>
      </c>
      <c r="AF1358" s="6" t="s">
        <v>49</v>
      </c>
      <c r="AG1358" s="6" t="s">
        <v>49</v>
      </c>
      <c r="AH1358" s="1" t="s">
        <v>123</v>
      </c>
      <c r="AI1358" s="1" t="s">
        <v>55</v>
      </c>
      <c r="AJ1358" s="20" t="s">
        <v>49</v>
      </c>
      <c r="AK1358" s="20" t="s">
        <v>49</v>
      </c>
      <c r="AL1358" s="20" t="s">
        <v>49</v>
      </c>
      <c r="AM1358" s="20" t="s">
        <v>49</v>
      </c>
      <c r="AN1358" s="1" t="s">
        <v>49</v>
      </c>
      <c r="AO1358" s="1" t="s">
        <v>49</v>
      </c>
      <c r="AP1358" s="6">
        <v>1</v>
      </c>
      <c r="AQ1358" s="6">
        <v>-0.16</v>
      </c>
      <c r="AR1358" s="6" t="s">
        <v>49</v>
      </c>
      <c r="AS1358" s="6" t="s">
        <v>49</v>
      </c>
      <c r="AT1358" s="6" t="s">
        <v>49</v>
      </c>
      <c r="AU1358" s="6" t="s">
        <v>49</v>
      </c>
      <c r="AV1358" s="6" t="s">
        <v>49</v>
      </c>
      <c r="AW1358" s="9" t="s">
        <v>565</v>
      </c>
    </row>
    <row r="1359" spans="1:49">
      <c r="A1359" s="1">
        <v>44</v>
      </c>
      <c r="B1359" s="1" t="s">
        <v>38</v>
      </c>
      <c r="C1359" s="1" t="s">
        <v>38</v>
      </c>
      <c r="D1359" s="1" t="s">
        <v>535</v>
      </c>
      <c r="E1359" s="1" t="s">
        <v>40</v>
      </c>
      <c r="F1359" s="1">
        <v>2004</v>
      </c>
      <c r="G1359" s="1" t="s">
        <v>536</v>
      </c>
      <c r="H1359" s="3" t="s">
        <v>537</v>
      </c>
      <c r="I1359" s="3" t="s">
        <v>538</v>
      </c>
      <c r="J1359" s="1" t="s">
        <v>539</v>
      </c>
      <c r="K1359" s="1" t="s">
        <v>45</v>
      </c>
      <c r="L1359" s="1" t="s">
        <v>46</v>
      </c>
      <c r="M1359" s="1" t="s">
        <v>115</v>
      </c>
      <c r="N1359" s="1" t="s">
        <v>116</v>
      </c>
      <c r="O1359" s="1">
        <v>1</v>
      </c>
      <c r="P1359" s="1">
        <v>1</v>
      </c>
      <c r="Q1359" s="1">
        <v>1</v>
      </c>
      <c r="R1359" s="1">
        <v>1</v>
      </c>
      <c r="S1359" s="1" t="s">
        <v>49</v>
      </c>
      <c r="T1359" s="1" t="s">
        <v>49</v>
      </c>
      <c r="U1359" s="1" t="s">
        <v>540</v>
      </c>
      <c r="V1359" s="1" t="s">
        <v>541</v>
      </c>
      <c r="W1359" s="1">
        <v>30.2</v>
      </c>
      <c r="X1359" s="1">
        <v>-84.4</v>
      </c>
      <c r="Y1359" s="1" t="s">
        <v>141</v>
      </c>
      <c r="Z1359" s="1" t="s">
        <v>49</v>
      </c>
      <c r="AA1359" s="6" t="s">
        <v>49</v>
      </c>
      <c r="AB1359" s="6" t="s">
        <v>49</v>
      </c>
      <c r="AC1359" s="6" t="s">
        <v>49</v>
      </c>
      <c r="AD1359" s="1" t="s">
        <v>558</v>
      </c>
      <c r="AE1359" s="1" t="s">
        <v>562</v>
      </c>
      <c r="AF1359" s="6" t="s">
        <v>49</v>
      </c>
      <c r="AG1359" s="6" t="s">
        <v>49</v>
      </c>
      <c r="AH1359" s="1" t="s">
        <v>123</v>
      </c>
      <c r="AI1359" s="1" t="s">
        <v>55</v>
      </c>
      <c r="AJ1359" s="20" t="s">
        <v>49</v>
      </c>
      <c r="AK1359" s="20" t="s">
        <v>49</v>
      </c>
      <c r="AL1359" s="20" t="s">
        <v>49</v>
      </c>
      <c r="AM1359" s="20" t="s">
        <v>49</v>
      </c>
      <c r="AN1359" s="1" t="s">
        <v>49</v>
      </c>
      <c r="AO1359" s="1" t="s">
        <v>49</v>
      </c>
      <c r="AP1359" s="6">
        <v>1</v>
      </c>
      <c r="AQ1359" s="6">
        <v>-0.61799999999999999</v>
      </c>
      <c r="AR1359" s="6" t="s">
        <v>49</v>
      </c>
      <c r="AS1359" s="6" t="s">
        <v>49</v>
      </c>
      <c r="AT1359" s="6" t="s">
        <v>49</v>
      </c>
      <c r="AU1359" s="6" t="s">
        <v>49</v>
      </c>
      <c r="AV1359" s="6" t="s">
        <v>49</v>
      </c>
      <c r="AW1359" s="9" t="s">
        <v>565</v>
      </c>
    </row>
    <row r="1360" spans="1:49">
      <c r="A1360" s="1">
        <v>44</v>
      </c>
      <c r="B1360" s="1" t="s">
        <v>38</v>
      </c>
      <c r="C1360" s="1" t="s">
        <v>38</v>
      </c>
      <c r="D1360" s="1" t="s">
        <v>535</v>
      </c>
      <c r="E1360" s="1" t="s">
        <v>40</v>
      </c>
      <c r="F1360" s="1">
        <v>2004</v>
      </c>
      <c r="G1360" s="1" t="s">
        <v>536</v>
      </c>
      <c r="H1360" s="3" t="s">
        <v>537</v>
      </c>
      <c r="I1360" s="3" t="s">
        <v>538</v>
      </c>
      <c r="J1360" s="1" t="s">
        <v>539</v>
      </c>
      <c r="K1360" s="1" t="s">
        <v>45</v>
      </c>
      <c r="L1360" s="1" t="s">
        <v>46</v>
      </c>
      <c r="M1360" s="1" t="s">
        <v>115</v>
      </c>
      <c r="N1360" s="1" t="s">
        <v>116</v>
      </c>
      <c r="O1360" s="1">
        <v>1</v>
      </c>
      <c r="P1360" s="1">
        <v>1</v>
      </c>
      <c r="Q1360" s="1">
        <v>1</v>
      </c>
      <c r="R1360" s="1">
        <v>1</v>
      </c>
      <c r="S1360" s="1" t="s">
        <v>49</v>
      </c>
      <c r="T1360" s="1" t="s">
        <v>49</v>
      </c>
      <c r="U1360" s="1" t="s">
        <v>540</v>
      </c>
      <c r="V1360" s="1" t="s">
        <v>541</v>
      </c>
      <c r="W1360" s="1">
        <v>30.2</v>
      </c>
      <c r="X1360" s="1">
        <v>-84.4</v>
      </c>
      <c r="Y1360" s="1" t="s">
        <v>141</v>
      </c>
      <c r="Z1360" s="1" t="s">
        <v>49</v>
      </c>
      <c r="AA1360" s="6" t="s">
        <v>49</v>
      </c>
      <c r="AB1360" s="6" t="s">
        <v>49</v>
      </c>
      <c r="AC1360" s="6" t="s">
        <v>49</v>
      </c>
      <c r="AD1360" s="1" t="s">
        <v>558</v>
      </c>
      <c r="AE1360" s="1" t="s">
        <v>563</v>
      </c>
      <c r="AF1360" s="6" t="s">
        <v>49</v>
      </c>
      <c r="AG1360" s="6" t="s">
        <v>49</v>
      </c>
      <c r="AH1360" s="1" t="s">
        <v>123</v>
      </c>
      <c r="AI1360" s="1" t="s">
        <v>55</v>
      </c>
      <c r="AJ1360" s="20" t="s">
        <v>49</v>
      </c>
      <c r="AK1360" s="20" t="s">
        <v>49</v>
      </c>
      <c r="AL1360" s="20" t="s">
        <v>49</v>
      </c>
      <c r="AM1360" s="20" t="s">
        <v>49</v>
      </c>
      <c r="AN1360" s="1" t="s">
        <v>49</v>
      </c>
      <c r="AO1360" s="1" t="s">
        <v>49</v>
      </c>
      <c r="AP1360" s="6">
        <v>1</v>
      </c>
      <c r="AQ1360" s="6">
        <v>-0.51</v>
      </c>
      <c r="AR1360" s="6" t="s">
        <v>49</v>
      </c>
      <c r="AS1360" s="6" t="s">
        <v>49</v>
      </c>
      <c r="AT1360" s="6" t="s">
        <v>49</v>
      </c>
      <c r="AU1360" s="6" t="s">
        <v>49</v>
      </c>
      <c r="AV1360" s="6" t="s">
        <v>49</v>
      </c>
      <c r="AW1360" s="9" t="s">
        <v>565</v>
      </c>
    </row>
    <row r="1361" spans="1:49">
      <c r="A1361" s="1">
        <v>44</v>
      </c>
      <c r="B1361" s="1" t="s">
        <v>38</v>
      </c>
      <c r="C1361" s="1" t="s">
        <v>38</v>
      </c>
      <c r="D1361" s="1" t="s">
        <v>535</v>
      </c>
      <c r="E1361" s="1" t="s">
        <v>40</v>
      </c>
      <c r="F1361" s="1">
        <v>2004</v>
      </c>
      <c r="G1361" s="1" t="s">
        <v>536</v>
      </c>
      <c r="H1361" s="3" t="s">
        <v>537</v>
      </c>
      <c r="I1361" s="3" t="s">
        <v>538</v>
      </c>
      <c r="J1361" s="1" t="s">
        <v>539</v>
      </c>
      <c r="K1361" s="1" t="s">
        <v>45</v>
      </c>
      <c r="L1361" s="1" t="s">
        <v>46</v>
      </c>
      <c r="M1361" s="1" t="s">
        <v>115</v>
      </c>
      <c r="N1361" s="1" t="s">
        <v>116</v>
      </c>
      <c r="O1361" s="1">
        <v>1</v>
      </c>
      <c r="P1361" s="1">
        <v>1</v>
      </c>
      <c r="Q1361" s="1">
        <v>1</v>
      </c>
      <c r="R1361" s="1">
        <v>1</v>
      </c>
      <c r="S1361" s="1" t="s">
        <v>49</v>
      </c>
      <c r="T1361" s="1" t="s">
        <v>49</v>
      </c>
      <c r="U1361" s="1" t="s">
        <v>540</v>
      </c>
      <c r="V1361" s="1" t="s">
        <v>541</v>
      </c>
      <c r="W1361" s="1">
        <v>30.2</v>
      </c>
      <c r="X1361" s="1">
        <v>-84.4</v>
      </c>
      <c r="Y1361" s="1" t="s">
        <v>141</v>
      </c>
      <c r="Z1361" s="1" t="s">
        <v>49</v>
      </c>
      <c r="AA1361" s="6" t="s">
        <v>49</v>
      </c>
      <c r="AB1361" s="6" t="s">
        <v>49</v>
      </c>
      <c r="AC1361" s="6" t="s">
        <v>49</v>
      </c>
      <c r="AD1361" s="1" t="s">
        <v>558</v>
      </c>
      <c r="AE1361" s="1" t="s">
        <v>547</v>
      </c>
      <c r="AF1361" s="6" t="s">
        <v>49</v>
      </c>
      <c r="AG1361" s="6" t="s">
        <v>49</v>
      </c>
      <c r="AH1361" s="1" t="s">
        <v>123</v>
      </c>
      <c r="AI1361" s="1" t="s">
        <v>55</v>
      </c>
      <c r="AJ1361" s="20" t="s">
        <v>49</v>
      </c>
      <c r="AK1361" s="20" t="s">
        <v>49</v>
      </c>
      <c r="AL1361" s="20" t="s">
        <v>49</v>
      </c>
      <c r="AM1361" s="20" t="s">
        <v>49</v>
      </c>
      <c r="AN1361" s="1" t="s">
        <v>49</v>
      </c>
      <c r="AO1361" s="1" t="s">
        <v>49</v>
      </c>
      <c r="AP1361" s="6">
        <v>1</v>
      </c>
      <c r="AQ1361" s="6">
        <v>0.245</v>
      </c>
      <c r="AR1361" s="6" t="s">
        <v>49</v>
      </c>
      <c r="AS1361" s="6" t="s">
        <v>49</v>
      </c>
      <c r="AT1361" s="6" t="s">
        <v>49</v>
      </c>
      <c r="AU1361" s="6" t="s">
        <v>49</v>
      </c>
      <c r="AV1361" s="6" t="s">
        <v>49</v>
      </c>
      <c r="AW1361" s="9" t="s">
        <v>565</v>
      </c>
    </row>
    <row r="1362" spans="1:49">
      <c r="A1362" s="1">
        <v>44</v>
      </c>
      <c r="B1362" s="1" t="s">
        <v>38</v>
      </c>
      <c r="C1362" s="1" t="s">
        <v>38</v>
      </c>
      <c r="D1362" s="1" t="s">
        <v>535</v>
      </c>
      <c r="E1362" s="1" t="s">
        <v>40</v>
      </c>
      <c r="F1362" s="1">
        <v>2004</v>
      </c>
      <c r="G1362" s="1" t="s">
        <v>536</v>
      </c>
      <c r="H1362" s="3" t="s">
        <v>537</v>
      </c>
      <c r="I1362" s="3" t="s">
        <v>538</v>
      </c>
      <c r="J1362" s="1" t="s">
        <v>539</v>
      </c>
      <c r="K1362" s="1" t="s">
        <v>45</v>
      </c>
      <c r="L1362" s="1" t="s">
        <v>46</v>
      </c>
      <c r="M1362" s="1" t="s">
        <v>115</v>
      </c>
      <c r="N1362" s="1" t="s">
        <v>116</v>
      </c>
      <c r="O1362" s="1">
        <v>1</v>
      </c>
      <c r="P1362" s="1">
        <v>1</v>
      </c>
      <c r="Q1362" s="1">
        <v>1</v>
      </c>
      <c r="R1362" s="1">
        <v>1</v>
      </c>
      <c r="S1362" s="1" t="s">
        <v>49</v>
      </c>
      <c r="T1362" s="1" t="s">
        <v>49</v>
      </c>
      <c r="U1362" s="1" t="s">
        <v>540</v>
      </c>
      <c r="V1362" s="1" t="s">
        <v>541</v>
      </c>
      <c r="W1362" s="1">
        <v>30.2</v>
      </c>
      <c r="X1362" s="1">
        <v>-84.4</v>
      </c>
      <c r="Y1362" s="1" t="s">
        <v>141</v>
      </c>
      <c r="Z1362" s="1" t="s">
        <v>49</v>
      </c>
      <c r="AA1362" s="6" t="s">
        <v>49</v>
      </c>
      <c r="AB1362" s="6" t="s">
        <v>49</v>
      </c>
      <c r="AC1362" s="6" t="s">
        <v>49</v>
      </c>
      <c r="AD1362" s="1" t="s">
        <v>558</v>
      </c>
      <c r="AE1362" s="1" t="s">
        <v>542</v>
      </c>
      <c r="AF1362" s="6" t="s">
        <v>49</v>
      </c>
      <c r="AG1362" s="6" t="s">
        <v>49</v>
      </c>
      <c r="AH1362" s="1" t="s">
        <v>123</v>
      </c>
      <c r="AI1362" s="1" t="s">
        <v>55</v>
      </c>
      <c r="AJ1362" s="20" t="s">
        <v>49</v>
      </c>
      <c r="AK1362" s="20" t="s">
        <v>49</v>
      </c>
      <c r="AL1362" s="20" t="s">
        <v>49</v>
      </c>
      <c r="AM1362" s="20" t="s">
        <v>49</v>
      </c>
      <c r="AN1362" s="1" t="s">
        <v>49</v>
      </c>
      <c r="AO1362" s="1" t="s">
        <v>49</v>
      </c>
      <c r="AP1362" s="6">
        <v>1</v>
      </c>
      <c r="AQ1362" s="6">
        <v>-0.58599999999999997</v>
      </c>
      <c r="AR1362" s="6" t="s">
        <v>49</v>
      </c>
      <c r="AS1362" s="6" t="s">
        <v>49</v>
      </c>
      <c r="AT1362" s="6" t="s">
        <v>49</v>
      </c>
      <c r="AU1362" s="6" t="s">
        <v>49</v>
      </c>
      <c r="AV1362" s="6" t="s">
        <v>49</v>
      </c>
      <c r="AW1362" s="9" t="s">
        <v>565</v>
      </c>
    </row>
    <row r="1363" spans="1:49">
      <c r="A1363" s="1">
        <v>44</v>
      </c>
      <c r="B1363" s="1" t="s">
        <v>38</v>
      </c>
      <c r="C1363" s="1" t="s">
        <v>38</v>
      </c>
      <c r="D1363" s="1" t="s">
        <v>535</v>
      </c>
      <c r="E1363" s="1" t="s">
        <v>40</v>
      </c>
      <c r="F1363" s="1">
        <v>2004</v>
      </c>
      <c r="G1363" s="1" t="s">
        <v>536</v>
      </c>
      <c r="H1363" s="3" t="s">
        <v>537</v>
      </c>
      <c r="I1363" s="3" t="s">
        <v>538</v>
      </c>
      <c r="J1363" s="1" t="s">
        <v>539</v>
      </c>
      <c r="K1363" s="1" t="s">
        <v>45</v>
      </c>
      <c r="L1363" s="1" t="s">
        <v>46</v>
      </c>
      <c r="M1363" s="1" t="s">
        <v>115</v>
      </c>
      <c r="N1363" s="1" t="s">
        <v>116</v>
      </c>
      <c r="O1363" s="1">
        <v>1</v>
      </c>
      <c r="P1363" s="1">
        <v>1</v>
      </c>
      <c r="Q1363" s="1">
        <v>1</v>
      </c>
      <c r="R1363" s="1">
        <v>1</v>
      </c>
      <c r="S1363" s="1" t="s">
        <v>49</v>
      </c>
      <c r="T1363" s="1" t="s">
        <v>49</v>
      </c>
      <c r="U1363" s="1" t="s">
        <v>540</v>
      </c>
      <c r="V1363" s="1" t="s">
        <v>541</v>
      </c>
      <c r="W1363" s="1">
        <v>30.2</v>
      </c>
      <c r="X1363" s="1">
        <v>-84.4</v>
      </c>
      <c r="Y1363" s="1" t="s">
        <v>141</v>
      </c>
      <c r="Z1363" s="1" t="s">
        <v>49</v>
      </c>
      <c r="AA1363" s="6" t="s">
        <v>49</v>
      </c>
      <c r="AB1363" s="6" t="s">
        <v>49</v>
      </c>
      <c r="AC1363" s="6" t="s">
        <v>49</v>
      </c>
      <c r="AD1363" s="1" t="s">
        <v>558</v>
      </c>
      <c r="AE1363" s="1" t="s">
        <v>52</v>
      </c>
      <c r="AF1363" s="6" t="s">
        <v>49</v>
      </c>
      <c r="AG1363" s="6" t="s">
        <v>49</v>
      </c>
      <c r="AH1363" s="1" t="s">
        <v>123</v>
      </c>
      <c r="AI1363" s="1" t="s">
        <v>55</v>
      </c>
      <c r="AJ1363" s="20" t="s">
        <v>49</v>
      </c>
      <c r="AK1363" s="20" t="s">
        <v>49</v>
      </c>
      <c r="AL1363" s="20" t="s">
        <v>49</v>
      </c>
      <c r="AM1363" s="20" t="s">
        <v>49</v>
      </c>
      <c r="AN1363" s="1" t="s">
        <v>49</v>
      </c>
      <c r="AO1363" s="1" t="s">
        <v>49</v>
      </c>
      <c r="AP1363" s="6">
        <v>1</v>
      </c>
      <c r="AQ1363" s="6">
        <v>2.3E-2</v>
      </c>
      <c r="AR1363" s="6" t="s">
        <v>49</v>
      </c>
      <c r="AS1363" s="6" t="s">
        <v>49</v>
      </c>
      <c r="AT1363" s="6" t="s">
        <v>49</v>
      </c>
      <c r="AU1363" s="6" t="s">
        <v>49</v>
      </c>
      <c r="AV1363" s="6" t="s">
        <v>49</v>
      </c>
      <c r="AW1363" s="9" t="s">
        <v>565</v>
      </c>
    </row>
    <row r="1364" spans="1:49">
      <c r="A1364" s="1">
        <v>44</v>
      </c>
      <c r="B1364" s="1" t="s">
        <v>38</v>
      </c>
      <c r="C1364" s="1" t="s">
        <v>38</v>
      </c>
      <c r="D1364" s="1" t="s">
        <v>535</v>
      </c>
      <c r="E1364" s="1" t="s">
        <v>40</v>
      </c>
      <c r="F1364" s="1">
        <v>2004</v>
      </c>
      <c r="G1364" s="1" t="s">
        <v>536</v>
      </c>
      <c r="H1364" s="3" t="s">
        <v>537</v>
      </c>
      <c r="I1364" s="3" t="s">
        <v>538</v>
      </c>
      <c r="J1364" s="1" t="s">
        <v>539</v>
      </c>
      <c r="K1364" s="1" t="s">
        <v>45</v>
      </c>
      <c r="L1364" s="1" t="s">
        <v>46</v>
      </c>
      <c r="M1364" s="1" t="s">
        <v>115</v>
      </c>
      <c r="N1364" s="1" t="s">
        <v>116</v>
      </c>
      <c r="O1364" s="1">
        <v>1</v>
      </c>
      <c r="P1364" s="1">
        <v>1</v>
      </c>
      <c r="Q1364" s="1">
        <v>1</v>
      </c>
      <c r="R1364" s="1">
        <v>1</v>
      </c>
      <c r="S1364" s="1" t="s">
        <v>49</v>
      </c>
      <c r="T1364" s="1" t="s">
        <v>49</v>
      </c>
      <c r="U1364" s="1" t="s">
        <v>540</v>
      </c>
      <c r="V1364" s="1" t="s">
        <v>541</v>
      </c>
      <c r="W1364" s="1">
        <v>30.2</v>
      </c>
      <c r="X1364" s="1">
        <v>-84.4</v>
      </c>
      <c r="Y1364" s="1" t="s">
        <v>141</v>
      </c>
      <c r="Z1364" s="1" t="s">
        <v>49</v>
      </c>
      <c r="AA1364" s="6" t="s">
        <v>49</v>
      </c>
      <c r="AB1364" s="6" t="s">
        <v>49</v>
      </c>
      <c r="AC1364" s="6" t="s">
        <v>49</v>
      </c>
      <c r="AD1364" s="1" t="s">
        <v>559</v>
      </c>
      <c r="AE1364" s="1" t="s">
        <v>560</v>
      </c>
      <c r="AF1364" s="6" t="s">
        <v>49</v>
      </c>
      <c r="AG1364" s="6" t="s">
        <v>49</v>
      </c>
      <c r="AH1364" s="1" t="s">
        <v>123</v>
      </c>
      <c r="AI1364" s="1" t="s">
        <v>55</v>
      </c>
      <c r="AJ1364" s="20" t="s">
        <v>49</v>
      </c>
      <c r="AK1364" s="20" t="s">
        <v>49</v>
      </c>
      <c r="AL1364" s="20" t="s">
        <v>49</v>
      </c>
      <c r="AM1364" s="20" t="s">
        <v>49</v>
      </c>
      <c r="AN1364" s="1" t="s">
        <v>49</v>
      </c>
      <c r="AO1364" s="1" t="s">
        <v>49</v>
      </c>
      <c r="AP1364" s="6">
        <v>1</v>
      </c>
      <c r="AQ1364" s="6">
        <v>0.5</v>
      </c>
      <c r="AR1364" s="6" t="s">
        <v>49</v>
      </c>
      <c r="AS1364" s="6" t="s">
        <v>49</v>
      </c>
      <c r="AT1364" s="6" t="s">
        <v>49</v>
      </c>
      <c r="AU1364" s="6" t="s">
        <v>49</v>
      </c>
      <c r="AV1364" s="6" t="s">
        <v>49</v>
      </c>
      <c r="AW1364" s="9" t="s">
        <v>565</v>
      </c>
    </row>
    <row r="1365" spans="1:49">
      <c r="A1365" s="1">
        <v>44</v>
      </c>
      <c r="B1365" s="1" t="s">
        <v>38</v>
      </c>
      <c r="C1365" s="1" t="s">
        <v>38</v>
      </c>
      <c r="D1365" s="1" t="s">
        <v>535</v>
      </c>
      <c r="E1365" s="1" t="s">
        <v>40</v>
      </c>
      <c r="F1365" s="1">
        <v>2004</v>
      </c>
      <c r="G1365" s="1" t="s">
        <v>536</v>
      </c>
      <c r="H1365" s="3" t="s">
        <v>537</v>
      </c>
      <c r="I1365" s="3" t="s">
        <v>538</v>
      </c>
      <c r="J1365" s="1" t="s">
        <v>539</v>
      </c>
      <c r="K1365" s="1" t="s">
        <v>45</v>
      </c>
      <c r="L1365" s="1" t="s">
        <v>46</v>
      </c>
      <c r="M1365" s="1" t="s">
        <v>115</v>
      </c>
      <c r="N1365" s="1" t="s">
        <v>116</v>
      </c>
      <c r="O1365" s="1">
        <v>1</v>
      </c>
      <c r="P1365" s="1">
        <v>1</v>
      </c>
      <c r="Q1365" s="1">
        <v>1</v>
      </c>
      <c r="R1365" s="1">
        <v>1</v>
      </c>
      <c r="S1365" s="1" t="s">
        <v>49</v>
      </c>
      <c r="T1365" s="1" t="s">
        <v>49</v>
      </c>
      <c r="U1365" s="1" t="s">
        <v>540</v>
      </c>
      <c r="V1365" s="1" t="s">
        <v>541</v>
      </c>
      <c r="W1365" s="1">
        <v>30.2</v>
      </c>
      <c r="X1365" s="1">
        <v>-84.4</v>
      </c>
      <c r="Y1365" s="1" t="s">
        <v>141</v>
      </c>
      <c r="Z1365" s="1" t="s">
        <v>49</v>
      </c>
      <c r="AA1365" s="6" t="s">
        <v>49</v>
      </c>
      <c r="AB1365" s="6" t="s">
        <v>49</v>
      </c>
      <c r="AC1365" s="6" t="s">
        <v>49</v>
      </c>
      <c r="AD1365" s="1" t="s">
        <v>559</v>
      </c>
      <c r="AE1365" s="1" t="s">
        <v>561</v>
      </c>
      <c r="AF1365" s="6" t="s">
        <v>49</v>
      </c>
      <c r="AG1365" s="6" t="s">
        <v>49</v>
      </c>
      <c r="AH1365" s="1" t="s">
        <v>123</v>
      </c>
      <c r="AI1365" s="1" t="s">
        <v>55</v>
      </c>
      <c r="AJ1365" s="20" t="s">
        <v>49</v>
      </c>
      <c r="AK1365" s="20" t="s">
        <v>49</v>
      </c>
      <c r="AL1365" s="20" t="s">
        <v>49</v>
      </c>
      <c r="AM1365" s="20" t="s">
        <v>49</v>
      </c>
      <c r="AN1365" s="1" t="s">
        <v>49</v>
      </c>
      <c r="AO1365" s="1" t="s">
        <v>49</v>
      </c>
      <c r="AP1365" s="6">
        <v>1</v>
      </c>
      <c r="AQ1365" s="6">
        <v>-0.42199999999999999</v>
      </c>
      <c r="AR1365" s="6" t="s">
        <v>49</v>
      </c>
      <c r="AS1365" s="6" t="s">
        <v>49</v>
      </c>
      <c r="AT1365" s="6" t="s">
        <v>49</v>
      </c>
      <c r="AU1365" s="6" t="s">
        <v>49</v>
      </c>
      <c r="AV1365" s="6" t="s">
        <v>49</v>
      </c>
      <c r="AW1365" s="9" t="s">
        <v>565</v>
      </c>
    </row>
    <row r="1366" spans="1:49">
      <c r="A1366" s="1">
        <v>44</v>
      </c>
      <c r="B1366" s="1" t="s">
        <v>38</v>
      </c>
      <c r="C1366" s="1" t="s">
        <v>38</v>
      </c>
      <c r="D1366" s="1" t="s">
        <v>535</v>
      </c>
      <c r="E1366" s="1" t="s">
        <v>40</v>
      </c>
      <c r="F1366" s="1">
        <v>2004</v>
      </c>
      <c r="G1366" s="1" t="s">
        <v>536</v>
      </c>
      <c r="H1366" s="3" t="s">
        <v>537</v>
      </c>
      <c r="I1366" s="3" t="s">
        <v>538</v>
      </c>
      <c r="J1366" s="1" t="s">
        <v>539</v>
      </c>
      <c r="K1366" s="1" t="s">
        <v>45</v>
      </c>
      <c r="L1366" s="1" t="s">
        <v>46</v>
      </c>
      <c r="M1366" s="1" t="s">
        <v>115</v>
      </c>
      <c r="N1366" s="1" t="s">
        <v>116</v>
      </c>
      <c r="O1366" s="1">
        <v>1</v>
      </c>
      <c r="P1366" s="1">
        <v>1</v>
      </c>
      <c r="Q1366" s="1">
        <v>1</v>
      </c>
      <c r="R1366" s="1">
        <v>1</v>
      </c>
      <c r="S1366" s="1" t="s">
        <v>49</v>
      </c>
      <c r="T1366" s="1" t="s">
        <v>49</v>
      </c>
      <c r="U1366" s="1" t="s">
        <v>540</v>
      </c>
      <c r="V1366" s="1" t="s">
        <v>541</v>
      </c>
      <c r="W1366" s="1">
        <v>30.2</v>
      </c>
      <c r="X1366" s="1">
        <v>-84.4</v>
      </c>
      <c r="Y1366" s="1" t="s">
        <v>141</v>
      </c>
      <c r="Z1366" s="1" t="s">
        <v>49</v>
      </c>
      <c r="AA1366" s="6" t="s">
        <v>49</v>
      </c>
      <c r="AB1366" s="6" t="s">
        <v>49</v>
      </c>
      <c r="AC1366" s="6" t="s">
        <v>49</v>
      </c>
      <c r="AD1366" s="1" t="s">
        <v>559</v>
      </c>
      <c r="AE1366" s="1" t="s">
        <v>562</v>
      </c>
      <c r="AF1366" s="6" t="s">
        <v>49</v>
      </c>
      <c r="AG1366" s="6" t="s">
        <v>49</v>
      </c>
      <c r="AH1366" s="1" t="s">
        <v>123</v>
      </c>
      <c r="AI1366" s="1" t="s">
        <v>55</v>
      </c>
      <c r="AJ1366" s="20" t="s">
        <v>49</v>
      </c>
      <c r="AK1366" s="20" t="s">
        <v>49</v>
      </c>
      <c r="AL1366" s="20" t="s">
        <v>49</v>
      </c>
      <c r="AM1366" s="20" t="s">
        <v>49</v>
      </c>
      <c r="AN1366" s="1" t="s">
        <v>49</v>
      </c>
      <c r="AO1366" s="1" t="s">
        <v>49</v>
      </c>
      <c r="AP1366" s="6">
        <v>1</v>
      </c>
      <c r="AQ1366" s="6">
        <v>0.77100000000000002</v>
      </c>
      <c r="AR1366" s="6" t="s">
        <v>49</v>
      </c>
      <c r="AS1366" s="6" t="s">
        <v>49</v>
      </c>
      <c r="AT1366" s="6" t="s">
        <v>49</v>
      </c>
      <c r="AU1366" s="6" t="s">
        <v>49</v>
      </c>
      <c r="AV1366" s="6" t="s">
        <v>49</v>
      </c>
      <c r="AW1366" s="9" t="s">
        <v>565</v>
      </c>
    </row>
    <row r="1367" spans="1:49">
      <c r="A1367" s="1">
        <v>44</v>
      </c>
      <c r="B1367" s="1" t="s">
        <v>38</v>
      </c>
      <c r="C1367" s="1" t="s">
        <v>38</v>
      </c>
      <c r="D1367" s="1" t="s">
        <v>535</v>
      </c>
      <c r="E1367" s="1" t="s">
        <v>40</v>
      </c>
      <c r="F1367" s="1">
        <v>2004</v>
      </c>
      <c r="G1367" s="1" t="s">
        <v>536</v>
      </c>
      <c r="H1367" s="3" t="s">
        <v>537</v>
      </c>
      <c r="I1367" s="3" t="s">
        <v>538</v>
      </c>
      <c r="J1367" s="1" t="s">
        <v>539</v>
      </c>
      <c r="K1367" s="1" t="s">
        <v>45</v>
      </c>
      <c r="L1367" s="1" t="s">
        <v>46</v>
      </c>
      <c r="M1367" s="1" t="s">
        <v>115</v>
      </c>
      <c r="N1367" s="1" t="s">
        <v>116</v>
      </c>
      <c r="O1367" s="1">
        <v>1</v>
      </c>
      <c r="P1367" s="1">
        <v>1</v>
      </c>
      <c r="Q1367" s="1">
        <v>1</v>
      </c>
      <c r="R1367" s="1">
        <v>1</v>
      </c>
      <c r="S1367" s="1" t="s">
        <v>49</v>
      </c>
      <c r="T1367" s="1" t="s">
        <v>49</v>
      </c>
      <c r="U1367" s="1" t="s">
        <v>540</v>
      </c>
      <c r="V1367" s="1" t="s">
        <v>541</v>
      </c>
      <c r="W1367" s="1">
        <v>30.2</v>
      </c>
      <c r="X1367" s="1">
        <v>-84.4</v>
      </c>
      <c r="Y1367" s="1" t="s">
        <v>141</v>
      </c>
      <c r="Z1367" s="1" t="s">
        <v>49</v>
      </c>
      <c r="AA1367" s="6" t="s">
        <v>49</v>
      </c>
      <c r="AB1367" s="6" t="s">
        <v>49</v>
      </c>
      <c r="AC1367" s="6" t="s">
        <v>49</v>
      </c>
      <c r="AD1367" s="1" t="s">
        <v>559</v>
      </c>
      <c r="AE1367" s="1" t="s">
        <v>563</v>
      </c>
      <c r="AF1367" s="6" t="s">
        <v>49</v>
      </c>
      <c r="AG1367" s="6" t="s">
        <v>49</v>
      </c>
      <c r="AH1367" s="1" t="s">
        <v>123</v>
      </c>
      <c r="AI1367" s="1" t="s">
        <v>55</v>
      </c>
      <c r="AJ1367" s="20" t="s">
        <v>49</v>
      </c>
      <c r="AK1367" s="20" t="s">
        <v>49</v>
      </c>
      <c r="AL1367" s="20" t="s">
        <v>49</v>
      </c>
      <c r="AM1367" s="20" t="s">
        <v>49</v>
      </c>
      <c r="AN1367" s="1" t="s">
        <v>49</v>
      </c>
      <c r="AO1367" s="1" t="s">
        <v>49</v>
      </c>
      <c r="AP1367" s="6">
        <v>1</v>
      </c>
      <c r="AQ1367" s="6">
        <v>1.391</v>
      </c>
      <c r="AR1367" s="6" t="s">
        <v>49</v>
      </c>
      <c r="AS1367" s="6" t="s">
        <v>49</v>
      </c>
      <c r="AT1367" s="6" t="s">
        <v>49</v>
      </c>
      <c r="AU1367" s="6" t="s">
        <v>49</v>
      </c>
      <c r="AV1367" s="6" t="s">
        <v>49</v>
      </c>
      <c r="AW1367" s="9" t="s">
        <v>565</v>
      </c>
    </row>
    <row r="1368" spans="1:49">
      <c r="A1368" s="1">
        <v>44</v>
      </c>
      <c r="B1368" s="1" t="s">
        <v>38</v>
      </c>
      <c r="C1368" s="1" t="s">
        <v>38</v>
      </c>
      <c r="D1368" s="1" t="s">
        <v>535</v>
      </c>
      <c r="E1368" s="1" t="s">
        <v>40</v>
      </c>
      <c r="F1368" s="1">
        <v>2004</v>
      </c>
      <c r="G1368" s="1" t="s">
        <v>536</v>
      </c>
      <c r="H1368" s="3" t="s">
        <v>537</v>
      </c>
      <c r="I1368" s="3" t="s">
        <v>538</v>
      </c>
      <c r="J1368" s="1" t="s">
        <v>539</v>
      </c>
      <c r="K1368" s="1" t="s">
        <v>45</v>
      </c>
      <c r="L1368" s="1" t="s">
        <v>46</v>
      </c>
      <c r="M1368" s="1" t="s">
        <v>115</v>
      </c>
      <c r="N1368" s="1" t="s">
        <v>116</v>
      </c>
      <c r="O1368" s="1">
        <v>1</v>
      </c>
      <c r="P1368" s="1">
        <v>1</v>
      </c>
      <c r="Q1368" s="1">
        <v>1</v>
      </c>
      <c r="R1368" s="1">
        <v>1</v>
      </c>
      <c r="S1368" s="1" t="s">
        <v>49</v>
      </c>
      <c r="T1368" s="1" t="s">
        <v>49</v>
      </c>
      <c r="U1368" s="1" t="s">
        <v>540</v>
      </c>
      <c r="V1368" s="1" t="s">
        <v>541</v>
      </c>
      <c r="W1368" s="1">
        <v>30.2</v>
      </c>
      <c r="X1368" s="1">
        <v>-84.4</v>
      </c>
      <c r="Y1368" s="1" t="s">
        <v>141</v>
      </c>
      <c r="Z1368" s="1" t="s">
        <v>49</v>
      </c>
      <c r="AA1368" s="6" t="s">
        <v>49</v>
      </c>
      <c r="AB1368" s="6" t="s">
        <v>49</v>
      </c>
      <c r="AC1368" s="6" t="s">
        <v>49</v>
      </c>
      <c r="AD1368" s="1" t="s">
        <v>559</v>
      </c>
      <c r="AE1368" s="1" t="s">
        <v>547</v>
      </c>
      <c r="AF1368" s="6" t="s">
        <v>49</v>
      </c>
      <c r="AG1368" s="6" t="s">
        <v>49</v>
      </c>
      <c r="AH1368" s="1" t="s">
        <v>123</v>
      </c>
      <c r="AI1368" s="1" t="s">
        <v>55</v>
      </c>
      <c r="AJ1368" s="20" t="s">
        <v>49</v>
      </c>
      <c r="AK1368" s="20" t="s">
        <v>49</v>
      </c>
      <c r="AL1368" s="20" t="s">
        <v>49</v>
      </c>
      <c r="AM1368" s="20" t="s">
        <v>49</v>
      </c>
      <c r="AN1368" s="1" t="s">
        <v>49</v>
      </c>
      <c r="AO1368" s="1" t="s">
        <v>49</v>
      </c>
      <c r="AP1368" s="6">
        <v>1</v>
      </c>
      <c r="AQ1368" s="6">
        <v>-0.17199999999999999</v>
      </c>
      <c r="AR1368" s="6" t="s">
        <v>49</v>
      </c>
      <c r="AS1368" s="6" t="s">
        <v>49</v>
      </c>
      <c r="AT1368" s="6" t="s">
        <v>49</v>
      </c>
      <c r="AU1368" s="6" t="s">
        <v>49</v>
      </c>
      <c r="AV1368" s="6" t="s">
        <v>49</v>
      </c>
      <c r="AW1368" s="9" t="s">
        <v>565</v>
      </c>
    </row>
    <row r="1369" spans="1:49">
      <c r="A1369" s="1">
        <v>44</v>
      </c>
      <c r="B1369" s="1" t="s">
        <v>38</v>
      </c>
      <c r="C1369" s="1" t="s">
        <v>38</v>
      </c>
      <c r="D1369" s="1" t="s">
        <v>535</v>
      </c>
      <c r="E1369" s="1" t="s">
        <v>40</v>
      </c>
      <c r="F1369" s="1">
        <v>2004</v>
      </c>
      <c r="G1369" s="1" t="s">
        <v>536</v>
      </c>
      <c r="H1369" s="3" t="s">
        <v>537</v>
      </c>
      <c r="I1369" s="3" t="s">
        <v>538</v>
      </c>
      <c r="J1369" s="1" t="s">
        <v>539</v>
      </c>
      <c r="K1369" s="1" t="s">
        <v>45</v>
      </c>
      <c r="L1369" s="1" t="s">
        <v>46</v>
      </c>
      <c r="M1369" s="1" t="s">
        <v>115</v>
      </c>
      <c r="N1369" s="1" t="s">
        <v>116</v>
      </c>
      <c r="O1369" s="1">
        <v>1</v>
      </c>
      <c r="P1369" s="1">
        <v>1</v>
      </c>
      <c r="Q1369" s="1">
        <v>1</v>
      </c>
      <c r="R1369" s="1">
        <v>1</v>
      </c>
      <c r="S1369" s="1" t="s">
        <v>49</v>
      </c>
      <c r="T1369" s="1" t="s">
        <v>49</v>
      </c>
      <c r="U1369" s="1" t="s">
        <v>540</v>
      </c>
      <c r="V1369" s="1" t="s">
        <v>541</v>
      </c>
      <c r="W1369" s="1">
        <v>30.2</v>
      </c>
      <c r="X1369" s="1">
        <v>-84.4</v>
      </c>
      <c r="Y1369" s="1" t="s">
        <v>141</v>
      </c>
      <c r="Z1369" s="1" t="s">
        <v>49</v>
      </c>
      <c r="AA1369" s="6" t="s">
        <v>49</v>
      </c>
      <c r="AB1369" s="6" t="s">
        <v>49</v>
      </c>
      <c r="AC1369" s="6" t="s">
        <v>49</v>
      </c>
      <c r="AD1369" s="1" t="s">
        <v>559</v>
      </c>
      <c r="AE1369" s="1" t="s">
        <v>542</v>
      </c>
      <c r="AF1369" s="6" t="s">
        <v>49</v>
      </c>
      <c r="AG1369" s="6" t="s">
        <v>49</v>
      </c>
      <c r="AH1369" s="1" t="s">
        <v>123</v>
      </c>
      <c r="AI1369" s="1" t="s">
        <v>55</v>
      </c>
      <c r="AJ1369" s="20" t="s">
        <v>49</v>
      </c>
      <c r="AK1369" s="20" t="s">
        <v>49</v>
      </c>
      <c r="AL1369" s="20" t="s">
        <v>49</v>
      </c>
      <c r="AM1369" s="20" t="s">
        <v>49</v>
      </c>
      <c r="AN1369" s="1" t="s">
        <v>49</v>
      </c>
      <c r="AO1369" s="1" t="s">
        <v>49</v>
      </c>
      <c r="AP1369" s="6">
        <v>1</v>
      </c>
      <c r="AQ1369" s="6">
        <v>0.85099999999999998</v>
      </c>
      <c r="AR1369" s="6" t="s">
        <v>49</v>
      </c>
      <c r="AS1369" s="6" t="s">
        <v>49</v>
      </c>
      <c r="AT1369" s="6" t="s">
        <v>49</v>
      </c>
      <c r="AU1369" s="6" t="s">
        <v>49</v>
      </c>
      <c r="AV1369" s="6" t="s">
        <v>49</v>
      </c>
      <c r="AW1369" s="9" t="s">
        <v>565</v>
      </c>
    </row>
    <row r="1370" spans="1:49">
      <c r="A1370" s="1">
        <v>44</v>
      </c>
      <c r="B1370" s="1" t="s">
        <v>38</v>
      </c>
      <c r="C1370" s="1" t="s">
        <v>38</v>
      </c>
      <c r="D1370" s="1" t="s">
        <v>535</v>
      </c>
      <c r="E1370" s="1" t="s">
        <v>40</v>
      </c>
      <c r="F1370" s="1">
        <v>2004</v>
      </c>
      <c r="G1370" s="1" t="s">
        <v>536</v>
      </c>
      <c r="H1370" s="3" t="s">
        <v>537</v>
      </c>
      <c r="I1370" s="3" t="s">
        <v>538</v>
      </c>
      <c r="J1370" s="1" t="s">
        <v>539</v>
      </c>
      <c r="K1370" s="1" t="s">
        <v>45</v>
      </c>
      <c r="L1370" s="1" t="s">
        <v>46</v>
      </c>
      <c r="M1370" s="1" t="s">
        <v>115</v>
      </c>
      <c r="N1370" s="1" t="s">
        <v>116</v>
      </c>
      <c r="O1370" s="1">
        <v>1</v>
      </c>
      <c r="P1370" s="1">
        <v>1</v>
      </c>
      <c r="Q1370" s="1">
        <v>1</v>
      </c>
      <c r="R1370" s="1">
        <v>1</v>
      </c>
      <c r="S1370" s="1" t="s">
        <v>49</v>
      </c>
      <c r="T1370" s="1" t="s">
        <v>49</v>
      </c>
      <c r="U1370" s="1" t="s">
        <v>540</v>
      </c>
      <c r="V1370" s="1" t="s">
        <v>541</v>
      </c>
      <c r="W1370" s="1">
        <v>30.2</v>
      </c>
      <c r="X1370" s="1">
        <v>-84.4</v>
      </c>
      <c r="Y1370" s="1" t="s">
        <v>141</v>
      </c>
      <c r="Z1370" s="1" t="s">
        <v>49</v>
      </c>
      <c r="AA1370" s="6" t="s">
        <v>49</v>
      </c>
      <c r="AB1370" s="6" t="s">
        <v>49</v>
      </c>
      <c r="AC1370" s="6" t="s">
        <v>49</v>
      </c>
      <c r="AD1370" s="1" t="s">
        <v>559</v>
      </c>
      <c r="AE1370" s="1" t="s">
        <v>52</v>
      </c>
      <c r="AF1370" s="6" t="s">
        <v>49</v>
      </c>
      <c r="AG1370" s="6" t="s">
        <v>49</v>
      </c>
      <c r="AH1370" s="1" t="s">
        <v>123</v>
      </c>
      <c r="AI1370" s="1" t="s">
        <v>55</v>
      </c>
      <c r="AJ1370" s="20" t="s">
        <v>49</v>
      </c>
      <c r="AK1370" s="20" t="s">
        <v>49</v>
      </c>
      <c r="AL1370" s="20" t="s">
        <v>49</v>
      </c>
      <c r="AM1370" s="20" t="s">
        <v>49</v>
      </c>
      <c r="AN1370" s="1" t="s">
        <v>49</v>
      </c>
      <c r="AO1370" s="1" t="s">
        <v>49</v>
      </c>
      <c r="AP1370" s="6">
        <v>1</v>
      </c>
      <c r="AQ1370" s="6">
        <v>-0.45500000000000002</v>
      </c>
      <c r="AR1370" s="6" t="s">
        <v>49</v>
      </c>
      <c r="AS1370" s="6" t="s">
        <v>49</v>
      </c>
      <c r="AT1370" s="6" t="s">
        <v>49</v>
      </c>
      <c r="AU1370" s="6" t="s">
        <v>49</v>
      </c>
      <c r="AV1370" s="6" t="s">
        <v>49</v>
      </c>
      <c r="AW1370" s="9" t="s">
        <v>565</v>
      </c>
    </row>
    <row r="1371" spans="1:49">
      <c r="A1371" s="1">
        <v>44</v>
      </c>
      <c r="B1371" s="1" t="s">
        <v>38</v>
      </c>
      <c r="C1371" s="1" t="s">
        <v>38</v>
      </c>
      <c r="D1371" s="1" t="s">
        <v>535</v>
      </c>
      <c r="E1371" s="1" t="s">
        <v>40</v>
      </c>
      <c r="F1371" s="1">
        <v>2004</v>
      </c>
      <c r="G1371" s="1" t="s">
        <v>536</v>
      </c>
      <c r="H1371" s="3" t="s">
        <v>537</v>
      </c>
      <c r="I1371" s="3" t="s">
        <v>538</v>
      </c>
      <c r="J1371" s="1" t="s">
        <v>539</v>
      </c>
      <c r="K1371" s="1" t="s">
        <v>45</v>
      </c>
      <c r="L1371" s="1" t="s">
        <v>46</v>
      </c>
      <c r="M1371" s="1" t="s">
        <v>115</v>
      </c>
      <c r="N1371" s="1" t="s">
        <v>116</v>
      </c>
      <c r="O1371" s="1">
        <v>1</v>
      </c>
      <c r="P1371" s="1">
        <v>1</v>
      </c>
      <c r="Q1371" s="1">
        <v>1</v>
      </c>
      <c r="R1371" s="1">
        <v>1</v>
      </c>
      <c r="S1371" s="1" t="s">
        <v>49</v>
      </c>
      <c r="T1371" s="1" t="s">
        <v>49</v>
      </c>
      <c r="U1371" s="1" t="s">
        <v>540</v>
      </c>
      <c r="V1371" s="1" t="s">
        <v>541</v>
      </c>
      <c r="W1371" s="1">
        <v>30.2</v>
      </c>
      <c r="X1371" s="1">
        <v>-84.4</v>
      </c>
      <c r="Y1371" s="1" t="s">
        <v>141</v>
      </c>
      <c r="Z1371" s="1" t="s">
        <v>49</v>
      </c>
      <c r="AA1371" s="6" t="s">
        <v>49</v>
      </c>
      <c r="AB1371" s="6" t="s">
        <v>49</v>
      </c>
      <c r="AC1371" s="6" t="s">
        <v>49</v>
      </c>
      <c r="AD1371" s="1" t="s">
        <v>560</v>
      </c>
      <c r="AE1371" s="1" t="s">
        <v>561</v>
      </c>
      <c r="AF1371" s="6" t="s">
        <v>49</v>
      </c>
      <c r="AG1371" s="6" t="s">
        <v>49</v>
      </c>
      <c r="AH1371" s="1" t="s">
        <v>123</v>
      </c>
      <c r="AI1371" s="1" t="s">
        <v>55</v>
      </c>
      <c r="AJ1371" s="20" t="s">
        <v>49</v>
      </c>
      <c r="AK1371" s="20" t="s">
        <v>49</v>
      </c>
      <c r="AL1371" s="20" t="s">
        <v>49</v>
      </c>
      <c r="AM1371" s="20" t="s">
        <v>49</v>
      </c>
      <c r="AN1371" s="1" t="s">
        <v>49</v>
      </c>
      <c r="AO1371" s="1" t="s">
        <v>49</v>
      </c>
      <c r="AP1371" s="6">
        <v>1</v>
      </c>
      <c r="AQ1371" s="6">
        <v>-0.69199999999999995</v>
      </c>
      <c r="AR1371" s="6" t="s">
        <v>49</v>
      </c>
      <c r="AS1371" s="6" t="s">
        <v>49</v>
      </c>
      <c r="AT1371" s="6" t="s">
        <v>49</v>
      </c>
      <c r="AU1371" s="6" t="s">
        <v>49</v>
      </c>
      <c r="AV1371" s="6" t="s">
        <v>49</v>
      </c>
      <c r="AW1371" s="9" t="s">
        <v>565</v>
      </c>
    </row>
    <row r="1372" spans="1:49">
      <c r="A1372" s="1">
        <v>44</v>
      </c>
      <c r="B1372" s="1" t="s">
        <v>38</v>
      </c>
      <c r="C1372" s="1" t="s">
        <v>38</v>
      </c>
      <c r="D1372" s="1" t="s">
        <v>535</v>
      </c>
      <c r="E1372" s="1" t="s">
        <v>40</v>
      </c>
      <c r="F1372" s="1">
        <v>2004</v>
      </c>
      <c r="G1372" s="1" t="s">
        <v>536</v>
      </c>
      <c r="H1372" s="3" t="s">
        <v>537</v>
      </c>
      <c r="I1372" s="3" t="s">
        <v>538</v>
      </c>
      <c r="J1372" s="1" t="s">
        <v>539</v>
      </c>
      <c r="K1372" s="1" t="s">
        <v>45</v>
      </c>
      <c r="L1372" s="1" t="s">
        <v>46</v>
      </c>
      <c r="M1372" s="1" t="s">
        <v>115</v>
      </c>
      <c r="N1372" s="1" t="s">
        <v>116</v>
      </c>
      <c r="O1372" s="1">
        <v>1</v>
      </c>
      <c r="P1372" s="1">
        <v>1</v>
      </c>
      <c r="Q1372" s="1">
        <v>1</v>
      </c>
      <c r="R1372" s="1">
        <v>1</v>
      </c>
      <c r="S1372" s="1" t="s">
        <v>49</v>
      </c>
      <c r="T1372" s="1" t="s">
        <v>49</v>
      </c>
      <c r="U1372" s="1" t="s">
        <v>540</v>
      </c>
      <c r="V1372" s="1" t="s">
        <v>541</v>
      </c>
      <c r="W1372" s="1">
        <v>30.2</v>
      </c>
      <c r="X1372" s="1">
        <v>-84.4</v>
      </c>
      <c r="Y1372" s="1" t="s">
        <v>141</v>
      </c>
      <c r="Z1372" s="1" t="s">
        <v>49</v>
      </c>
      <c r="AA1372" s="6" t="s">
        <v>49</v>
      </c>
      <c r="AB1372" s="6" t="s">
        <v>49</v>
      </c>
      <c r="AC1372" s="6" t="s">
        <v>49</v>
      </c>
      <c r="AD1372" s="1" t="s">
        <v>560</v>
      </c>
      <c r="AE1372" s="1" t="s">
        <v>562</v>
      </c>
      <c r="AF1372" s="6" t="s">
        <v>49</v>
      </c>
      <c r="AG1372" s="6" t="s">
        <v>49</v>
      </c>
      <c r="AH1372" s="1" t="s">
        <v>123</v>
      </c>
      <c r="AI1372" s="1" t="s">
        <v>55</v>
      </c>
      <c r="AJ1372" s="20" t="s">
        <v>49</v>
      </c>
      <c r="AK1372" s="20" t="s">
        <v>49</v>
      </c>
      <c r="AL1372" s="20" t="s">
        <v>49</v>
      </c>
      <c r="AM1372" s="20" t="s">
        <v>49</v>
      </c>
      <c r="AN1372" s="1" t="s">
        <v>49</v>
      </c>
      <c r="AO1372" s="1" t="s">
        <v>49</v>
      </c>
      <c r="AP1372" s="6">
        <v>1</v>
      </c>
      <c r="AQ1372" s="6">
        <v>0.63100000000000001</v>
      </c>
      <c r="AR1372" s="6" t="s">
        <v>49</v>
      </c>
      <c r="AS1372" s="6" t="s">
        <v>49</v>
      </c>
      <c r="AT1372" s="6" t="s">
        <v>49</v>
      </c>
      <c r="AU1372" s="6" t="s">
        <v>49</v>
      </c>
      <c r="AV1372" s="6" t="s">
        <v>49</v>
      </c>
      <c r="AW1372" s="9" t="s">
        <v>565</v>
      </c>
    </row>
    <row r="1373" spans="1:49">
      <c r="A1373" s="1">
        <v>44</v>
      </c>
      <c r="B1373" s="1" t="s">
        <v>38</v>
      </c>
      <c r="C1373" s="1" t="s">
        <v>38</v>
      </c>
      <c r="D1373" s="1" t="s">
        <v>535</v>
      </c>
      <c r="E1373" s="1" t="s">
        <v>40</v>
      </c>
      <c r="F1373" s="1">
        <v>2004</v>
      </c>
      <c r="G1373" s="1" t="s">
        <v>536</v>
      </c>
      <c r="H1373" s="3" t="s">
        <v>537</v>
      </c>
      <c r="I1373" s="3" t="s">
        <v>538</v>
      </c>
      <c r="J1373" s="1" t="s">
        <v>539</v>
      </c>
      <c r="K1373" s="1" t="s">
        <v>45</v>
      </c>
      <c r="L1373" s="1" t="s">
        <v>46</v>
      </c>
      <c r="M1373" s="1" t="s">
        <v>115</v>
      </c>
      <c r="N1373" s="1" t="s">
        <v>116</v>
      </c>
      <c r="O1373" s="1">
        <v>1</v>
      </c>
      <c r="P1373" s="1">
        <v>1</v>
      </c>
      <c r="Q1373" s="1">
        <v>1</v>
      </c>
      <c r="R1373" s="1">
        <v>1</v>
      </c>
      <c r="S1373" s="1" t="s">
        <v>49</v>
      </c>
      <c r="T1373" s="1" t="s">
        <v>49</v>
      </c>
      <c r="U1373" s="1" t="s">
        <v>540</v>
      </c>
      <c r="V1373" s="1" t="s">
        <v>541</v>
      </c>
      <c r="W1373" s="1">
        <v>30.2</v>
      </c>
      <c r="X1373" s="1">
        <v>-84.4</v>
      </c>
      <c r="Y1373" s="1" t="s">
        <v>141</v>
      </c>
      <c r="Z1373" s="1" t="s">
        <v>49</v>
      </c>
      <c r="AA1373" s="6" t="s">
        <v>49</v>
      </c>
      <c r="AB1373" s="6" t="s">
        <v>49</v>
      </c>
      <c r="AC1373" s="6" t="s">
        <v>49</v>
      </c>
      <c r="AD1373" s="1" t="s">
        <v>560</v>
      </c>
      <c r="AE1373" s="1" t="s">
        <v>563</v>
      </c>
      <c r="AF1373" s="6" t="s">
        <v>49</v>
      </c>
      <c r="AG1373" s="6" t="s">
        <v>49</v>
      </c>
      <c r="AH1373" s="1" t="s">
        <v>123</v>
      </c>
      <c r="AI1373" s="1" t="s">
        <v>55</v>
      </c>
      <c r="AJ1373" s="20" t="s">
        <v>49</v>
      </c>
      <c r="AK1373" s="20" t="s">
        <v>49</v>
      </c>
      <c r="AL1373" s="20" t="s">
        <v>49</v>
      </c>
      <c r="AM1373" s="20" t="s">
        <v>49</v>
      </c>
      <c r="AN1373" s="1" t="s">
        <v>49</v>
      </c>
      <c r="AO1373" s="1" t="s">
        <v>49</v>
      </c>
      <c r="AP1373" s="6">
        <v>1</v>
      </c>
      <c r="AQ1373" s="6">
        <v>1.538</v>
      </c>
      <c r="AR1373" s="6" t="s">
        <v>49</v>
      </c>
      <c r="AS1373" s="6" t="s">
        <v>49</v>
      </c>
      <c r="AT1373" s="6" t="s">
        <v>49</v>
      </c>
      <c r="AU1373" s="6" t="s">
        <v>49</v>
      </c>
      <c r="AV1373" s="6" t="s">
        <v>49</v>
      </c>
      <c r="AW1373" s="9" t="s">
        <v>565</v>
      </c>
    </row>
    <row r="1374" spans="1:49">
      <c r="A1374" s="1">
        <v>44</v>
      </c>
      <c r="B1374" s="1" t="s">
        <v>38</v>
      </c>
      <c r="C1374" s="1" t="s">
        <v>38</v>
      </c>
      <c r="D1374" s="1" t="s">
        <v>535</v>
      </c>
      <c r="E1374" s="1" t="s">
        <v>40</v>
      </c>
      <c r="F1374" s="1">
        <v>2004</v>
      </c>
      <c r="G1374" s="1" t="s">
        <v>536</v>
      </c>
      <c r="H1374" s="3" t="s">
        <v>537</v>
      </c>
      <c r="I1374" s="3" t="s">
        <v>538</v>
      </c>
      <c r="J1374" s="1" t="s">
        <v>539</v>
      </c>
      <c r="K1374" s="1" t="s">
        <v>45</v>
      </c>
      <c r="L1374" s="1" t="s">
        <v>46</v>
      </c>
      <c r="M1374" s="1" t="s">
        <v>115</v>
      </c>
      <c r="N1374" s="1" t="s">
        <v>116</v>
      </c>
      <c r="O1374" s="1">
        <v>1</v>
      </c>
      <c r="P1374" s="1">
        <v>1</v>
      </c>
      <c r="Q1374" s="1">
        <v>1</v>
      </c>
      <c r="R1374" s="1">
        <v>1</v>
      </c>
      <c r="S1374" s="1" t="s">
        <v>49</v>
      </c>
      <c r="T1374" s="1" t="s">
        <v>49</v>
      </c>
      <c r="U1374" s="1" t="s">
        <v>540</v>
      </c>
      <c r="V1374" s="1" t="s">
        <v>541</v>
      </c>
      <c r="W1374" s="1">
        <v>30.2</v>
      </c>
      <c r="X1374" s="1">
        <v>-84.4</v>
      </c>
      <c r="Y1374" s="1" t="s">
        <v>141</v>
      </c>
      <c r="Z1374" s="1" t="s">
        <v>49</v>
      </c>
      <c r="AA1374" s="6" t="s">
        <v>49</v>
      </c>
      <c r="AB1374" s="6" t="s">
        <v>49</v>
      </c>
      <c r="AC1374" s="6" t="s">
        <v>49</v>
      </c>
      <c r="AD1374" s="1" t="s">
        <v>560</v>
      </c>
      <c r="AE1374" s="1" t="s">
        <v>547</v>
      </c>
      <c r="AF1374" s="6" t="s">
        <v>49</v>
      </c>
      <c r="AG1374" s="6" t="s">
        <v>49</v>
      </c>
      <c r="AH1374" s="1" t="s">
        <v>123</v>
      </c>
      <c r="AI1374" s="1" t="s">
        <v>55</v>
      </c>
      <c r="AJ1374" s="20" t="s">
        <v>49</v>
      </c>
      <c r="AK1374" s="20" t="s">
        <v>49</v>
      </c>
      <c r="AL1374" s="20" t="s">
        <v>49</v>
      </c>
      <c r="AM1374" s="20" t="s">
        <v>49</v>
      </c>
      <c r="AN1374" s="1" t="s">
        <v>49</v>
      </c>
      <c r="AO1374" s="1" t="s">
        <v>49</v>
      </c>
      <c r="AP1374" s="6">
        <v>1</v>
      </c>
      <c r="AQ1374" s="6">
        <v>0.98899999999999999</v>
      </c>
      <c r="AR1374" s="6" t="s">
        <v>49</v>
      </c>
      <c r="AS1374" s="6" t="s">
        <v>49</v>
      </c>
      <c r="AT1374" s="6" t="s">
        <v>49</v>
      </c>
      <c r="AU1374" s="6" t="s">
        <v>49</v>
      </c>
      <c r="AV1374" s="6" t="s">
        <v>49</v>
      </c>
      <c r="AW1374" s="9" t="s">
        <v>565</v>
      </c>
    </row>
    <row r="1375" spans="1:49">
      <c r="A1375" s="1">
        <v>44</v>
      </c>
      <c r="B1375" s="1" t="s">
        <v>38</v>
      </c>
      <c r="C1375" s="1" t="s">
        <v>38</v>
      </c>
      <c r="D1375" s="1" t="s">
        <v>535</v>
      </c>
      <c r="E1375" s="1" t="s">
        <v>40</v>
      </c>
      <c r="F1375" s="1">
        <v>2004</v>
      </c>
      <c r="G1375" s="1" t="s">
        <v>536</v>
      </c>
      <c r="H1375" s="3" t="s">
        <v>537</v>
      </c>
      <c r="I1375" s="3" t="s">
        <v>538</v>
      </c>
      <c r="J1375" s="1" t="s">
        <v>539</v>
      </c>
      <c r="K1375" s="1" t="s">
        <v>45</v>
      </c>
      <c r="L1375" s="1" t="s">
        <v>46</v>
      </c>
      <c r="M1375" s="1" t="s">
        <v>115</v>
      </c>
      <c r="N1375" s="1" t="s">
        <v>116</v>
      </c>
      <c r="O1375" s="1">
        <v>1</v>
      </c>
      <c r="P1375" s="1">
        <v>1</v>
      </c>
      <c r="Q1375" s="1">
        <v>1</v>
      </c>
      <c r="R1375" s="1">
        <v>1</v>
      </c>
      <c r="S1375" s="1" t="s">
        <v>49</v>
      </c>
      <c r="T1375" s="1" t="s">
        <v>49</v>
      </c>
      <c r="U1375" s="1" t="s">
        <v>540</v>
      </c>
      <c r="V1375" s="1" t="s">
        <v>541</v>
      </c>
      <c r="W1375" s="1">
        <v>30.2</v>
      </c>
      <c r="X1375" s="1">
        <v>-84.4</v>
      </c>
      <c r="Y1375" s="1" t="s">
        <v>141</v>
      </c>
      <c r="Z1375" s="1" t="s">
        <v>49</v>
      </c>
      <c r="AA1375" s="6" t="s">
        <v>49</v>
      </c>
      <c r="AB1375" s="6" t="s">
        <v>49</v>
      </c>
      <c r="AC1375" s="6" t="s">
        <v>49</v>
      </c>
      <c r="AD1375" s="1" t="s">
        <v>560</v>
      </c>
      <c r="AE1375" s="1" t="s">
        <v>542</v>
      </c>
      <c r="AF1375" s="6" t="s">
        <v>49</v>
      </c>
      <c r="AG1375" s="6" t="s">
        <v>49</v>
      </c>
      <c r="AH1375" s="1" t="s">
        <v>123</v>
      </c>
      <c r="AI1375" s="1" t="s">
        <v>55</v>
      </c>
      <c r="AJ1375" s="20" t="s">
        <v>49</v>
      </c>
      <c r="AK1375" s="20" t="s">
        <v>49</v>
      </c>
      <c r="AL1375" s="20" t="s">
        <v>49</v>
      </c>
      <c r="AM1375" s="20" t="s">
        <v>49</v>
      </c>
      <c r="AN1375" s="1" t="s">
        <v>49</v>
      </c>
      <c r="AO1375" s="1" t="s">
        <v>49</v>
      </c>
      <c r="AP1375" s="6">
        <v>1</v>
      </c>
      <c r="AQ1375" s="6">
        <v>0.77600000000000002</v>
      </c>
      <c r="AR1375" s="6" t="s">
        <v>49</v>
      </c>
      <c r="AS1375" s="6" t="s">
        <v>49</v>
      </c>
      <c r="AT1375" s="6" t="s">
        <v>49</v>
      </c>
      <c r="AU1375" s="6" t="s">
        <v>49</v>
      </c>
      <c r="AV1375" s="6" t="s">
        <v>49</v>
      </c>
      <c r="AW1375" s="9" t="s">
        <v>565</v>
      </c>
    </row>
    <row r="1376" spans="1:49">
      <c r="A1376" s="1">
        <v>44</v>
      </c>
      <c r="B1376" s="1" t="s">
        <v>38</v>
      </c>
      <c r="C1376" s="1" t="s">
        <v>38</v>
      </c>
      <c r="D1376" s="1" t="s">
        <v>535</v>
      </c>
      <c r="E1376" s="1" t="s">
        <v>40</v>
      </c>
      <c r="F1376" s="1">
        <v>2004</v>
      </c>
      <c r="G1376" s="1" t="s">
        <v>536</v>
      </c>
      <c r="H1376" s="3" t="s">
        <v>537</v>
      </c>
      <c r="I1376" s="3" t="s">
        <v>538</v>
      </c>
      <c r="J1376" s="1" t="s">
        <v>539</v>
      </c>
      <c r="K1376" s="1" t="s">
        <v>45</v>
      </c>
      <c r="L1376" s="1" t="s">
        <v>46</v>
      </c>
      <c r="M1376" s="1" t="s">
        <v>115</v>
      </c>
      <c r="N1376" s="1" t="s">
        <v>116</v>
      </c>
      <c r="O1376" s="1">
        <v>1</v>
      </c>
      <c r="P1376" s="1">
        <v>1</v>
      </c>
      <c r="Q1376" s="1">
        <v>1</v>
      </c>
      <c r="R1376" s="1">
        <v>1</v>
      </c>
      <c r="S1376" s="1" t="s">
        <v>49</v>
      </c>
      <c r="T1376" s="1" t="s">
        <v>49</v>
      </c>
      <c r="U1376" s="1" t="s">
        <v>540</v>
      </c>
      <c r="V1376" s="1" t="s">
        <v>541</v>
      </c>
      <c r="W1376" s="1">
        <v>30.2</v>
      </c>
      <c r="X1376" s="1">
        <v>-84.4</v>
      </c>
      <c r="Y1376" s="1" t="s">
        <v>141</v>
      </c>
      <c r="Z1376" s="1" t="s">
        <v>49</v>
      </c>
      <c r="AA1376" s="6" t="s">
        <v>49</v>
      </c>
      <c r="AB1376" s="6" t="s">
        <v>49</v>
      </c>
      <c r="AC1376" s="6" t="s">
        <v>49</v>
      </c>
      <c r="AD1376" s="1" t="s">
        <v>560</v>
      </c>
      <c r="AE1376" s="1" t="s">
        <v>52</v>
      </c>
      <c r="AF1376" s="6" t="s">
        <v>49</v>
      </c>
      <c r="AG1376" s="6" t="s">
        <v>49</v>
      </c>
      <c r="AH1376" s="1" t="s">
        <v>123</v>
      </c>
      <c r="AI1376" s="1" t="s">
        <v>55</v>
      </c>
      <c r="AJ1376" s="20" t="s">
        <v>49</v>
      </c>
      <c r="AK1376" s="20" t="s">
        <v>49</v>
      </c>
      <c r="AL1376" s="20" t="s">
        <v>49</v>
      </c>
      <c r="AM1376" s="20" t="s">
        <v>49</v>
      </c>
      <c r="AN1376" s="1" t="s">
        <v>49</v>
      </c>
      <c r="AO1376" s="1" t="s">
        <v>49</v>
      </c>
      <c r="AP1376" s="6">
        <v>1</v>
      </c>
      <c r="AQ1376" s="6">
        <v>1.161</v>
      </c>
      <c r="AR1376" s="6" t="s">
        <v>49</v>
      </c>
      <c r="AS1376" s="6" t="s">
        <v>49</v>
      </c>
      <c r="AT1376" s="6" t="s">
        <v>49</v>
      </c>
      <c r="AU1376" s="6" t="s">
        <v>49</v>
      </c>
      <c r="AV1376" s="6" t="s">
        <v>49</v>
      </c>
      <c r="AW1376" s="9" t="s">
        <v>565</v>
      </c>
    </row>
    <row r="1377" spans="1:49">
      <c r="A1377" s="1">
        <v>44</v>
      </c>
      <c r="B1377" s="1" t="s">
        <v>38</v>
      </c>
      <c r="C1377" s="1" t="s">
        <v>38</v>
      </c>
      <c r="D1377" s="1" t="s">
        <v>535</v>
      </c>
      <c r="E1377" s="1" t="s">
        <v>40</v>
      </c>
      <c r="F1377" s="1">
        <v>2004</v>
      </c>
      <c r="G1377" s="1" t="s">
        <v>536</v>
      </c>
      <c r="H1377" s="3" t="s">
        <v>537</v>
      </c>
      <c r="I1377" s="3" t="s">
        <v>538</v>
      </c>
      <c r="J1377" s="1" t="s">
        <v>539</v>
      </c>
      <c r="K1377" s="1" t="s">
        <v>45</v>
      </c>
      <c r="L1377" s="1" t="s">
        <v>46</v>
      </c>
      <c r="M1377" s="1" t="s">
        <v>115</v>
      </c>
      <c r="N1377" s="1" t="s">
        <v>116</v>
      </c>
      <c r="O1377" s="1">
        <v>1</v>
      </c>
      <c r="P1377" s="1">
        <v>1</v>
      </c>
      <c r="Q1377" s="1">
        <v>1</v>
      </c>
      <c r="R1377" s="1">
        <v>1</v>
      </c>
      <c r="S1377" s="1" t="s">
        <v>49</v>
      </c>
      <c r="T1377" s="1" t="s">
        <v>49</v>
      </c>
      <c r="U1377" s="1" t="s">
        <v>540</v>
      </c>
      <c r="V1377" s="1" t="s">
        <v>541</v>
      </c>
      <c r="W1377" s="1">
        <v>30.2</v>
      </c>
      <c r="X1377" s="1">
        <v>-84.4</v>
      </c>
      <c r="Y1377" s="1" t="s">
        <v>141</v>
      </c>
      <c r="Z1377" s="1" t="s">
        <v>49</v>
      </c>
      <c r="AA1377" s="6" t="s">
        <v>49</v>
      </c>
      <c r="AB1377" s="6" t="s">
        <v>49</v>
      </c>
      <c r="AC1377" s="6" t="s">
        <v>49</v>
      </c>
      <c r="AD1377" s="1" t="s">
        <v>561</v>
      </c>
      <c r="AE1377" s="1" t="s">
        <v>562</v>
      </c>
      <c r="AF1377" s="6" t="s">
        <v>49</v>
      </c>
      <c r="AG1377" s="6" t="s">
        <v>49</v>
      </c>
      <c r="AH1377" s="1" t="s">
        <v>123</v>
      </c>
      <c r="AI1377" s="1" t="s">
        <v>55</v>
      </c>
      <c r="AJ1377" s="20" t="s">
        <v>49</v>
      </c>
      <c r="AK1377" s="20" t="s">
        <v>49</v>
      </c>
      <c r="AL1377" s="20" t="s">
        <v>49</v>
      </c>
      <c r="AM1377" s="20" t="s">
        <v>49</v>
      </c>
      <c r="AN1377" s="1" t="s">
        <v>49</v>
      </c>
      <c r="AO1377" s="1" t="s">
        <v>49</v>
      </c>
      <c r="AP1377" s="6">
        <v>1</v>
      </c>
      <c r="AQ1377" s="6">
        <v>-0.16400000000000001</v>
      </c>
      <c r="AR1377" s="6" t="s">
        <v>49</v>
      </c>
      <c r="AS1377" s="6" t="s">
        <v>49</v>
      </c>
      <c r="AT1377" s="6" t="s">
        <v>49</v>
      </c>
      <c r="AU1377" s="6" t="s">
        <v>49</v>
      </c>
      <c r="AV1377" s="6" t="s">
        <v>49</v>
      </c>
      <c r="AW1377" s="9" t="s">
        <v>565</v>
      </c>
    </row>
    <row r="1378" spans="1:49">
      <c r="A1378" s="1">
        <v>44</v>
      </c>
      <c r="B1378" s="1" t="s">
        <v>38</v>
      </c>
      <c r="C1378" s="1" t="s">
        <v>38</v>
      </c>
      <c r="D1378" s="1" t="s">
        <v>535</v>
      </c>
      <c r="E1378" s="1" t="s">
        <v>40</v>
      </c>
      <c r="F1378" s="1">
        <v>2004</v>
      </c>
      <c r="G1378" s="1" t="s">
        <v>536</v>
      </c>
      <c r="H1378" s="3" t="s">
        <v>537</v>
      </c>
      <c r="I1378" s="3" t="s">
        <v>538</v>
      </c>
      <c r="J1378" s="1" t="s">
        <v>539</v>
      </c>
      <c r="K1378" s="1" t="s">
        <v>45</v>
      </c>
      <c r="L1378" s="1" t="s">
        <v>46</v>
      </c>
      <c r="M1378" s="1" t="s">
        <v>115</v>
      </c>
      <c r="N1378" s="1" t="s">
        <v>116</v>
      </c>
      <c r="O1378" s="1">
        <v>1</v>
      </c>
      <c r="P1378" s="1">
        <v>1</v>
      </c>
      <c r="Q1378" s="1">
        <v>1</v>
      </c>
      <c r="R1378" s="1">
        <v>1</v>
      </c>
      <c r="S1378" s="1" t="s">
        <v>49</v>
      </c>
      <c r="T1378" s="1" t="s">
        <v>49</v>
      </c>
      <c r="U1378" s="1" t="s">
        <v>540</v>
      </c>
      <c r="V1378" s="1" t="s">
        <v>541</v>
      </c>
      <c r="W1378" s="1">
        <v>30.2</v>
      </c>
      <c r="X1378" s="1">
        <v>-84.4</v>
      </c>
      <c r="Y1378" s="1" t="s">
        <v>141</v>
      </c>
      <c r="Z1378" s="1" t="s">
        <v>49</v>
      </c>
      <c r="AA1378" s="6" t="s">
        <v>49</v>
      </c>
      <c r="AB1378" s="6" t="s">
        <v>49</v>
      </c>
      <c r="AC1378" s="6" t="s">
        <v>49</v>
      </c>
      <c r="AD1378" s="1" t="s">
        <v>561</v>
      </c>
      <c r="AE1378" s="1" t="s">
        <v>563</v>
      </c>
      <c r="AF1378" s="6" t="s">
        <v>49</v>
      </c>
      <c r="AG1378" s="6" t="s">
        <v>49</v>
      </c>
      <c r="AH1378" s="1" t="s">
        <v>123</v>
      </c>
      <c r="AI1378" s="1" t="s">
        <v>55</v>
      </c>
      <c r="AJ1378" s="20" t="s">
        <v>49</v>
      </c>
      <c r="AK1378" s="20" t="s">
        <v>49</v>
      </c>
      <c r="AL1378" s="20" t="s">
        <v>49</v>
      </c>
      <c r="AM1378" s="20" t="s">
        <v>49</v>
      </c>
      <c r="AN1378" s="1" t="s">
        <v>49</v>
      </c>
      <c r="AO1378" s="1" t="s">
        <v>49</v>
      </c>
      <c r="AP1378" s="6">
        <v>1</v>
      </c>
      <c r="AQ1378" s="6">
        <v>-1.105</v>
      </c>
      <c r="AR1378" s="6" t="s">
        <v>49</v>
      </c>
      <c r="AS1378" s="6" t="s">
        <v>49</v>
      </c>
      <c r="AT1378" s="6" t="s">
        <v>49</v>
      </c>
      <c r="AU1378" s="6" t="s">
        <v>49</v>
      </c>
      <c r="AV1378" s="6" t="s">
        <v>49</v>
      </c>
      <c r="AW1378" s="9" t="s">
        <v>565</v>
      </c>
    </row>
    <row r="1379" spans="1:49">
      <c r="A1379" s="1">
        <v>44</v>
      </c>
      <c r="B1379" s="1" t="s">
        <v>38</v>
      </c>
      <c r="C1379" s="1" t="s">
        <v>38</v>
      </c>
      <c r="D1379" s="1" t="s">
        <v>535</v>
      </c>
      <c r="E1379" s="1" t="s">
        <v>40</v>
      </c>
      <c r="F1379" s="1">
        <v>2004</v>
      </c>
      <c r="G1379" s="1" t="s">
        <v>536</v>
      </c>
      <c r="H1379" s="3" t="s">
        <v>537</v>
      </c>
      <c r="I1379" s="3" t="s">
        <v>538</v>
      </c>
      <c r="J1379" s="1" t="s">
        <v>539</v>
      </c>
      <c r="K1379" s="1" t="s">
        <v>45</v>
      </c>
      <c r="L1379" s="1" t="s">
        <v>46</v>
      </c>
      <c r="M1379" s="1" t="s">
        <v>115</v>
      </c>
      <c r="N1379" s="1" t="s">
        <v>116</v>
      </c>
      <c r="O1379" s="1">
        <v>1</v>
      </c>
      <c r="P1379" s="1">
        <v>1</v>
      </c>
      <c r="Q1379" s="1">
        <v>1</v>
      </c>
      <c r="R1379" s="1">
        <v>1</v>
      </c>
      <c r="S1379" s="1" t="s">
        <v>49</v>
      </c>
      <c r="T1379" s="1" t="s">
        <v>49</v>
      </c>
      <c r="U1379" s="1" t="s">
        <v>540</v>
      </c>
      <c r="V1379" s="1" t="s">
        <v>541</v>
      </c>
      <c r="W1379" s="1">
        <v>30.2</v>
      </c>
      <c r="X1379" s="1">
        <v>-84.4</v>
      </c>
      <c r="Y1379" s="1" t="s">
        <v>141</v>
      </c>
      <c r="Z1379" s="1" t="s">
        <v>49</v>
      </c>
      <c r="AA1379" s="6" t="s">
        <v>49</v>
      </c>
      <c r="AB1379" s="6" t="s">
        <v>49</v>
      </c>
      <c r="AC1379" s="6" t="s">
        <v>49</v>
      </c>
      <c r="AD1379" s="1" t="s">
        <v>561</v>
      </c>
      <c r="AE1379" s="1" t="s">
        <v>547</v>
      </c>
      <c r="AF1379" s="6" t="s">
        <v>49</v>
      </c>
      <c r="AG1379" s="6" t="s">
        <v>49</v>
      </c>
      <c r="AH1379" s="1" t="s">
        <v>123</v>
      </c>
      <c r="AI1379" s="1" t="s">
        <v>55</v>
      </c>
      <c r="AJ1379" s="20" t="s">
        <v>49</v>
      </c>
      <c r="AK1379" s="20" t="s">
        <v>49</v>
      </c>
      <c r="AL1379" s="20" t="s">
        <v>49</v>
      </c>
      <c r="AM1379" s="20" t="s">
        <v>49</v>
      </c>
      <c r="AN1379" s="1" t="s">
        <v>49</v>
      </c>
      <c r="AO1379" s="1" t="s">
        <v>49</v>
      </c>
      <c r="AP1379" s="6">
        <v>1</v>
      </c>
      <c r="AQ1379" s="6">
        <v>0.76700000000000002</v>
      </c>
      <c r="AR1379" s="6" t="s">
        <v>49</v>
      </c>
      <c r="AS1379" s="6" t="s">
        <v>49</v>
      </c>
      <c r="AT1379" s="6" t="s">
        <v>49</v>
      </c>
      <c r="AU1379" s="6" t="s">
        <v>49</v>
      </c>
      <c r="AV1379" s="6" t="s">
        <v>49</v>
      </c>
      <c r="AW1379" s="9" t="s">
        <v>565</v>
      </c>
    </row>
    <row r="1380" spans="1:49">
      <c r="A1380" s="1">
        <v>44</v>
      </c>
      <c r="B1380" s="1" t="s">
        <v>38</v>
      </c>
      <c r="C1380" s="1" t="s">
        <v>38</v>
      </c>
      <c r="D1380" s="1" t="s">
        <v>535</v>
      </c>
      <c r="E1380" s="1" t="s">
        <v>40</v>
      </c>
      <c r="F1380" s="1">
        <v>2004</v>
      </c>
      <c r="G1380" s="1" t="s">
        <v>536</v>
      </c>
      <c r="H1380" s="3" t="s">
        <v>537</v>
      </c>
      <c r="I1380" s="3" t="s">
        <v>538</v>
      </c>
      <c r="J1380" s="1" t="s">
        <v>539</v>
      </c>
      <c r="K1380" s="1" t="s">
        <v>45</v>
      </c>
      <c r="L1380" s="1" t="s">
        <v>46</v>
      </c>
      <c r="M1380" s="1" t="s">
        <v>115</v>
      </c>
      <c r="N1380" s="1" t="s">
        <v>116</v>
      </c>
      <c r="O1380" s="1">
        <v>1</v>
      </c>
      <c r="P1380" s="1">
        <v>1</v>
      </c>
      <c r="Q1380" s="1">
        <v>1</v>
      </c>
      <c r="R1380" s="1">
        <v>1</v>
      </c>
      <c r="S1380" s="1" t="s">
        <v>49</v>
      </c>
      <c r="T1380" s="1" t="s">
        <v>49</v>
      </c>
      <c r="U1380" s="1" t="s">
        <v>540</v>
      </c>
      <c r="V1380" s="1" t="s">
        <v>541</v>
      </c>
      <c r="W1380" s="1">
        <v>30.2</v>
      </c>
      <c r="X1380" s="1">
        <v>-84.4</v>
      </c>
      <c r="Y1380" s="1" t="s">
        <v>141</v>
      </c>
      <c r="Z1380" s="1" t="s">
        <v>49</v>
      </c>
      <c r="AA1380" s="6" t="s">
        <v>49</v>
      </c>
      <c r="AB1380" s="6" t="s">
        <v>49</v>
      </c>
      <c r="AC1380" s="6" t="s">
        <v>49</v>
      </c>
      <c r="AD1380" s="1" t="s">
        <v>561</v>
      </c>
      <c r="AE1380" s="1" t="s">
        <v>542</v>
      </c>
      <c r="AF1380" s="6" t="s">
        <v>49</v>
      </c>
      <c r="AG1380" s="6" t="s">
        <v>49</v>
      </c>
      <c r="AH1380" s="1" t="s">
        <v>123</v>
      </c>
      <c r="AI1380" s="1" t="s">
        <v>55</v>
      </c>
      <c r="AJ1380" s="20" t="s">
        <v>49</v>
      </c>
      <c r="AK1380" s="20" t="s">
        <v>49</v>
      </c>
      <c r="AL1380" s="20" t="s">
        <v>49</v>
      </c>
      <c r="AM1380" s="20" t="s">
        <v>49</v>
      </c>
      <c r="AN1380" s="1" t="s">
        <v>49</v>
      </c>
      <c r="AO1380" s="1" t="s">
        <v>49</v>
      </c>
      <c r="AP1380" s="6">
        <v>1</v>
      </c>
      <c r="AQ1380" s="6">
        <v>-0.03</v>
      </c>
      <c r="AR1380" s="6" t="s">
        <v>49</v>
      </c>
      <c r="AS1380" s="6" t="s">
        <v>49</v>
      </c>
      <c r="AT1380" s="6" t="s">
        <v>49</v>
      </c>
      <c r="AU1380" s="6" t="s">
        <v>49</v>
      </c>
      <c r="AV1380" s="6" t="s">
        <v>49</v>
      </c>
      <c r="AW1380" s="9" t="s">
        <v>565</v>
      </c>
    </row>
    <row r="1381" spans="1:49">
      <c r="A1381" s="1">
        <v>44</v>
      </c>
      <c r="B1381" s="1" t="s">
        <v>38</v>
      </c>
      <c r="C1381" s="1" t="s">
        <v>38</v>
      </c>
      <c r="D1381" s="1" t="s">
        <v>535</v>
      </c>
      <c r="E1381" s="1" t="s">
        <v>40</v>
      </c>
      <c r="F1381" s="1">
        <v>2004</v>
      </c>
      <c r="G1381" s="1" t="s">
        <v>536</v>
      </c>
      <c r="H1381" s="3" t="s">
        <v>537</v>
      </c>
      <c r="I1381" s="3" t="s">
        <v>538</v>
      </c>
      <c r="J1381" s="1" t="s">
        <v>539</v>
      </c>
      <c r="K1381" s="1" t="s">
        <v>45</v>
      </c>
      <c r="L1381" s="1" t="s">
        <v>46</v>
      </c>
      <c r="M1381" s="1" t="s">
        <v>115</v>
      </c>
      <c r="N1381" s="1" t="s">
        <v>116</v>
      </c>
      <c r="O1381" s="1">
        <v>1</v>
      </c>
      <c r="P1381" s="1">
        <v>1</v>
      </c>
      <c r="Q1381" s="1">
        <v>1</v>
      </c>
      <c r="R1381" s="1">
        <v>1</v>
      </c>
      <c r="S1381" s="1" t="s">
        <v>49</v>
      </c>
      <c r="T1381" s="1" t="s">
        <v>49</v>
      </c>
      <c r="U1381" s="1" t="s">
        <v>540</v>
      </c>
      <c r="V1381" s="1" t="s">
        <v>541</v>
      </c>
      <c r="W1381" s="1">
        <v>30.2</v>
      </c>
      <c r="X1381" s="1">
        <v>-84.4</v>
      </c>
      <c r="Y1381" s="1" t="s">
        <v>141</v>
      </c>
      <c r="Z1381" s="1" t="s">
        <v>49</v>
      </c>
      <c r="AA1381" s="6" t="s">
        <v>49</v>
      </c>
      <c r="AB1381" s="6" t="s">
        <v>49</v>
      </c>
      <c r="AC1381" s="6" t="s">
        <v>49</v>
      </c>
      <c r="AD1381" s="1" t="s">
        <v>561</v>
      </c>
      <c r="AE1381" s="1" t="s">
        <v>52</v>
      </c>
      <c r="AF1381" s="6" t="s">
        <v>49</v>
      </c>
      <c r="AG1381" s="6" t="s">
        <v>49</v>
      </c>
      <c r="AH1381" s="1" t="s">
        <v>123</v>
      </c>
      <c r="AI1381" s="1" t="s">
        <v>55</v>
      </c>
      <c r="AJ1381" s="20" t="s">
        <v>49</v>
      </c>
      <c r="AK1381" s="20" t="s">
        <v>49</v>
      </c>
      <c r="AL1381" s="20" t="s">
        <v>49</v>
      </c>
      <c r="AM1381" s="20" t="s">
        <v>49</v>
      </c>
      <c r="AN1381" s="1" t="s">
        <v>49</v>
      </c>
      <c r="AO1381" s="1" t="s">
        <v>49</v>
      </c>
      <c r="AP1381" s="6">
        <v>1</v>
      </c>
      <c r="AQ1381" s="6">
        <v>7.0000000000000007E-2</v>
      </c>
      <c r="AR1381" s="6" t="s">
        <v>49</v>
      </c>
      <c r="AS1381" s="6" t="s">
        <v>49</v>
      </c>
      <c r="AT1381" s="6" t="s">
        <v>49</v>
      </c>
      <c r="AU1381" s="6" t="s">
        <v>49</v>
      </c>
      <c r="AV1381" s="6" t="s">
        <v>49</v>
      </c>
      <c r="AW1381" s="9" t="s">
        <v>565</v>
      </c>
    </row>
    <row r="1382" spans="1:49">
      <c r="A1382" s="1">
        <v>44</v>
      </c>
      <c r="B1382" s="1" t="s">
        <v>38</v>
      </c>
      <c r="C1382" s="1" t="s">
        <v>38</v>
      </c>
      <c r="D1382" s="1" t="s">
        <v>535</v>
      </c>
      <c r="E1382" s="1" t="s">
        <v>40</v>
      </c>
      <c r="F1382" s="1">
        <v>2004</v>
      </c>
      <c r="G1382" s="1" t="s">
        <v>536</v>
      </c>
      <c r="H1382" s="3" t="s">
        <v>537</v>
      </c>
      <c r="I1382" s="3" t="s">
        <v>538</v>
      </c>
      <c r="J1382" s="1" t="s">
        <v>539</v>
      </c>
      <c r="K1382" s="1" t="s">
        <v>45</v>
      </c>
      <c r="L1382" s="1" t="s">
        <v>46</v>
      </c>
      <c r="M1382" s="1" t="s">
        <v>115</v>
      </c>
      <c r="N1382" s="1" t="s">
        <v>116</v>
      </c>
      <c r="O1382" s="1">
        <v>1</v>
      </c>
      <c r="P1382" s="1">
        <v>1</v>
      </c>
      <c r="Q1382" s="1">
        <v>1</v>
      </c>
      <c r="R1382" s="1">
        <v>1</v>
      </c>
      <c r="S1382" s="1" t="s">
        <v>49</v>
      </c>
      <c r="T1382" s="1" t="s">
        <v>49</v>
      </c>
      <c r="U1382" s="1" t="s">
        <v>540</v>
      </c>
      <c r="V1382" s="1" t="s">
        <v>541</v>
      </c>
      <c r="W1382" s="1">
        <v>30.2</v>
      </c>
      <c r="X1382" s="1">
        <v>-84.4</v>
      </c>
      <c r="Y1382" s="1" t="s">
        <v>141</v>
      </c>
      <c r="Z1382" s="1" t="s">
        <v>49</v>
      </c>
      <c r="AA1382" s="6" t="s">
        <v>49</v>
      </c>
      <c r="AB1382" s="6" t="s">
        <v>49</v>
      </c>
      <c r="AC1382" s="6" t="s">
        <v>49</v>
      </c>
      <c r="AD1382" s="1" t="s">
        <v>562</v>
      </c>
      <c r="AE1382" s="1" t="s">
        <v>563</v>
      </c>
      <c r="AF1382" s="6" t="s">
        <v>49</v>
      </c>
      <c r="AG1382" s="6" t="s">
        <v>49</v>
      </c>
      <c r="AH1382" s="1" t="s">
        <v>123</v>
      </c>
      <c r="AI1382" s="1" t="s">
        <v>55</v>
      </c>
      <c r="AJ1382" s="20" t="s">
        <v>49</v>
      </c>
      <c r="AK1382" s="20" t="s">
        <v>49</v>
      </c>
      <c r="AL1382" s="20" t="s">
        <v>49</v>
      </c>
      <c r="AM1382" s="20" t="s">
        <v>49</v>
      </c>
      <c r="AN1382" s="1" t="s">
        <v>49</v>
      </c>
      <c r="AO1382" s="1" t="s">
        <v>49</v>
      </c>
      <c r="AP1382" s="6">
        <v>1</v>
      </c>
      <c r="AQ1382" s="6">
        <v>2.0059999999999998</v>
      </c>
      <c r="AR1382" s="6" t="s">
        <v>49</v>
      </c>
      <c r="AS1382" s="6" t="s">
        <v>49</v>
      </c>
      <c r="AT1382" s="6" t="s">
        <v>49</v>
      </c>
      <c r="AU1382" s="6" t="s">
        <v>49</v>
      </c>
      <c r="AV1382" s="6" t="s">
        <v>49</v>
      </c>
      <c r="AW1382" s="9" t="s">
        <v>565</v>
      </c>
    </row>
    <row r="1383" spans="1:49">
      <c r="A1383" s="1">
        <v>44</v>
      </c>
      <c r="B1383" s="1" t="s">
        <v>38</v>
      </c>
      <c r="C1383" s="1" t="s">
        <v>38</v>
      </c>
      <c r="D1383" s="1" t="s">
        <v>535</v>
      </c>
      <c r="E1383" s="1" t="s">
        <v>40</v>
      </c>
      <c r="F1383" s="1">
        <v>2004</v>
      </c>
      <c r="G1383" s="1" t="s">
        <v>536</v>
      </c>
      <c r="H1383" s="3" t="s">
        <v>537</v>
      </c>
      <c r="I1383" s="3" t="s">
        <v>538</v>
      </c>
      <c r="J1383" s="1" t="s">
        <v>539</v>
      </c>
      <c r="K1383" s="1" t="s">
        <v>45</v>
      </c>
      <c r="L1383" s="1" t="s">
        <v>46</v>
      </c>
      <c r="M1383" s="1" t="s">
        <v>115</v>
      </c>
      <c r="N1383" s="1" t="s">
        <v>116</v>
      </c>
      <c r="O1383" s="1">
        <v>1</v>
      </c>
      <c r="P1383" s="1">
        <v>1</v>
      </c>
      <c r="Q1383" s="1">
        <v>1</v>
      </c>
      <c r="R1383" s="1">
        <v>1</v>
      </c>
      <c r="S1383" s="1" t="s">
        <v>49</v>
      </c>
      <c r="T1383" s="1" t="s">
        <v>49</v>
      </c>
      <c r="U1383" s="1" t="s">
        <v>540</v>
      </c>
      <c r="V1383" s="1" t="s">
        <v>541</v>
      </c>
      <c r="W1383" s="1">
        <v>30.2</v>
      </c>
      <c r="X1383" s="1">
        <v>-84.4</v>
      </c>
      <c r="Y1383" s="1" t="s">
        <v>141</v>
      </c>
      <c r="Z1383" s="1" t="s">
        <v>49</v>
      </c>
      <c r="AA1383" s="6" t="s">
        <v>49</v>
      </c>
      <c r="AB1383" s="6" t="s">
        <v>49</v>
      </c>
      <c r="AC1383" s="6" t="s">
        <v>49</v>
      </c>
      <c r="AD1383" s="1" t="s">
        <v>562</v>
      </c>
      <c r="AE1383" s="1" t="s">
        <v>547</v>
      </c>
      <c r="AF1383" s="6" t="s">
        <v>49</v>
      </c>
      <c r="AG1383" s="6" t="s">
        <v>49</v>
      </c>
      <c r="AH1383" s="1" t="s">
        <v>123</v>
      </c>
      <c r="AI1383" s="1" t="s">
        <v>55</v>
      </c>
      <c r="AJ1383" s="20" t="s">
        <v>49</v>
      </c>
      <c r="AK1383" s="20" t="s">
        <v>49</v>
      </c>
      <c r="AL1383" s="20" t="s">
        <v>49</v>
      </c>
      <c r="AM1383" s="20" t="s">
        <v>49</v>
      </c>
      <c r="AN1383" s="1" t="s">
        <v>49</v>
      </c>
      <c r="AO1383" s="1" t="s">
        <v>49</v>
      </c>
      <c r="AP1383" s="6">
        <v>1</v>
      </c>
      <c r="AQ1383" s="6">
        <v>-0.372</v>
      </c>
      <c r="AR1383" s="6" t="s">
        <v>49</v>
      </c>
      <c r="AS1383" s="6" t="s">
        <v>49</v>
      </c>
      <c r="AT1383" s="6" t="s">
        <v>49</v>
      </c>
      <c r="AU1383" s="6" t="s">
        <v>49</v>
      </c>
      <c r="AV1383" s="6" t="s">
        <v>49</v>
      </c>
      <c r="AW1383" s="9" t="s">
        <v>565</v>
      </c>
    </row>
    <row r="1384" spans="1:49">
      <c r="A1384" s="1">
        <v>44</v>
      </c>
      <c r="B1384" s="1" t="s">
        <v>38</v>
      </c>
      <c r="C1384" s="1" t="s">
        <v>38</v>
      </c>
      <c r="D1384" s="1" t="s">
        <v>535</v>
      </c>
      <c r="E1384" s="1" t="s">
        <v>40</v>
      </c>
      <c r="F1384" s="1">
        <v>2004</v>
      </c>
      <c r="G1384" s="1" t="s">
        <v>536</v>
      </c>
      <c r="H1384" s="3" t="s">
        <v>537</v>
      </c>
      <c r="I1384" s="3" t="s">
        <v>538</v>
      </c>
      <c r="J1384" s="1" t="s">
        <v>539</v>
      </c>
      <c r="K1384" s="1" t="s">
        <v>45</v>
      </c>
      <c r="L1384" s="1" t="s">
        <v>46</v>
      </c>
      <c r="M1384" s="1" t="s">
        <v>115</v>
      </c>
      <c r="N1384" s="1" t="s">
        <v>116</v>
      </c>
      <c r="O1384" s="1">
        <v>1</v>
      </c>
      <c r="P1384" s="1">
        <v>1</v>
      </c>
      <c r="Q1384" s="1">
        <v>1</v>
      </c>
      <c r="R1384" s="1">
        <v>1</v>
      </c>
      <c r="S1384" s="1" t="s">
        <v>49</v>
      </c>
      <c r="T1384" s="1" t="s">
        <v>49</v>
      </c>
      <c r="U1384" s="1" t="s">
        <v>540</v>
      </c>
      <c r="V1384" s="1" t="s">
        <v>541</v>
      </c>
      <c r="W1384" s="1">
        <v>30.2</v>
      </c>
      <c r="X1384" s="1">
        <v>-84.4</v>
      </c>
      <c r="Y1384" s="1" t="s">
        <v>141</v>
      </c>
      <c r="Z1384" s="1" t="s">
        <v>49</v>
      </c>
      <c r="AA1384" s="6" t="s">
        <v>49</v>
      </c>
      <c r="AB1384" s="6" t="s">
        <v>49</v>
      </c>
      <c r="AC1384" s="6" t="s">
        <v>49</v>
      </c>
      <c r="AD1384" s="1" t="s">
        <v>562</v>
      </c>
      <c r="AE1384" s="1" t="s">
        <v>542</v>
      </c>
      <c r="AF1384" s="6" t="s">
        <v>49</v>
      </c>
      <c r="AG1384" s="6" t="s">
        <v>49</v>
      </c>
      <c r="AH1384" s="1" t="s">
        <v>123</v>
      </c>
      <c r="AI1384" s="1" t="s">
        <v>55</v>
      </c>
      <c r="AJ1384" s="20" t="s">
        <v>49</v>
      </c>
      <c r="AK1384" s="20" t="s">
        <v>49</v>
      </c>
      <c r="AL1384" s="20" t="s">
        <v>49</v>
      </c>
      <c r="AM1384" s="20" t="s">
        <v>49</v>
      </c>
      <c r="AN1384" s="1" t="s">
        <v>49</v>
      </c>
      <c r="AO1384" s="1" t="s">
        <v>49</v>
      </c>
      <c r="AP1384" s="6">
        <v>1</v>
      </c>
      <c r="AQ1384" s="6">
        <v>0.44800000000000001</v>
      </c>
      <c r="AR1384" s="6" t="s">
        <v>49</v>
      </c>
      <c r="AS1384" s="6" t="s">
        <v>49</v>
      </c>
      <c r="AT1384" s="6" t="s">
        <v>49</v>
      </c>
      <c r="AU1384" s="6" t="s">
        <v>49</v>
      </c>
      <c r="AV1384" s="6" t="s">
        <v>49</v>
      </c>
      <c r="AW1384" s="9" t="s">
        <v>565</v>
      </c>
    </row>
    <row r="1385" spans="1:49">
      <c r="A1385" s="1">
        <v>44</v>
      </c>
      <c r="B1385" s="1" t="s">
        <v>38</v>
      </c>
      <c r="C1385" s="1" t="s">
        <v>38</v>
      </c>
      <c r="D1385" s="1" t="s">
        <v>535</v>
      </c>
      <c r="E1385" s="1" t="s">
        <v>40</v>
      </c>
      <c r="F1385" s="1">
        <v>2004</v>
      </c>
      <c r="G1385" s="1" t="s">
        <v>536</v>
      </c>
      <c r="H1385" s="3" t="s">
        <v>537</v>
      </c>
      <c r="I1385" s="3" t="s">
        <v>538</v>
      </c>
      <c r="J1385" s="1" t="s">
        <v>539</v>
      </c>
      <c r="K1385" s="1" t="s">
        <v>45</v>
      </c>
      <c r="L1385" s="1" t="s">
        <v>46</v>
      </c>
      <c r="M1385" s="1" t="s">
        <v>115</v>
      </c>
      <c r="N1385" s="1" t="s">
        <v>116</v>
      </c>
      <c r="O1385" s="1">
        <v>1</v>
      </c>
      <c r="P1385" s="1">
        <v>1</v>
      </c>
      <c r="Q1385" s="1">
        <v>1</v>
      </c>
      <c r="R1385" s="1">
        <v>1</v>
      </c>
      <c r="S1385" s="1" t="s">
        <v>49</v>
      </c>
      <c r="T1385" s="1" t="s">
        <v>49</v>
      </c>
      <c r="U1385" s="1" t="s">
        <v>540</v>
      </c>
      <c r="V1385" s="1" t="s">
        <v>541</v>
      </c>
      <c r="W1385" s="1">
        <v>30.2</v>
      </c>
      <c r="X1385" s="1">
        <v>-84.4</v>
      </c>
      <c r="Y1385" s="1" t="s">
        <v>141</v>
      </c>
      <c r="Z1385" s="1" t="s">
        <v>49</v>
      </c>
      <c r="AA1385" s="6" t="s">
        <v>49</v>
      </c>
      <c r="AB1385" s="6" t="s">
        <v>49</v>
      </c>
      <c r="AC1385" s="6" t="s">
        <v>49</v>
      </c>
      <c r="AD1385" s="1" t="s">
        <v>562</v>
      </c>
      <c r="AE1385" s="1" t="s">
        <v>52</v>
      </c>
      <c r="AF1385" s="6" t="s">
        <v>49</v>
      </c>
      <c r="AG1385" s="6" t="s">
        <v>49</v>
      </c>
      <c r="AH1385" s="1" t="s">
        <v>123</v>
      </c>
      <c r="AI1385" s="1" t="s">
        <v>55</v>
      </c>
      <c r="AJ1385" s="20" t="s">
        <v>49</v>
      </c>
      <c r="AK1385" s="20" t="s">
        <v>49</v>
      </c>
      <c r="AL1385" s="20" t="s">
        <v>49</v>
      </c>
      <c r="AM1385" s="20" t="s">
        <v>49</v>
      </c>
      <c r="AN1385" s="1" t="s">
        <v>49</v>
      </c>
      <c r="AO1385" s="1" t="s">
        <v>49</v>
      </c>
      <c r="AP1385" s="6">
        <v>1</v>
      </c>
      <c r="AQ1385" s="6">
        <v>-0.68500000000000005</v>
      </c>
      <c r="AR1385" s="6" t="s">
        <v>49</v>
      </c>
      <c r="AS1385" s="6" t="s">
        <v>49</v>
      </c>
      <c r="AT1385" s="6" t="s">
        <v>49</v>
      </c>
      <c r="AU1385" s="6" t="s">
        <v>49</v>
      </c>
      <c r="AV1385" s="6" t="s">
        <v>49</v>
      </c>
      <c r="AW1385" s="9" t="s">
        <v>565</v>
      </c>
    </row>
    <row r="1386" spans="1:49">
      <c r="A1386" s="1">
        <v>44</v>
      </c>
      <c r="B1386" s="1" t="s">
        <v>38</v>
      </c>
      <c r="C1386" s="1" t="s">
        <v>38</v>
      </c>
      <c r="D1386" s="1" t="s">
        <v>535</v>
      </c>
      <c r="E1386" s="1" t="s">
        <v>40</v>
      </c>
      <c r="F1386" s="1">
        <v>2004</v>
      </c>
      <c r="G1386" s="1" t="s">
        <v>536</v>
      </c>
      <c r="H1386" s="3" t="s">
        <v>537</v>
      </c>
      <c r="I1386" s="3" t="s">
        <v>538</v>
      </c>
      <c r="J1386" s="1" t="s">
        <v>539</v>
      </c>
      <c r="K1386" s="1" t="s">
        <v>45</v>
      </c>
      <c r="L1386" s="1" t="s">
        <v>46</v>
      </c>
      <c r="M1386" s="1" t="s">
        <v>115</v>
      </c>
      <c r="N1386" s="1" t="s">
        <v>116</v>
      </c>
      <c r="O1386" s="1">
        <v>1</v>
      </c>
      <c r="P1386" s="1">
        <v>1</v>
      </c>
      <c r="Q1386" s="1">
        <v>1</v>
      </c>
      <c r="R1386" s="1">
        <v>1</v>
      </c>
      <c r="S1386" s="1" t="s">
        <v>49</v>
      </c>
      <c r="T1386" s="1" t="s">
        <v>49</v>
      </c>
      <c r="U1386" s="1" t="s">
        <v>540</v>
      </c>
      <c r="V1386" s="1" t="s">
        <v>541</v>
      </c>
      <c r="W1386" s="1">
        <v>30.2</v>
      </c>
      <c r="X1386" s="1">
        <v>-84.4</v>
      </c>
      <c r="Y1386" s="1" t="s">
        <v>141</v>
      </c>
      <c r="Z1386" s="1" t="s">
        <v>49</v>
      </c>
      <c r="AA1386" s="6" t="s">
        <v>49</v>
      </c>
      <c r="AB1386" s="6" t="s">
        <v>49</v>
      </c>
      <c r="AC1386" s="6" t="s">
        <v>49</v>
      </c>
      <c r="AD1386" s="1" t="s">
        <v>563</v>
      </c>
      <c r="AE1386" s="1" t="s">
        <v>547</v>
      </c>
      <c r="AF1386" s="6" t="s">
        <v>49</v>
      </c>
      <c r="AG1386" s="6" t="s">
        <v>49</v>
      </c>
      <c r="AH1386" s="1" t="s">
        <v>123</v>
      </c>
      <c r="AI1386" s="1" t="s">
        <v>55</v>
      </c>
      <c r="AJ1386" s="20" t="s">
        <v>49</v>
      </c>
      <c r="AK1386" s="20" t="s">
        <v>49</v>
      </c>
      <c r="AL1386" s="20" t="s">
        <v>49</v>
      </c>
      <c r="AM1386" s="20" t="s">
        <v>49</v>
      </c>
      <c r="AN1386" s="1" t="s">
        <v>49</v>
      </c>
      <c r="AO1386" s="1" t="s">
        <v>49</v>
      </c>
      <c r="AP1386" s="6">
        <v>1</v>
      </c>
      <c r="AQ1386" s="6">
        <v>1.123</v>
      </c>
      <c r="AR1386" s="6" t="s">
        <v>49</v>
      </c>
      <c r="AS1386" s="6" t="s">
        <v>49</v>
      </c>
      <c r="AT1386" s="6" t="s">
        <v>49</v>
      </c>
      <c r="AU1386" s="6" t="s">
        <v>49</v>
      </c>
      <c r="AV1386" s="6" t="s">
        <v>49</v>
      </c>
      <c r="AW1386" s="9" t="s">
        <v>565</v>
      </c>
    </row>
    <row r="1387" spans="1:49">
      <c r="A1387" s="1">
        <v>44</v>
      </c>
      <c r="B1387" s="1" t="s">
        <v>38</v>
      </c>
      <c r="C1387" s="1" t="s">
        <v>38</v>
      </c>
      <c r="D1387" s="1" t="s">
        <v>535</v>
      </c>
      <c r="E1387" s="1" t="s">
        <v>40</v>
      </c>
      <c r="F1387" s="1">
        <v>2004</v>
      </c>
      <c r="G1387" s="1" t="s">
        <v>536</v>
      </c>
      <c r="H1387" s="3" t="s">
        <v>537</v>
      </c>
      <c r="I1387" s="3" t="s">
        <v>538</v>
      </c>
      <c r="J1387" s="1" t="s">
        <v>539</v>
      </c>
      <c r="K1387" s="1" t="s">
        <v>45</v>
      </c>
      <c r="L1387" s="1" t="s">
        <v>46</v>
      </c>
      <c r="M1387" s="1" t="s">
        <v>115</v>
      </c>
      <c r="N1387" s="1" t="s">
        <v>116</v>
      </c>
      <c r="O1387" s="1">
        <v>1</v>
      </c>
      <c r="P1387" s="1">
        <v>1</v>
      </c>
      <c r="Q1387" s="1">
        <v>1</v>
      </c>
      <c r="R1387" s="1">
        <v>1</v>
      </c>
      <c r="S1387" s="1" t="s">
        <v>49</v>
      </c>
      <c r="T1387" s="1" t="s">
        <v>49</v>
      </c>
      <c r="U1387" s="1" t="s">
        <v>540</v>
      </c>
      <c r="V1387" s="1" t="s">
        <v>541</v>
      </c>
      <c r="W1387" s="1">
        <v>30.2</v>
      </c>
      <c r="X1387" s="1">
        <v>-84.4</v>
      </c>
      <c r="Y1387" s="1" t="s">
        <v>141</v>
      </c>
      <c r="Z1387" s="1" t="s">
        <v>49</v>
      </c>
      <c r="AA1387" s="6" t="s">
        <v>49</v>
      </c>
      <c r="AB1387" s="6" t="s">
        <v>49</v>
      </c>
      <c r="AC1387" s="6" t="s">
        <v>49</v>
      </c>
      <c r="AD1387" s="1" t="s">
        <v>563</v>
      </c>
      <c r="AE1387" s="1" t="s">
        <v>542</v>
      </c>
      <c r="AF1387" s="6" t="s">
        <v>49</v>
      </c>
      <c r="AG1387" s="6" t="s">
        <v>49</v>
      </c>
      <c r="AH1387" s="1" t="s">
        <v>123</v>
      </c>
      <c r="AI1387" s="1" t="s">
        <v>55</v>
      </c>
      <c r="AJ1387" s="20" t="s">
        <v>49</v>
      </c>
      <c r="AK1387" s="20" t="s">
        <v>49</v>
      </c>
      <c r="AL1387" s="20" t="s">
        <v>49</v>
      </c>
      <c r="AM1387" s="20" t="s">
        <v>49</v>
      </c>
      <c r="AN1387" s="1" t="s">
        <v>49</v>
      </c>
      <c r="AO1387" s="1" t="s">
        <v>49</v>
      </c>
      <c r="AP1387" s="6">
        <v>1</v>
      </c>
      <c r="AQ1387" s="6">
        <v>1.238</v>
      </c>
      <c r="AR1387" s="6" t="s">
        <v>49</v>
      </c>
      <c r="AS1387" s="6" t="s">
        <v>49</v>
      </c>
      <c r="AT1387" s="6" t="s">
        <v>49</v>
      </c>
      <c r="AU1387" s="6" t="s">
        <v>49</v>
      </c>
      <c r="AV1387" s="6" t="s">
        <v>49</v>
      </c>
      <c r="AW1387" s="9" t="s">
        <v>565</v>
      </c>
    </row>
    <row r="1388" spans="1:49">
      <c r="A1388" s="1">
        <v>44</v>
      </c>
      <c r="B1388" s="1" t="s">
        <v>38</v>
      </c>
      <c r="C1388" s="1" t="s">
        <v>38</v>
      </c>
      <c r="D1388" s="1" t="s">
        <v>535</v>
      </c>
      <c r="E1388" s="1" t="s">
        <v>40</v>
      </c>
      <c r="F1388" s="1">
        <v>2004</v>
      </c>
      <c r="G1388" s="1" t="s">
        <v>536</v>
      </c>
      <c r="H1388" s="3" t="s">
        <v>537</v>
      </c>
      <c r="I1388" s="3" t="s">
        <v>538</v>
      </c>
      <c r="J1388" s="1" t="s">
        <v>539</v>
      </c>
      <c r="K1388" s="1" t="s">
        <v>45</v>
      </c>
      <c r="L1388" s="1" t="s">
        <v>46</v>
      </c>
      <c r="M1388" s="1" t="s">
        <v>115</v>
      </c>
      <c r="N1388" s="1" t="s">
        <v>116</v>
      </c>
      <c r="O1388" s="1">
        <v>1</v>
      </c>
      <c r="P1388" s="1">
        <v>1</v>
      </c>
      <c r="Q1388" s="1">
        <v>1</v>
      </c>
      <c r="R1388" s="1">
        <v>1</v>
      </c>
      <c r="S1388" s="1" t="s">
        <v>49</v>
      </c>
      <c r="T1388" s="1" t="s">
        <v>49</v>
      </c>
      <c r="U1388" s="1" t="s">
        <v>540</v>
      </c>
      <c r="V1388" s="1" t="s">
        <v>541</v>
      </c>
      <c r="W1388" s="1">
        <v>30.2</v>
      </c>
      <c r="X1388" s="1">
        <v>-84.4</v>
      </c>
      <c r="Y1388" s="1" t="s">
        <v>141</v>
      </c>
      <c r="Z1388" s="1" t="s">
        <v>49</v>
      </c>
      <c r="AA1388" s="6" t="s">
        <v>49</v>
      </c>
      <c r="AB1388" s="6" t="s">
        <v>49</v>
      </c>
      <c r="AC1388" s="6" t="s">
        <v>49</v>
      </c>
      <c r="AD1388" s="1" t="s">
        <v>563</v>
      </c>
      <c r="AE1388" s="1" t="s">
        <v>52</v>
      </c>
      <c r="AF1388" s="6" t="s">
        <v>49</v>
      </c>
      <c r="AG1388" s="6" t="s">
        <v>49</v>
      </c>
      <c r="AH1388" s="1" t="s">
        <v>123</v>
      </c>
      <c r="AI1388" s="1" t="s">
        <v>55</v>
      </c>
      <c r="AJ1388" s="20" t="s">
        <v>49</v>
      </c>
      <c r="AK1388" s="20" t="s">
        <v>49</v>
      </c>
      <c r="AL1388" s="20" t="s">
        <v>49</v>
      </c>
      <c r="AM1388" s="20" t="s">
        <v>49</v>
      </c>
      <c r="AN1388" s="1" t="s">
        <v>49</v>
      </c>
      <c r="AO1388" s="1" t="s">
        <v>49</v>
      </c>
      <c r="AP1388" s="6">
        <v>1</v>
      </c>
      <c r="AQ1388" s="6">
        <v>0.36499999999999999</v>
      </c>
      <c r="AR1388" s="6" t="s">
        <v>49</v>
      </c>
      <c r="AS1388" s="6" t="s">
        <v>49</v>
      </c>
      <c r="AT1388" s="6" t="s">
        <v>49</v>
      </c>
      <c r="AU1388" s="6" t="s">
        <v>49</v>
      </c>
      <c r="AV1388" s="6" t="s">
        <v>49</v>
      </c>
      <c r="AW1388" s="9" t="s">
        <v>565</v>
      </c>
    </row>
    <row r="1389" spans="1:49">
      <c r="A1389" s="1">
        <v>44</v>
      </c>
      <c r="B1389" s="1" t="s">
        <v>38</v>
      </c>
      <c r="C1389" s="1" t="s">
        <v>38</v>
      </c>
      <c r="D1389" s="1" t="s">
        <v>535</v>
      </c>
      <c r="E1389" s="1" t="s">
        <v>40</v>
      </c>
      <c r="F1389" s="1">
        <v>2004</v>
      </c>
      <c r="G1389" s="1" t="s">
        <v>536</v>
      </c>
      <c r="H1389" s="3" t="s">
        <v>537</v>
      </c>
      <c r="I1389" s="3" t="s">
        <v>538</v>
      </c>
      <c r="J1389" s="1" t="s">
        <v>539</v>
      </c>
      <c r="K1389" s="1" t="s">
        <v>45</v>
      </c>
      <c r="L1389" s="1" t="s">
        <v>46</v>
      </c>
      <c r="M1389" s="1" t="s">
        <v>115</v>
      </c>
      <c r="N1389" s="1" t="s">
        <v>116</v>
      </c>
      <c r="O1389" s="1">
        <v>1</v>
      </c>
      <c r="P1389" s="1">
        <v>1</v>
      </c>
      <c r="Q1389" s="1">
        <v>1</v>
      </c>
      <c r="R1389" s="1">
        <v>1</v>
      </c>
      <c r="S1389" s="1" t="s">
        <v>49</v>
      </c>
      <c r="T1389" s="1" t="s">
        <v>49</v>
      </c>
      <c r="U1389" s="1" t="s">
        <v>540</v>
      </c>
      <c r="V1389" s="1" t="s">
        <v>541</v>
      </c>
      <c r="W1389" s="1">
        <v>30.2</v>
      </c>
      <c r="X1389" s="1">
        <v>-84.4</v>
      </c>
      <c r="Y1389" s="1" t="s">
        <v>141</v>
      </c>
      <c r="Z1389" s="1" t="s">
        <v>49</v>
      </c>
      <c r="AA1389" s="6" t="s">
        <v>49</v>
      </c>
      <c r="AB1389" s="6" t="s">
        <v>49</v>
      </c>
      <c r="AC1389" s="6" t="s">
        <v>49</v>
      </c>
      <c r="AD1389" s="1" t="s">
        <v>547</v>
      </c>
      <c r="AE1389" s="1" t="s">
        <v>542</v>
      </c>
      <c r="AF1389" s="6" t="s">
        <v>49</v>
      </c>
      <c r="AG1389" s="6" t="s">
        <v>49</v>
      </c>
      <c r="AH1389" s="1" t="s">
        <v>123</v>
      </c>
      <c r="AI1389" s="1" t="s">
        <v>55</v>
      </c>
      <c r="AJ1389" s="20" t="s">
        <v>49</v>
      </c>
      <c r="AK1389" s="20" t="s">
        <v>49</v>
      </c>
      <c r="AL1389" s="20" t="s">
        <v>49</v>
      </c>
      <c r="AM1389" s="20" t="s">
        <v>49</v>
      </c>
      <c r="AN1389" s="1" t="s">
        <v>49</v>
      </c>
      <c r="AO1389" s="1" t="s">
        <v>49</v>
      </c>
      <c r="AP1389" s="6">
        <v>1</v>
      </c>
      <c r="AQ1389" s="6">
        <v>4.8000000000000001E-2</v>
      </c>
      <c r="AR1389" s="6" t="s">
        <v>49</v>
      </c>
      <c r="AS1389" s="6" t="s">
        <v>49</v>
      </c>
      <c r="AT1389" s="6" t="s">
        <v>49</v>
      </c>
      <c r="AU1389" s="6" t="s">
        <v>49</v>
      </c>
      <c r="AV1389" s="6" t="s">
        <v>49</v>
      </c>
      <c r="AW1389" s="9" t="s">
        <v>565</v>
      </c>
    </row>
    <row r="1390" spans="1:49">
      <c r="A1390" s="1">
        <v>44</v>
      </c>
      <c r="B1390" s="1" t="s">
        <v>38</v>
      </c>
      <c r="C1390" s="1" t="s">
        <v>38</v>
      </c>
      <c r="D1390" s="1" t="s">
        <v>535</v>
      </c>
      <c r="E1390" s="1" t="s">
        <v>40</v>
      </c>
      <c r="F1390" s="1">
        <v>2004</v>
      </c>
      <c r="G1390" s="1" t="s">
        <v>536</v>
      </c>
      <c r="H1390" s="3" t="s">
        <v>537</v>
      </c>
      <c r="I1390" s="3" t="s">
        <v>538</v>
      </c>
      <c r="J1390" s="1" t="s">
        <v>539</v>
      </c>
      <c r="K1390" s="1" t="s">
        <v>45</v>
      </c>
      <c r="L1390" s="1" t="s">
        <v>46</v>
      </c>
      <c r="M1390" s="1" t="s">
        <v>115</v>
      </c>
      <c r="N1390" s="1" t="s">
        <v>116</v>
      </c>
      <c r="O1390" s="1">
        <v>1</v>
      </c>
      <c r="P1390" s="1">
        <v>1</v>
      </c>
      <c r="Q1390" s="1">
        <v>1</v>
      </c>
      <c r="R1390" s="1">
        <v>1</v>
      </c>
      <c r="S1390" s="1" t="s">
        <v>49</v>
      </c>
      <c r="T1390" s="1" t="s">
        <v>49</v>
      </c>
      <c r="U1390" s="1" t="s">
        <v>540</v>
      </c>
      <c r="V1390" s="1" t="s">
        <v>541</v>
      </c>
      <c r="W1390" s="1">
        <v>30.2</v>
      </c>
      <c r="X1390" s="1">
        <v>-84.4</v>
      </c>
      <c r="Y1390" s="1" t="s">
        <v>141</v>
      </c>
      <c r="Z1390" s="1" t="s">
        <v>49</v>
      </c>
      <c r="AA1390" s="6" t="s">
        <v>49</v>
      </c>
      <c r="AB1390" s="6" t="s">
        <v>49</v>
      </c>
      <c r="AC1390" s="6" t="s">
        <v>49</v>
      </c>
      <c r="AD1390" s="1" t="s">
        <v>547</v>
      </c>
      <c r="AE1390" s="1" t="s">
        <v>52</v>
      </c>
      <c r="AF1390" s="6" t="s">
        <v>49</v>
      </c>
      <c r="AG1390" s="6" t="s">
        <v>49</v>
      </c>
      <c r="AH1390" s="1" t="s">
        <v>123</v>
      </c>
      <c r="AI1390" s="1" t="s">
        <v>55</v>
      </c>
      <c r="AJ1390" s="20" t="s">
        <v>49</v>
      </c>
      <c r="AK1390" s="20" t="s">
        <v>49</v>
      </c>
      <c r="AL1390" s="20" t="s">
        <v>49</v>
      </c>
      <c r="AM1390" s="20" t="s">
        <v>49</v>
      </c>
      <c r="AN1390" s="1" t="s">
        <v>49</v>
      </c>
      <c r="AO1390" s="1" t="s">
        <v>49</v>
      </c>
      <c r="AP1390" s="6">
        <v>1</v>
      </c>
      <c r="AQ1390" s="6">
        <v>0.64</v>
      </c>
      <c r="AR1390" s="6" t="s">
        <v>49</v>
      </c>
      <c r="AS1390" s="6" t="s">
        <v>49</v>
      </c>
      <c r="AT1390" s="6" t="s">
        <v>49</v>
      </c>
      <c r="AU1390" s="6" t="s">
        <v>49</v>
      </c>
      <c r="AV1390" s="6" t="s">
        <v>49</v>
      </c>
      <c r="AW1390" s="9" t="s">
        <v>565</v>
      </c>
    </row>
    <row r="1391" spans="1:49">
      <c r="A1391" s="1">
        <v>44</v>
      </c>
      <c r="B1391" s="1" t="s">
        <v>38</v>
      </c>
      <c r="C1391" s="1" t="s">
        <v>38</v>
      </c>
      <c r="D1391" s="1" t="s">
        <v>535</v>
      </c>
      <c r="E1391" s="1" t="s">
        <v>40</v>
      </c>
      <c r="F1391" s="1">
        <v>2004</v>
      </c>
      <c r="G1391" s="1" t="s">
        <v>536</v>
      </c>
      <c r="H1391" s="3" t="s">
        <v>537</v>
      </c>
      <c r="I1391" s="3" t="s">
        <v>538</v>
      </c>
      <c r="J1391" s="1" t="s">
        <v>539</v>
      </c>
      <c r="K1391" s="1" t="s">
        <v>45</v>
      </c>
      <c r="L1391" s="1" t="s">
        <v>46</v>
      </c>
      <c r="M1391" s="1" t="s">
        <v>115</v>
      </c>
      <c r="N1391" s="1" t="s">
        <v>116</v>
      </c>
      <c r="O1391" s="1">
        <v>1</v>
      </c>
      <c r="P1391" s="1">
        <v>1</v>
      </c>
      <c r="Q1391" s="1">
        <v>1</v>
      </c>
      <c r="R1391" s="1">
        <v>1</v>
      </c>
      <c r="S1391" s="1" t="s">
        <v>49</v>
      </c>
      <c r="T1391" s="1" t="s">
        <v>49</v>
      </c>
      <c r="U1391" s="1" t="s">
        <v>540</v>
      </c>
      <c r="V1391" s="1" t="s">
        <v>541</v>
      </c>
      <c r="W1391" s="1">
        <v>30.2</v>
      </c>
      <c r="X1391" s="1">
        <v>-84.4</v>
      </c>
      <c r="Y1391" s="1" t="s">
        <v>141</v>
      </c>
      <c r="Z1391" s="1" t="s">
        <v>49</v>
      </c>
      <c r="AA1391" s="6" t="s">
        <v>49</v>
      </c>
      <c r="AB1391" s="6" t="s">
        <v>49</v>
      </c>
      <c r="AC1391" s="6" t="s">
        <v>49</v>
      </c>
      <c r="AD1391" s="1" t="s">
        <v>542</v>
      </c>
      <c r="AE1391" s="1" t="s">
        <v>52</v>
      </c>
      <c r="AF1391" s="6" t="s">
        <v>49</v>
      </c>
      <c r="AG1391" s="6" t="s">
        <v>49</v>
      </c>
      <c r="AH1391" s="1" t="s">
        <v>123</v>
      </c>
      <c r="AI1391" s="1" t="s">
        <v>55</v>
      </c>
      <c r="AJ1391" s="20" t="s">
        <v>49</v>
      </c>
      <c r="AK1391" s="20" t="s">
        <v>49</v>
      </c>
      <c r="AL1391" s="20" t="s">
        <v>49</v>
      </c>
      <c r="AM1391" s="20" t="s">
        <v>49</v>
      </c>
      <c r="AN1391" s="1" t="s">
        <v>49</v>
      </c>
      <c r="AO1391" s="1" t="s">
        <v>49</v>
      </c>
      <c r="AP1391" s="6">
        <v>1</v>
      </c>
      <c r="AQ1391" s="6">
        <v>0.92</v>
      </c>
      <c r="AR1391" s="6" t="s">
        <v>49</v>
      </c>
      <c r="AS1391" s="6" t="s">
        <v>49</v>
      </c>
      <c r="AT1391" s="6" t="s">
        <v>49</v>
      </c>
      <c r="AU1391" s="6" t="s">
        <v>49</v>
      </c>
      <c r="AV1391" s="6" t="s">
        <v>49</v>
      </c>
      <c r="AW1391" s="9" t="s">
        <v>565</v>
      </c>
    </row>
    <row r="1392" spans="1:49">
      <c r="A1392" s="1">
        <v>53</v>
      </c>
      <c r="B1392" s="1" t="s">
        <v>38</v>
      </c>
      <c r="C1392" s="1" t="s">
        <v>38</v>
      </c>
      <c r="D1392" s="1" t="s">
        <v>566</v>
      </c>
      <c r="E1392" s="1" t="s">
        <v>302</v>
      </c>
      <c r="F1392" s="1">
        <v>1997</v>
      </c>
      <c r="G1392" s="3" t="s">
        <v>72</v>
      </c>
      <c r="H1392" s="3" t="s">
        <v>73</v>
      </c>
      <c r="I1392" s="3" t="s">
        <v>74</v>
      </c>
      <c r="J1392" s="3" t="s">
        <v>75</v>
      </c>
      <c r="K1392" s="1" t="s">
        <v>45</v>
      </c>
      <c r="L1392" s="3" t="s">
        <v>46</v>
      </c>
      <c r="M1392" s="1" t="s">
        <v>12</v>
      </c>
      <c r="N1392" s="1" t="s">
        <v>76</v>
      </c>
      <c r="O1392" s="1">
        <v>0.61099999999999999</v>
      </c>
      <c r="P1392" s="1" t="s">
        <v>49</v>
      </c>
      <c r="Q1392" s="1">
        <v>0.75</v>
      </c>
      <c r="R1392" s="1">
        <v>1</v>
      </c>
      <c r="S1392" s="1" t="s">
        <v>77</v>
      </c>
      <c r="T1392" s="1" t="s">
        <v>78</v>
      </c>
      <c r="U1392" s="1" t="s">
        <v>79</v>
      </c>
      <c r="V1392" s="1" t="s">
        <v>80</v>
      </c>
      <c r="W1392" s="3">
        <v>38.049999999999997</v>
      </c>
      <c r="X1392" s="3">
        <v>-119.99</v>
      </c>
      <c r="Y1392" s="1" t="s">
        <v>48</v>
      </c>
      <c r="Z1392" s="1" t="s">
        <v>49</v>
      </c>
      <c r="AA1392" s="1" t="s">
        <v>50</v>
      </c>
      <c r="AB1392" s="1" t="s">
        <v>66</v>
      </c>
      <c r="AC1392" s="1" t="s">
        <v>67</v>
      </c>
      <c r="AD1392" s="1" t="s">
        <v>89</v>
      </c>
      <c r="AE1392" s="1" t="s">
        <v>89</v>
      </c>
      <c r="AF1392" s="1" t="s">
        <v>60</v>
      </c>
      <c r="AG1392" s="1" t="s">
        <v>61</v>
      </c>
      <c r="AH1392" s="1" t="s">
        <v>83</v>
      </c>
      <c r="AI1392" s="1" t="s">
        <v>55</v>
      </c>
      <c r="AJ1392" s="1">
        <v>23</v>
      </c>
      <c r="AK1392" s="1">
        <v>230</v>
      </c>
      <c r="AL1392" s="4">
        <v>0.376</v>
      </c>
      <c r="AM1392" s="1">
        <v>24.2</v>
      </c>
      <c r="AN1392" s="1">
        <f>4.7^2</f>
        <v>22.090000000000003</v>
      </c>
      <c r="AO1392" s="1" t="s">
        <v>49</v>
      </c>
      <c r="AP1392" s="6">
        <v>1</v>
      </c>
      <c r="AQ1392" s="6" t="s">
        <v>49</v>
      </c>
      <c r="AR1392" s="6" t="s">
        <v>49</v>
      </c>
      <c r="AS1392" s="1">
        <f>AL1392*AN1392</f>
        <v>8.3058400000000017</v>
      </c>
      <c r="AT1392" s="4">
        <f>AS1392/(AM1392^2)*100</f>
        <v>1.4182501195273549</v>
      </c>
      <c r="AU1392" s="5">
        <v>0</v>
      </c>
      <c r="AV1392" s="4">
        <f>AT1392*(1-AL1392)/AL1392</f>
        <v>2.3536916877262484</v>
      </c>
      <c r="AW1392" s="9" t="s">
        <v>567</v>
      </c>
    </row>
    <row r="1393" spans="1:49">
      <c r="A1393" s="1">
        <v>53</v>
      </c>
      <c r="B1393" s="1" t="s">
        <v>38</v>
      </c>
      <c r="C1393" s="1" t="s">
        <v>38</v>
      </c>
      <c r="D1393" s="1" t="s">
        <v>566</v>
      </c>
      <c r="E1393" s="1" t="s">
        <v>302</v>
      </c>
      <c r="F1393" s="1">
        <v>1997</v>
      </c>
      <c r="G1393" s="3" t="s">
        <v>72</v>
      </c>
      <c r="H1393" s="3" t="s">
        <v>73</v>
      </c>
      <c r="I1393" s="3" t="s">
        <v>74</v>
      </c>
      <c r="J1393" s="3" t="s">
        <v>75</v>
      </c>
      <c r="K1393" s="1" t="s">
        <v>45</v>
      </c>
      <c r="L1393" s="3" t="s">
        <v>46</v>
      </c>
      <c r="M1393" s="1" t="s">
        <v>12</v>
      </c>
      <c r="N1393" s="1" t="s">
        <v>76</v>
      </c>
      <c r="O1393" s="1">
        <v>0.61099999999999999</v>
      </c>
      <c r="P1393" s="1" t="s">
        <v>49</v>
      </c>
      <c r="Q1393" s="1">
        <v>0.75</v>
      </c>
      <c r="R1393" s="1">
        <v>1</v>
      </c>
      <c r="S1393" s="1" t="s">
        <v>77</v>
      </c>
      <c r="T1393" s="1" t="s">
        <v>78</v>
      </c>
      <c r="U1393" s="1" t="s">
        <v>79</v>
      </c>
      <c r="V1393" s="1" t="s">
        <v>80</v>
      </c>
      <c r="W1393" s="3">
        <v>38.049999999999997</v>
      </c>
      <c r="X1393" s="3">
        <v>-119.99</v>
      </c>
      <c r="Y1393" s="1" t="s">
        <v>48</v>
      </c>
      <c r="Z1393" s="1" t="s">
        <v>49</v>
      </c>
      <c r="AA1393" s="1" t="s">
        <v>50</v>
      </c>
      <c r="AB1393" s="1" t="s">
        <v>201</v>
      </c>
      <c r="AC1393" s="1" t="s">
        <v>204</v>
      </c>
      <c r="AD1393" s="1" t="s">
        <v>419</v>
      </c>
      <c r="AE1393" s="1" t="s">
        <v>419</v>
      </c>
      <c r="AF1393" s="1" t="s">
        <v>53</v>
      </c>
      <c r="AG1393" s="1" t="s">
        <v>53</v>
      </c>
      <c r="AH1393" s="1" t="s">
        <v>83</v>
      </c>
      <c r="AI1393" s="1" t="s">
        <v>55</v>
      </c>
      <c r="AJ1393" s="1">
        <v>23</v>
      </c>
      <c r="AK1393" s="1">
        <v>230</v>
      </c>
      <c r="AL1393" s="4">
        <v>0.32200000000000001</v>
      </c>
      <c r="AM1393" s="1">
        <v>15403.8</v>
      </c>
      <c r="AN1393" s="1">
        <f>9748.4^2</f>
        <v>95031302.559999987</v>
      </c>
      <c r="AO1393" s="1" t="s">
        <v>49</v>
      </c>
      <c r="AP1393" s="6">
        <v>1</v>
      </c>
      <c r="AQ1393" s="6" t="s">
        <v>49</v>
      </c>
      <c r="AR1393" s="6" t="s">
        <v>49</v>
      </c>
      <c r="AS1393" s="1">
        <f>AL1393*AN1393</f>
        <v>30600079.424319997</v>
      </c>
      <c r="AT1393" s="4">
        <f>AS1393/(AM1393^2)*100</f>
        <v>12.896350005920109</v>
      </c>
      <c r="AU1393" s="5">
        <v>0</v>
      </c>
      <c r="AV1393" s="4">
        <f>AT1393*(1-AL1393)/AL1393</f>
        <v>27.154426409980847</v>
      </c>
      <c r="AW1393" s="9" t="s">
        <v>567</v>
      </c>
    </row>
    <row r="1394" spans="1:49">
      <c r="A1394" s="1">
        <v>53</v>
      </c>
      <c r="B1394" s="1" t="s">
        <v>38</v>
      </c>
      <c r="C1394" s="1" t="s">
        <v>38</v>
      </c>
      <c r="D1394" s="1" t="s">
        <v>566</v>
      </c>
      <c r="E1394" s="1" t="s">
        <v>302</v>
      </c>
      <c r="F1394" s="1">
        <v>1997</v>
      </c>
      <c r="G1394" s="3" t="s">
        <v>72</v>
      </c>
      <c r="H1394" s="3" t="s">
        <v>73</v>
      </c>
      <c r="I1394" s="3" t="s">
        <v>74</v>
      </c>
      <c r="J1394" s="3" t="s">
        <v>75</v>
      </c>
      <c r="K1394" s="1" t="s">
        <v>45</v>
      </c>
      <c r="L1394" s="3" t="s">
        <v>46</v>
      </c>
      <c r="M1394" s="1" t="s">
        <v>12</v>
      </c>
      <c r="N1394" s="1" t="s">
        <v>76</v>
      </c>
      <c r="O1394" s="1">
        <v>0.61099999999999999</v>
      </c>
      <c r="P1394" s="1" t="s">
        <v>49</v>
      </c>
      <c r="Q1394" s="1">
        <v>0.75</v>
      </c>
      <c r="R1394" s="1">
        <v>1</v>
      </c>
      <c r="S1394" s="1" t="s">
        <v>77</v>
      </c>
      <c r="T1394" s="1" t="s">
        <v>78</v>
      </c>
      <c r="U1394" s="1" t="s">
        <v>79</v>
      </c>
      <c r="V1394" s="1" t="s">
        <v>80</v>
      </c>
      <c r="W1394" s="3">
        <v>38.049999999999997</v>
      </c>
      <c r="X1394" s="3">
        <v>-119.99</v>
      </c>
      <c r="Y1394" s="1" t="s">
        <v>48</v>
      </c>
      <c r="Z1394" s="1" t="s">
        <v>49</v>
      </c>
      <c r="AA1394" s="1" t="s">
        <v>50</v>
      </c>
      <c r="AB1394" s="1" t="s">
        <v>86</v>
      </c>
      <c r="AC1394" s="1" t="s">
        <v>207</v>
      </c>
      <c r="AD1394" s="1" t="s">
        <v>207</v>
      </c>
      <c r="AE1394" s="1" t="s">
        <v>207</v>
      </c>
      <c r="AF1394" s="1" t="s">
        <v>60</v>
      </c>
      <c r="AG1394" s="1" t="s">
        <v>61</v>
      </c>
      <c r="AH1394" s="1" t="s">
        <v>83</v>
      </c>
      <c r="AI1394" s="1" t="s">
        <v>55</v>
      </c>
      <c r="AJ1394" s="1">
        <v>23</v>
      </c>
      <c r="AK1394" s="1">
        <v>230</v>
      </c>
      <c r="AL1394" s="4">
        <v>0</v>
      </c>
      <c r="AM1394" s="1">
        <v>26.3</v>
      </c>
      <c r="AN1394" s="1">
        <f>3.2^2</f>
        <v>10.240000000000002</v>
      </c>
      <c r="AO1394" s="1" t="s">
        <v>49</v>
      </c>
      <c r="AP1394" s="6">
        <v>1</v>
      </c>
      <c r="AQ1394" s="6" t="s">
        <v>49</v>
      </c>
      <c r="AR1394" s="6" t="s">
        <v>49</v>
      </c>
      <c r="AS1394" s="1">
        <f>AL1394*AN1394</f>
        <v>0</v>
      </c>
      <c r="AT1394" s="4">
        <f>AS1394/(AM1394^2)*100</f>
        <v>0</v>
      </c>
      <c r="AU1394" s="5">
        <v>0</v>
      </c>
      <c r="AV1394" s="4">
        <f>AN1394/(AM1394^2)*100</f>
        <v>1.4804319854269978</v>
      </c>
      <c r="AW1394" s="9" t="s">
        <v>567</v>
      </c>
    </row>
    <row r="1395" spans="1:49">
      <c r="A1395" s="1">
        <v>53</v>
      </c>
      <c r="B1395" s="1" t="s">
        <v>38</v>
      </c>
      <c r="C1395" s="1" t="s">
        <v>38</v>
      </c>
      <c r="D1395" s="1" t="s">
        <v>566</v>
      </c>
      <c r="E1395" s="1" t="s">
        <v>302</v>
      </c>
      <c r="F1395" s="1">
        <v>1997</v>
      </c>
      <c r="G1395" s="3" t="s">
        <v>72</v>
      </c>
      <c r="H1395" s="3" t="s">
        <v>73</v>
      </c>
      <c r="I1395" s="3" t="s">
        <v>74</v>
      </c>
      <c r="J1395" s="3" t="s">
        <v>75</v>
      </c>
      <c r="K1395" s="1" t="s">
        <v>45</v>
      </c>
      <c r="L1395" s="3" t="s">
        <v>46</v>
      </c>
      <c r="M1395" s="1" t="s">
        <v>12</v>
      </c>
      <c r="N1395" s="1" t="s">
        <v>76</v>
      </c>
      <c r="O1395" s="1">
        <v>0.61099999999999999</v>
      </c>
      <c r="P1395" s="1" t="s">
        <v>49</v>
      </c>
      <c r="Q1395" s="1">
        <v>0.75</v>
      </c>
      <c r="R1395" s="1">
        <v>1</v>
      </c>
      <c r="S1395" s="1" t="s">
        <v>77</v>
      </c>
      <c r="T1395" s="1" t="s">
        <v>78</v>
      </c>
      <c r="U1395" s="1" t="s">
        <v>79</v>
      </c>
      <c r="V1395" s="1" t="s">
        <v>80</v>
      </c>
      <c r="W1395" s="3">
        <v>38.049999999999997</v>
      </c>
      <c r="X1395" s="3">
        <v>-119.99</v>
      </c>
      <c r="Y1395" s="1" t="s">
        <v>48</v>
      </c>
      <c r="Z1395" s="1" t="s">
        <v>49</v>
      </c>
      <c r="AA1395" s="1" t="s">
        <v>50</v>
      </c>
      <c r="AB1395" s="1" t="s">
        <v>201</v>
      </c>
      <c r="AC1395" s="1" t="s">
        <v>202</v>
      </c>
      <c r="AD1395" s="1" t="s">
        <v>203</v>
      </c>
      <c r="AE1395" s="1" t="s">
        <v>203</v>
      </c>
      <c r="AF1395" s="1" t="s">
        <v>53</v>
      </c>
      <c r="AG1395" s="1" t="s">
        <v>53</v>
      </c>
      <c r="AH1395" s="1" t="s">
        <v>83</v>
      </c>
      <c r="AI1395" s="1" t="s">
        <v>55</v>
      </c>
      <c r="AJ1395" s="1">
        <v>23</v>
      </c>
      <c r="AK1395" s="1">
        <v>230</v>
      </c>
      <c r="AL1395" s="4">
        <v>0.48299999999999998</v>
      </c>
      <c r="AM1395" s="1">
        <v>1020.3</v>
      </c>
      <c r="AN1395" s="1">
        <f>384.3^2</f>
        <v>147686.49000000002</v>
      </c>
      <c r="AO1395" s="1" t="s">
        <v>49</v>
      </c>
      <c r="AP1395" s="6">
        <v>1</v>
      </c>
      <c r="AQ1395" s="6" t="s">
        <v>49</v>
      </c>
      <c r="AR1395" s="6" t="s">
        <v>49</v>
      </c>
      <c r="AS1395" s="1">
        <f>AL1395*AN1395</f>
        <v>71332.574670000002</v>
      </c>
      <c r="AT1395" s="4">
        <f>AS1395/(AM1395^2)*100</f>
        <v>6.8522330677254679</v>
      </c>
      <c r="AU1395" s="5">
        <v>0</v>
      </c>
      <c r="AV1395" s="4">
        <f>AT1395*(1-AL1395)/AL1395</f>
        <v>7.3345848778759155</v>
      </c>
      <c r="AW1395" s="9" t="s">
        <v>567</v>
      </c>
    </row>
    <row r="1396" spans="1:49">
      <c r="A1396" s="1">
        <v>53</v>
      </c>
      <c r="B1396" s="1" t="s">
        <v>38</v>
      </c>
      <c r="C1396" s="1" t="s">
        <v>38</v>
      </c>
      <c r="D1396" s="1" t="s">
        <v>566</v>
      </c>
      <c r="E1396" s="1" t="s">
        <v>302</v>
      </c>
      <c r="F1396" s="1">
        <v>1997</v>
      </c>
      <c r="G1396" s="3" t="s">
        <v>72</v>
      </c>
      <c r="H1396" s="3" t="s">
        <v>73</v>
      </c>
      <c r="I1396" s="3" t="s">
        <v>74</v>
      </c>
      <c r="J1396" s="3" t="s">
        <v>75</v>
      </c>
      <c r="K1396" s="1" t="s">
        <v>45</v>
      </c>
      <c r="L1396" s="3" t="s">
        <v>46</v>
      </c>
      <c r="M1396" s="1" t="s">
        <v>12</v>
      </c>
      <c r="N1396" s="1" t="s">
        <v>76</v>
      </c>
      <c r="O1396" s="1">
        <v>0.61099999999999999</v>
      </c>
      <c r="P1396" s="1" t="s">
        <v>49</v>
      </c>
      <c r="Q1396" s="1">
        <v>0.75</v>
      </c>
      <c r="R1396" s="1">
        <v>1</v>
      </c>
      <c r="S1396" s="1" t="s">
        <v>77</v>
      </c>
      <c r="T1396" s="1" t="s">
        <v>78</v>
      </c>
      <c r="U1396" s="1" t="s">
        <v>79</v>
      </c>
      <c r="V1396" s="1" t="s">
        <v>80</v>
      </c>
      <c r="W1396" s="3">
        <v>38.049999999999997</v>
      </c>
      <c r="X1396" s="3">
        <v>-119.99</v>
      </c>
      <c r="Y1396" s="1" t="s">
        <v>48</v>
      </c>
      <c r="Z1396" s="1" t="s">
        <v>49</v>
      </c>
      <c r="AA1396" s="6" t="s">
        <v>49</v>
      </c>
      <c r="AB1396" s="6" t="s">
        <v>49</v>
      </c>
      <c r="AC1396" s="6" t="s">
        <v>49</v>
      </c>
      <c r="AD1396" s="1" t="s">
        <v>89</v>
      </c>
      <c r="AE1396" s="1" t="s">
        <v>419</v>
      </c>
      <c r="AF1396" s="6" t="s">
        <v>49</v>
      </c>
      <c r="AG1396" s="6" t="s">
        <v>49</v>
      </c>
      <c r="AH1396" s="1" t="s">
        <v>83</v>
      </c>
      <c r="AI1396" s="1" t="s">
        <v>55</v>
      </c>
      <c r="AJ1396" s="20" t="s">
        <v>49</v>
      </c>
      <c r="AK1396" s="20" t="s">
        <v>49</v>
      </c>
      <c r="AL1396" s="20" t="s">
        <v>49</v>
      </c>
      <c r="AM1396" s="20" t="s">
        <v>49</v>
      </c>
      <c r="AN1396" s="1" t="s">
        <v>49</v>
      </c>
      <c r="AO1396" s="1" t="s">
        <v>49</v>
      </c>
      <c r="AP1396" s="6">
        <v>1</v>
      </c>
      <c r="AQ1396" s="6">
        <v>0.72</v>
      </c>
      <c r="AR1396" s="6" t="s">
        <v>49</v>
      </c>
      <c r="AS1396" s="6" t="s">
        <v>49</v>
      </c>
      <c r="AT1396" s="6" t="s">
        <v>49</v>
      </c>
      <c r="AU1396" s="6" t="s">
        <v>49</v>
      </c>
      <c r="AV1396" s="6" t="s">
        <v>49</v>
      </c>
      <c r="AW1396" s="9" t="s">
        <v>568</v>
      </c>
    </row>
    <row r="1397" spans="1:49">
      <c r="A1397" s="1">
        <v>53</v>
      </c>
      <c r="B1397" s="1" t="s">
        <v>38</v>
      </c>
      <c r="C1397" s="1" t="s">
        <v>38</v>
      </c>
      <c r="D1397" s="1" t="s">
        <v>566</v>
      </c>
      <c r="E1397" s="1" t="s">
        <v>302</v>
      </c>
      <c r="F1397" s="1">
        <v>1997</v>
      </c>
      <c r="G1397" s="3" t="s">
        <v>72</v>
      </c>
      <c r="H1397" s="3" t="s">
        <v>73</v>
      </c>
      <c r="I1397" s="3" t="s">
        <v>74</v>
      </c>
      <c r="J1397" s="3" t="s">
        <v>75</v>
      </c>
      <c r="K1397" s="1" t="s">
        <v>45</v>
      </c>
      <c r="L1397" s="3" t="s">
        <v>46</v>
      </c>
      <c r="M1397" s="1" t="s">
        <v>12</v>
      </c>
      <c r="N1397" s="1" t="s">
        <v>76</v>
      </c>
      <c r="O1397" s="1">
        <v>0.61099999999999999</v>
      </c>
      <c r="P1397" s="1" t="s">
        <v>49</v>
      </c>
      <c r="Q1397" s="1">
        <v>0.75</v>
      </c>
      <c r="R1397" s="1">
        <v>1</v>
      </c>
      <c r="S1397" s="1" t="s">
        <v>77</v>
      </c>
      <c r="T1397" s="1" t="s">
        <v>78</v>
      </c>
      <c r="U1397" s="1" t="s">
        <v>79</v>
      </c>
      <c r="V1397" s="1" t="s">
        <v>80</v>
      </c>
      <c r="W1397" s="3">
        <v>38.049999999999997</v>
      </c>
      <c r="X1397" s="3">
        <v>-119.99</v>
      </c>
      <c r="Y1397" s="1" t="s">
        <v>48</v>
      </c>
      <c r="Z1397" s="1" t="s">
        <v>49</v>
      </c>
      <c r="AA1397" s="6" t="s">
        <v>49</v>
      </c>
      <c r="AB1397" s="6" t="s">
        <v>49</v>
      </c>
      <c r="AC1397" s="6" t="s">
        <v>49</v>
      </c>
      <c r="AD1397" s="1" t="s">
        <v>89</v>
      </c>
      <c r="AE1397" s="1" t="s">
        <v>207</v>
      </c>
      <c r="AF1397" s="6" t="s">
        <v>49</v>
      </c>
      <c r="AG1397" s="6" t="s">
        <v>49</v>
      </c>
      <c r="AH1397" s="1" t="s">
        <v>83</v>
      </c>
      <c r="AI1397" s="1" t="s">
        <v>55</v>
      </c>
      <c r="AJ1397" s="20" t="s">
        <v>49</v>
      </c>
      <c r="AK1397" s="20" t="s">
        <v>49</v>
      </c>
      <c r="AL1397" s="20" t="s">
        <v>49</v>
      </c>
      <c r="AM1397" s="20" t="s">
        <v>49</v>
      </c>
      <c r="AN1397" s="1" t="s">
        <v>49</v>
      </c>
      <c r="AO1397" s="1" t="s">
        <v>49</v>
      </c>
      <c r="AP1397" s="6">
        <v>1</v>
      </c>
      <c r="AQ1397" s="6">
        <v>-0.01</v>
      </c>
      <c r="AR1397" s="6" t="s">
        <v>49</v>
      </c>
      <c r="AS1397" s="6" t="s">
        <v>49</v>
      </c>
      <c r="AT1397" s="6" t="s">
        <v>49</v>
      </c>
      <c r="AU1397" s="6" t="s">
        <v>49</v>
      </c>
      <c r="AV1397" s="6" t="s">
        <v>49</v>
      </c>
      <c r="AW1397" s="9" t="s">
        <v>568</v>
      </c>
    </row>
    <row r="1398" spans="1:49">
      <c r="A1398" s="1">
        <v>53</v>
      </c>
      <c r="B1398" s="1" t="s">
        <v>38</v>
      </c>
      <c r="C1398" s="1" t="s">
        <v>38</v>
      </c>
      <c r="D1398" s="1" t="s">
        <v>566</v>
      </c>
      <c r="E1398" s="1" t="s">
        <v>302</v>
      </c>
      <c r="F1398" s="1">
        <v>1997</v>
      </c>
      <c r="G1398" s="3" t="s">
        <v>72</v>
      </c>
      <c r="H1398" s="3" t="s">
        <v>73</v>
      </c>
      <c r="I1398" s="3" t="s">
        <v>74</v>
      </c>
      <c r="J1398" s="3" t="s">
        <v>75</v>
      </c>
      <c r="K1398" s="1" t="s">
        <v>45</v>
      </c>
      <c r="L1398" s="3" t="s">
        <v>46</v>
      </c>
      <c r="M1398" s="1" t="s">
        <v>12</v>
      </c>
      <c r="N1398" s="1" t="s">
        <v>76</v>
      </c>
      <c r="O1398" s="1">
        <v>0.61099999999999999</v>
      </c>
      <c r="P1398" s="1" t="s">
        <v>49</v>
      </c>
      <c r="Q1398" s="1">
        <v>0.75</v>
      </c>
      <c r="R1398" s="1">
        <v>1</v>
      </c>
      <c r="S1398" s="1" t="s">
        <v>77</v>
      </c>
      <c r="T1398" s="1" t="s">
        <v>78</v>
      </c>
      <c r="U1398" s="1" t="s">
        <v>79</v>
      </c>
      <c r="V1398" s="1" t="s">
        <v>80</v>
      </c>
      <c r="W1398" s="3">
        <v>38.049999999999997</v>
      </c>
      <c r="X1398" s="3">
        <v>-119.99</v>
      </c>
      <c r="Y1398" s="1" t="s">
        <v>48</v>
      </c>
      <c r="Z1398" s="1" t="s">
        <v>49</v>
      </c>
      <c r="AA1398" s="6" t="s">
        <v>49</v>
      </c>
      <c r="AB1398" s="6" t="s">
        <v>49</v>
      </c>
      <c r="AC1398" s="6" t="s">
        <v>49</v>
      </c>
      <c r="AD1398" s="1" t="s">
        <v>89</v>
      </c>
      <c r="AE1398" s="1" t="s">
        <v>203</v>
      </c>
      <c r="AF1398" s="6" t="s">
        <v>49</v>
      </c>
      <c r="AG1398" s="6" t="s">
        <v>49</v>
      </c>
      <c r="AH1398" s="1" t="s">
        <v>83</v>
      </c>
      <c r="AI1398" s="1" t="s">
        <v>55</v>
      </c>
      <c r="AJ1398" s="20" t="s">
        <v>49</v>
      </c>
      <c r="AK1398" s="20" t="s">
        <v>49</v>
      </c>
      <c r="AL1398" s="20" t="s">
        <v>49</v>
      </c>
      <c r="AM1398" s="20" t="s">
        <v>49</v>
      </c>
      <c r="AN1398" s="1" t="s">
        <v>49</v>
      </c>
      <c r="AO1398" s="1" t="s">
        <v>49</v>
      </c>
      <c r="AP1398" s="6">
        <v>1</v>
      </c>
      <c r="AQ1398" s="6">
        <v>0.91</v>
      </c>
      <c r="AR1398" s="6" t="s">
        <v>49</v>
      </c>
      <c r="AS1398" s="6" t="s">
        <v>49</v>
      </c>
      <c r="AT1398" s="6" t="s">
        <v>49</v>
      </c>
      <c r="AU1398" s="6" t="s">
        <v>49</v>
      </c>
      <c r="AV1398" s="6" t="s">
        <v>49</v>
      </c>
      <c r="AW1398" s="9" t="s">
        <v>568</v>
      </c>
    </row>
    <row r="1399" spans="1:49">
      <c r="A1399" s="1">
        <v>53</v>
      </c>
      <c r="B1399" s="1" t="s">
        <v>38</v>
      </c>
      <c r="C1399" s="1" t="s">
        <v>38</v>
      </c>
      <c r="D1399" s="1" t="s">
        <v>566</v>
      </c>
      <c r="E1399" s="1" t="s">
        <v>302</v>
      </c>
      <c r="F1399" s="1">
        <v>1997</v>
      </c>
      <c r="G1399" s="3" t="s">
        <v>72</v>
      </c>
      <c r="H1399" s="3" t="s">
        <v>73</v>
      </c>
      <c r="I1399" s="3" t="s">
        <v>74</v>
      </c>
      <c r="J1399" s="3" t="s">
        <v>75</v>
      </c>
      <c r="K1399" s="1" t="s">
        <v>45</v>
      </c>
      <c r="L1399" s="3" t="s">
        <v>46</v>
      </c>
      <c r="M1399" s="1" t="s">
        <v>12</v>
      </c>
      <c r="N1399" s="1" t="s">
        <v>76</v>
      </c>
      <c r="O1399" s="1">
        <v>0.61099999999999999</v>
      </c>
      <c r="P1399" s="1" t="s">
        <v>49</v>
      </c>
      <c r="Q1399" s="1">
        <v>0.75</v>
      </c>
      <c r="R1399" s="1">
        <v>1</v>
      </c>
      <c r="S1399" s="1" t="s">
        <v>77</v>
      </c>
      <c r="T1399" s="1" t="s">
        <v>78</v>
      </c>
      <c r="U1399" s="1" t="s">
        <v>79</v>
      </c>
      <c r="V1399" s="1" t="s">
        <v>80</v>
      </c>
      <c r="W1399" s="3">
        <v>38.049999999999997</v>
      </c>
      <c r="X1399" s="3">
        <v>-119.99</v>
      </c>
      <c r="Y1399" s="1" t="s">
        <v>48</v>
      </c>
      <c r="Z1399" s="1" t="s">
        <v>49</v>
      </c>
      <c r="AA1399" s="6" t="s">
        <v>49</v>
      </c>
      <c r="AB1399" s="6" t="s">
        <v>49</v>
      </c>
      <c r="AC1399" s="6" t="s">
        <v>49</v>
      </c>
      <c r="AD1399" s="1" t="s">
        <v>419</v>
      </c>
      <c r="AE1399" s="1" t="s">
        <v>207</v>
      </c>
      <c r="AF1399" s="6" t="s">
        <v>49</v>
      </c>
      <c r="AG1399" s="6" t="s">
        <v>49</v>
      </c>
      <c r="AH1399" s="1" t="s">
        <v>83</v>
      </c>
      <c r="AI1399" s="1" t="s">
        <v>55</v>
      </c>
      <c r="AJ1399" s="20" t="s">
        <v>49</v>
      </c>
      <c r="AK1399" s="20" t="s">
        <v>49</v>
      </c>
      <c r="AL1399" s="20" t="s">
        <v>49</v>
      </c>
      <c r="AM1399" s="20" t="s">
        <v>49</v>
      </c>
      <c r="AN1399" s="1" t="s">
        <v>49</v>
      </c>
      <c r="AO1399" s="1" t="s">
        <v>49</v>
      </c>
      <c r="AP1399" s="6">
        <v>1</v>
      </c>
      <c r="AQ1399" s="6">
        <v>-0.08</v>
      </c>
      <c r="AR1399" s="6" t="s">
        <v>49</v>
      </c>
      <c r="AS1399" s="6" t="s">
        <v>49</v>
      </c>
      <c r="AT1399" s="6" t="s">
        <v>49</v>
      </c>
      <c r="AU1399" s="6" t="s">
        <v>49</v>
      </c>
      <c r="AV1399" s="6" t="s">
        <v>49</v>
      </c>
      <c r="AW1399" s="9" t="s">
        <v>568</v>
      </c>
    </row>
    <row r="1400" spans="1:49">
      <c r="A1400" s="1">
        <v>53</v>
      </c>
      <c r="B1400" s="1" t="s">
        <v>38</v>
      </c>
      <c r="C1400" s="1" t="s">
        <v>38</v>
      </c>
      <c r="D1400" s="1" t="s">
        <v>566</v>
      </c>
      <c r="E1400" s="1" t="s">
        <v>302</v>
      </c>
      <c r="F1400" s="1">
        <v>1997</v>
      </c>
      <c r="G1400" s="3" t="s">
        <v>72</v>
      </c>
      <c r="H1400" s="3" t="s">
        <v>73</v>
      </c>
      <c r="I1400" s="3" t="s">
        <v>74</v>
      </c>
      <c r="J1400" s="3" t="s">
        <v>75</v>
      </c>
      <c r="K1400" s="1" t="s">
        <v>45</v>
      </c>
      <c r="L1400" s="3" t="s">
        <v>46</v>
      </c>
      <c r="M1400" s="1" t="s">
        <v>12</v>
      </c>
      <c r="N1400" s="1" t="s">
        <v>76</v>
      </c>
      <c r="O1400" s="1">
        <v>0.61099999999999999</v>
      </c>
      <c r="P1400" s="1" t="s">
        <v>49</v>
      </c>
      <c r="Q1400" s="1">
        <v>0.75</v>
      </c>
      <c r="R1400" s="1">
        <v>1</v>
      </c>
      <c r="S1400" s="1" t="s">
        <v>77</v>
      </c>
      <c r="T1400" s="1" t="s">
        <v>78</v>
      </c>
      <c r="U1400" s="1" t="s">
        <v>79</v>
      </c>
      <c r="V1400" s="1" t="s">
        <v>80</v>
      </c>
      <c r="W1400" s="3">
        <v>38.049999999999997</v>
      </c>
      <c r="X1400" s="3">
        <v>-119.99</v>
      </c>
      <c r="Y1400" s="1" t="s">
        <v>48</v>
      </c>
      <c r="Z1400" s="1" t="s">
        <v>49</v>
      </c>
      <c r="AA1400" s="6" t="s">
        <v>49</v>
      </c>
      <c r="AB1400" s="6" t="s">
        <v>49</v>
      </c>
      <c r="AC1400" s="6" t="s">
        <v>49</v>
      </c>
      <c r="AD1400" s="1" t="s">
        <v>419</v>
      </c>
      <c r="AE1400" s="1" t="s">
        <v>203</v>
      </c>
      <c r="AF1400" s="6" t="s">
        <v>49</v>
      </c>
      <c r="AG1400" s="6" t="s">
        <v>49</v>
      </c>
      <c r="AH1400" s="1" t="s">
        <v>83</v>
      </c>
      <c r="AI1400" s="1" t="s">
        <v>55</v>
      </c>
      <c r="AJ1400" s="20" t="s">
        <v>49</v>
      </c>
      <c r="AK1400" s="20" t="s">
        <v>49</v>
      </c>
      <c r="AL1400" s="20" t="s">
        <v>49</v>
      </c>
      <c r="AM1400" s="20" t="s">
        <v>49</v>
      </c>
      <c r="AN1400" s="1" t="s">
        <v>49</v>
      </c>
      <c r="AO1400" s="1" t="s">
        <v>49</v>
      </c>
      <c r="AP1400" s="6">
        <v>1</v>
      </c>
      <c r="AQ1400" s="6">
        <v>0.68</v>
      </c>
      <c r="AR1400" s="6" t="s">
        <v>49</v>
      </c>
      <c r="AS1400" s="6" t="s">
        <v>49</v>
      </c>
      <c r="AT1400" s="6" t="s">
        <v>49</v>
      </c>
      <c r="AU1400" s="6" t="s">
        <v>49</v>
      </c>
      <c r="AV1400" s="6" t="s">
        <v>49</v>
      </c>
      <c r="AW1400" s="9" t="s">
        <v>568</v>
      </c>
    </row>
    <row r="1401" spans="1:49">
      <c r="A1401" s="1">
        <v>53</v>
      </c>
      <c r="B1401" s="1" t="s">
        <v>38</v>
      </c>
      <c r="C1401" s="1" t="s">
        <v>38</v>
      </c>
      <c r="D1401" s="1" t="s">
        <v>566</v>
      </c>
      <c r="E1401" s="1" t="s">
        <v>302</v>
      </c>
      <c r="F1401" s="1">
        <v>1997</v>
      </c>
      <c r="G1401" s="3" t="s">
        <v>72</v>
      </c>
      <c r="H1401" s="3" t="s">
        <v>73</v>
      </c>
      <c r="I1401" s="3" t="s">
        <v>74</v>
      </c>
      <c r="J1401" s="3" t="s">
        <v>75</v>
      </c>
      <c r="K1401" s="1" t="s">
        <v>45</v>
      </c>
      <c r="L1401" s="3" t="s">
        <v>46</v>
      </c>
      <c r="M1401" s="1" t="s">
        <v>12</v>
      </c>
      <c r="N1401" s="1" t="s">
        <v>76</v>
      </c>
      <c r="O1401" s="1">
        <v>0.61099999999999999</v>
      </c>
      <c r="P1401" s="1" t="s">
        <v>49</v>
      </c>
      <c r="Q1401" s="1">
        <v>0.75</v>
      </c>
      <c r="R1401" s="1">
        <v>1</v>
      </c>
      <c r="S1401" s="1" t="s">
        <v>77</v>
      </c>
      <c r="T1401" s="1" t="s">
        <v>78</v>
      </c>
      <c r="U1401" s="1" t="s">
        <v>79</v>
      </c>
      <c r="V1401" s="1" t="s">
        <v>80</v>
      </c>
      <c r="W1401" s="3">
        <v>38.049999999999997</v>
      </c>
      <c r="X1401" s="3">
        <v>-119.99</v>
      </c>
      <c r="Y1401" s="1" t="s">
        <v>48</v>
      </c>
      <c r="Z1401" s="1" t="s">
        <v>49</v>
      </c>
      <c r="AA1401" s="6" t="s">
        <v>49</v>
      </c>
      <c r="AB1401" s="6" t="s">
        <v>49</v>
      </c>
      <c r="AC1401" s="6" t="s">
        <v>49</v>
      </c>
      <c r="AD1401" s="1" t="s">
        <v>207</v>
      </c>
      <c r="AE1401" s="1" t="s">
        <v>203</v>
      </c>
      <c r="AF1401" s="6" t="s">
        <v>49</v>
      </c>
      <c r="AG1401" s="6" t="s">
        <v>49</v>
      </c>
      <c r="AH1401" s="1" t="s">
        <v>83</v>
      </c>
      <c r="AI1401" s="1" t="s">
        <v>55</v>
      </c>
      <c r="AJ1401" s="20" t="s">
        <v>49</v>
      </c>
      <c r="AK1401" s="20" t="s">
        <v>49</v>
      </c>
      <c r="AL1401" s="20" t="s">
        <v>49</v>
      </c>
      <c r="AM1401" s="20" t="s">
        <v>49</v>
      </c>
      <c r="AN1401" s="1" t="s">
        <v>49</v>
      </c>
      <c r="AO1401" s="1" t="s">
        <v>49</v>
      </c>
      <c r="AP1401" s="6">
        <v>1</v>
      </c>
      <c r="AQ1401" s="6">
        <v>7.0000000000000007E-2</v>
      </c>
      <c r="AR1401" s="6" t="s">
        <v>49</v>
      </c>
      <c r="AS1401" s="6" t="s">
        <v>49</v>
      </c>
      <c r="AT1401" s="6" t="s">
        <v>49</v>
      </c>
      <c r="AU1401" s="6" t="s">
        <v>49</v>
      </c>
      <c r="AV1401" s="6" t="s">
        <v>49</v>
      </c>
      <c r="AW1401" s="9" t="s">
        <v>568</v>
      </c>
    </row>
    <row r="1402" spans="1:49">
      <c r="A1402" s="1">
        <v>53</v>
      </c>
      <c r="B1402" s="1" t="s">
        <v>38</v>
      </c>
      <c r="C1402" s="1" t="s">
        <v>38</v>
      </c>
      <c r="D1402" s="1" t="s">
        <v>566</v>
      </c>
      <c r="E1402" s="1" t="s">
        <v>302</v>
      </c>
      <c r="F1402" s="1">
        <v>1997</v>
      </c>
      <c r="G1402" s="3" t="s">
        <v>72</v>
      </c>
      <c r="H1402" s="3" t="s">
        <v>73</v>
      </c>
      <c r="I1402" s="3" t="s">
        <v>74</v>
      </c>
      <c r="J1402" s="3" t="s">
        <v>75</v>
      </c>
      <c r="K1402" s="1" t="s">
        <v>45</v>
      </c>
      <c r="L1402" s="3" t="s">
        <v>46</v>
      </c>
      <c r="M1402" s="1" t="s">
        <v>12</v>
      </c>
      <c r="N1402" s="1" t="s">
        <v>76</v>
      </c>
      <c r="O1402" s="1">
        <v>0.61099999999999999</v>
      </c>
      <c r="P1402" s="1" t="s">
        <v>49</v>
      </c>
      <c r="Q1402" s="1">
        <v>0.75</v>
      </c>
      <c r="R1402" s="1">
        <v>1</v>
      </c>
      <c r="S1402" s="1" t="s">
        <v>77</v>
      </c>
      <c r="T1402" s="1" t="s">
        <v>78</v>
      </c>
      <c r="U1402" s="1" t="s">
        <v>79</v>
      </c>
      <c r="V1402" s="1" t="s">
        <v>133</v>
      </c>
      <c r="W1402" s="3">
        <v>38.049999999999997</v>
      </c>
      <c r="X1402" s="3">
        <v>-119.99</v>
      </c>
      <c r="Y1402" s="1" t="s">
        <v>48</v>
      </c>
      <c r="Z1402" s="1" t="s">
        <v>49</v>
      </c>
      <c r="AA1402" s="1" t="s">
        <v>50</v>
      </c>
      <c r="AB1402" s="1" t="s">
        <v>66</v>
      </c>
      <c r="AC1402" s="1" t="s">
        <v>67</v>
      </c>
      <c r="AD1402" s="1" t="s">
        <v>89</v>
      </c>
      <c r="AE1402" s="1" t="s">
        <v>89</v>
      </c>
      <c r="AF1402" s="1" t="s">
        <v>60</v>
      </c>
      <c r="AG1402" s="1" t="s">
        <v>61</v>
      </c>
      <c r="AH1402" s="1" t="s">
        <v>83</v>
      </c>
      <c r="AI1402" s="1" t="s">
        <v>55</v>
      </c>
      <c r="AJ1402" s="1">
        <v>25</v>
      </c>
      <c r="AK1402" s="1">
        <v>250</v>
      </c>
      <c r="AL1402" s="4">
        <v>0.157</v>
      </c>
      <c r="AM1402" s="1">
        <v>22.9</v>
      </c>
      <c r="AN1402" s="1">
        <f>3.6^2</f>
        <v>12.96</v>
      </c>
      <c r="AO1402" s="1" t="s">
        <v>49</v>
      </c>
      <c r="AP1402" s="6">
        <v>1</v>
      </c>
      <c r="AQ1402" s="6" t="s">
        <v>49</v>
      </c>
      <c r="AR1402" s="6" t="s">
        <v>49</v>
      </c>
      <c r="AS1402" s="1">
        <f>AL1402*AN1402</f>
        <v>2.0347200000000001</v>
      </c>
      <c r="AT1402" s="4">
        <f>AS1402/(AM1402^2)*100</f>
        <v>0.38800175435251044</v>
      </c>
      <c r="AU1402" s="5">
        <v>0</v>
      </c>
      <c r="AV1402" s="4">
        <f>AT1402*(1-AL1402)/AL1402</f>
        <v>2.0833469994851357</v>
      </c>
      <c r="AW1402" s="9" t="s">
        <v>567</v>
      </c>
    </row>
    <row r="1403" spans="1:49">
      <c r="A1403" s="1">
        <v>53</v>
      </c>
      <c r="B1403" s="1" t="s">
        <v>38</v>
      </c>
      <c r="C1403" s="1" t="s">
        <v>38</v>
      </c>
      <c r="D1403" s="1" t="s">
        <v>566</v>
      </c>
      <c r="E1403" s="1" t="s">
        <v>302</v>
      </c>
      <c r="F1403" s="1">
        <v>1997</v>
      </c>
      <c r="G1403" s="3" t="s">
        <v>72</v>
      </c>
      <c r="H1403" s="3" t="s">
        <v>73</v>
      </c>
      <c r="I1403" s="3" t="s">
        <v>74</v>
      </c>
      <c r="J1403" s="3" t="s">
        <v>75</v>
      </c>
      <c r="K1403" s="1" t="s">
        <v>45</v>
      </c>
      <c r="L1403" s="3" t="s">
        <v>46</v>
      </c>
      <c r="M1403" s="1" t="s">
        <v>12</v>
      </c>
      <c r="N1403" s="1" t="s">
        <v>76</v>
      </c>
      <c r="O1403" s="1">
        <v>0.61099999999999999</v>
      </c>
      <c r="P1403" s="1" t="s">
        <v>49</v>
      </c>
      <c r="Q1403" s="1">
        <v>0.75</v>
      </c>
      <c r="R1403" s="1">
        <v>1</v>
      </c>
      <c r="S1403" s="1" t="s">
        <v>77</v>
      </c>
      <c r="T1403" s="1" t="s">
        <v>78</v>
      </c>
      <c r="U1403" s="1" t="s">
        <v>79</v>
      </c>
      <c r="V1403" s="1" t="s">
        <v>133</v>
      </c>
      <c r="W1403" s="3">
        <v>38.049999999999997</v>
      </c>
      <c r="X1403" s="3">
        <v>-119.99</v>
      </c>
      <c r="Y1403" s="1" t="s">
        <v>48</v>
      </c>
      <c r="Z1403" s="1" t="s">
        <v>49</v>
      </c>
      <c r="AA1403" s="1" t="s">
        <v>50</v>
      </c>
      <c r="AB1403" s="1" t="s">
        <v>201</v>
      </c>
      <c r="AC1403" s="1" t="s">
        <v>204</v>
      </c>
      <c r="AD1403" s="1" t="s">
        <v>419</v>
      </c>
      <c r="AE1403" s="1" t="s">
        <v>419</v>
      </c>
      <c r="AF1403" s="1" t="s">
        <v>53</v>
      </c>
      <c r="AG1403" s="1" t="s">
        <v>53</v>
      </c>
      <c r="AH1403" s="1" t="s">
        <v>83</v>
      </c>
      <c r="AI1403" s="1" t="s">
        <v>55</v>
      </c>
      <c r="AJ1403" s="1">
        <v>25</v>
      </c>
      <c r="AK1403" s="1">
        <v>250</v>
      </c>
      <c r="AL1403" s="4">
        <v>0.25900000000000001</v>
      </c>
      <c r="AM1403" s="1">
        <v>18541.400000000001</v>
      </c>
      <c r="AN1403" s="1">
        <f>9361.2^2</f>
        <v>87632065.440000013</v>
      </c>
      <c r="AO1403" s="1" t="s">
        <v>49</v>
      </c>
      <c r="AP1403" s="6">
        <v>1</v>
      </c>
      <c r="AQ1403" s="6" t="s">
        <v>49</v>
      </c>
      <c r="AR1403" s="6" t="s">
        <v>49</v>
      </c>
      <c r="AS1403" s="1">
        <f>AL1403*AN1403</f>
        <v>22696704.948960003</v>
      </c>
      <c r="AT1403" s="4">
        <f>AS1403/(AM1403^2)*100</f>
        <v>6.6020341369833151</v>
      </c>
      <c r="AU1403" s="5">
        <v>0</v>
      </c>
      <c r="AV1403" s="4">
        <f>AT1403*(1-AL1403)/AL1403</f>
        <v>18.888445156388556</v>
      </c>
      <c r="AW1403" s="9" t="s">
        <v>567</v>
      </c>
    </row>
    <row r="1404" spans="1:49">
      <c r="A1404" s="1">
        <v>53</v>
      </c>
      <c r="B1404" s="1" t="s">
        <v>38</v>
      </c>
      <c r="C1404" s="1" t="s">
        <v>38</v>
      </c>
      <c r="D1404" s="1" t="s">
        <v>566</v>
      </c>
      <c r="E1404" s="1" t="s">
        <v>302</v>
      </c>
      <c r="F1404" s="1">
        <v>1997</v>
      </c>
      <c r="G1404" s="3" t="s">
        <v>72</v>
      </c>
      <c r="H1404" s="3" t="s">
        <v>73</v>
      </c>
      <c r="I1404" s="3" t="s">
        <v>74</v>
      </c>
      <c r="J1404" s="3" t="s">
        <v>75</v>
      </c>
      <c r="K1404" s="1" t="s">
        <v>45</v>
      </c>
      <c r="L1404" s="3" t="s">
        <v>46</v>
      </c>
      <c r="M1404" s="1" t="s">
        <v>12</v>
      </c>
      <c r="N1404" s="1" t="s">
        <v>76</v>
      </c>
      <c r="O1404" s="1">
        <v>0.61099999999999999</v>
      </c>
      <c r="P1404" s="1" t="s">
        <v>49</v>
      </c>
      <c r="Q1404" s="1">
        <v>0.75</v>
      </c>
      <c r="R1404" s="1">
        <v>1</v>
      </c>
      <c r="S1404" s="1" t="s">
        <v>77</v>
      </c>
      <c r="T1404" s="1" t="s">
        <v>78</v>
      </c>
      <c r="U1404" s="1" t="s">
        <v>79</v>
      </c>
      <c r="V1404" s="1" t="s">
        <v>133</v>
      </c>
      <c r="W1404" s="3">
        <v>38.049999999999997</v>
      </c>
      <c r="X1404" s="3">
        <v>-119.99</v>
      </c>
      <c r="Y1404" s="1" t="s">
        <v>48</v>
      </c>
      <c r="Z1404" s="1" t="s">
        <v>49</v>
      </c>
      <c r="AA1404" s="1" t="s">
        <v>50</v>
      </c>
      <c r="AB1404" s="1" t="s">
        <v>86</v>
      </c>
      <c r="AC1404" s="1" t="s">
        <v>207</v>
      </c>
      <c r="AD1404" s="1" t="s">
        <v>207</v>
      </c>
      <c r="AE1404" s="1" t="s">
        <v>207</v>
      </c>
      <c r="AF1404" s="1" t="s">
        <v>60</v>
      </c>
      <c r="AG1404" s="1" t="s">
        <v>61</v>
      </c>
      <c r="AH1404" s="1" t="s">
        <v>83</v>
      </c>
      <c r="AI1404" s="1" t="s">
        <v>55</v>
      </c>
      <c r="AJ1404" s="1">
        <v>25</v>
      </c>
      <c r="AK1404" s="1">
        <v>250</v>
      </c>
      <c r="AL1404" s="4">
        <v>3.2000000000000001E-2</v>
      </c>
      <c r="AM1404" s="1">
        <v>27</v>
      </c>
      <c r="AN1404" s="1">
        <f>2.1^2</f>
        <v>4.41</v>
      </c>
      <c r="AO1404" s="1" t="s">
        <v>49</v>
      </c>
      <c r="AP1404" s="6">
        <v>1</v>
      </c>
      <c r="AQ1404" s="6" t="s">
        <v>49</v>
      </c>
      <c r="AR1404" s="6" t="s">
        <v>49</v>
      </c>
      <c r="AS1404" s="1">
        <f>AL1404*AN1404</f>
        <v>0.14112</v>
      </c>
      <c r="AT1404" s="4">
        <f>AS1404/(AM1404^2)*100</f>
        <v>1.9358024691358024E-2</v>
      </c>
      <c r="AU1404" s="5">
        <v>0</v>
      </c>
      <c r="AV1404" s="4">
        <f>AT1404*(1-AL1404)/AL1404</f>
        <v>0.58558024691358024</v>
      </c>
      <c r="AW1404" s="9" t="s">
        <v>567</v>
      </c>
    </row>
    <row r="1405" spans="1:49">
      <c r="A1405" s="1">
        <v>53</v>
      </c>
      <c r="B1405" s="1" t="s">
        <v>38</v>
      </c>
      <c r="C1405" s="1" t="s">
        <v>38</v>
      </c>
      <c r="D1405" s="1" t="s">
        <v>566</v>
      </c>
      <c r="E1405" s="1" t="s">
        <v>302</v>
      </c>
      <c r="F1405" s="1">
        <v>1997</v>
      </c>
      <c r="G1405" s="3" t="s">
        <v>72</v>
      </c>
      <c r="H1405" s="3" t="s">
        <v>73</v>
      </c>
      <c r="I1405" s="3" t="s">
        <v>74</v>
      </c>
      <c r="J1405" s="3" t="s">
        <v>75</v>
      </c>
      <c r="K1405" s="1" t="s">
        <v>45</v>
      </c>
      <c r="L1405" s="3" t="s">
        <v>46</v>
      </c>
      <c r="M1405" s="1" t="s">
        <v>12</v>
      </c>
      <c r="N1405" s="1" t="s">
        <v>76</v>
      </c>
      <c r="O1405" s="1">
        <v>0.61099999999999999</v>
      </c>
      <c r="P1405" s="1" t="s">
        <v>49</v>
      </c>
      <c r="Q1405" s="1">
        <v>0.75</v>
      </c>
      <c r="R1405" s="1">
        <v>1</v>
      </c>
      <c r="S1405" s="1" t="s">
        <v>77</v>
      </c>
      <c r="T1405" s="1" t="s">
        <v>78</v>
      </c>
      <c r="U1405" s="1" t="s">
        <v>79</v>
      </c>
      <c r="V1405" s="1" t="s">
        <v>133</v>
      </c>
      <c r="W1405" s="3">
        <v>38.049999999999997</v>
      </c>
      <c r="X1405" s="3">
        <v>-119.99</v>
      </c>
      <c r="Y1405" s="1" t="s">
        <v>48</v>
      </c>
      <c r="Z1405" s="1" t="s">
        <v>49</v>
      </c>
      <c r="AA1405" s="1" t="s">
        <v>50</v>
      </c>
      <c r="AB1405" s="1" t="s">
        <v>201</v>
      </c>
      <c r="AC1405" s="1" t="s">
        <v>202</v>
      </c>
      <c r="AD1405" s="1" t="s">
        <v>203</v>
      </c>
      <c r="AE1405" s="1" t="s">
        <v>203</v>
      </c>
      <c r="AF1405" s="1" t="s">
        <v>53</v>
      </c>
      <c r="AG1405" s="1" t="s">
        <v>53</v>
      </c>
      <c r="AH1405" s="1" t="s">
        <v>83</v>
      </c>
      <c r="AI1405" s="1" t="s">
        <v>55</v>
      </c>
      <c r="AJ1405" s="1">
        <v>25</v>
      </c>
      <c r="AK1405" s="1">
        <v>250</v>
      </c>
      <c r="AL1405" s="4">
        <v>0.40200000000000002</v>
      </c>
      <c r="AM1405" s="1">
        <v>1219.5999999999999</v>
      </c>
      <c r="AN1405" s="1">
        <f>368.1^2</f>
        <v>135497.61000000002</v>
      </c>
      <c r="AO1405" s="1" t="s">
        <v>49</v>
      </c>
      <c r="AP1405" s="6">
        <v>1</v>
      </c>
      <c r="AQ1405" s="6" t="s">
        <v>49</v>
      </c>
      <c r="AR1405" s="6" t="s">
        <v>49</v>
      </c>
      <c r="AS1405" s="1">
        <f>AL1405*AN1405</f>
        <v>54470.039220000006</v>
      </c>
      <c r="AT1405" s="4">
        <f>AS1405/(AM1405^2)*100</f>
        <v>3.662038084684601</v>
      </c>
      <c r="AU1405" s="5">
        <v>0</v>
      </c>
      <c r="AV1405" s="4">
        <f>AT1405*(1-AL1405)/AL1405</f>
        <v>5.4475093896552025</v>
      </c>
      <c r="AW1405" s="9" t="s">
        <v>567</v>
      </c>
    </row>
    <row r="1406" spans="1:49">
      <c r="A1406" s="1">
        <v>53</v>
      </c>
      <c r="B1406" s="1" t="s">
        <v>38</v>
      </c>
      <c r="C1406" s="1" t="s">
        <v>38</v>
      </c>
      <c r="D1406" s="1" t="s">
        <v>566</v>
      </c>
      <c r="E1406" s="1" t="s">
        <v>302</v>
      </c>
      <c r="F1406" s="1">
        <v>1997</v>
      </c>
      <c r="G1406" s="3" t="s">
        <v>72</v>
      </c>
      <c r="H1406" s="3" t="s">
        <v>73</v>
      </c>
      <c r="I1406" s="3" t="s">
        <v>74</v>
      </c>
      <c r="J1406" s="3" t="s">
        <v>75</v>
      </c>
      <c r="K1406" s="1" t="s">
        <v>45</v>
      </c>
      <c r="L1406" s="3" t="s">
        <v>46</v>
      </c>
      <c r="M1406" s="1" t="s">
        <v>12</v>
      </c>
      <c r="N1406" s="1" t="s">
        <v>76</v>
      </c>
      <c r="O1406" s="1">
        <v>0.61099999999999999</v>
      </c>
      <c r="P1406" s="1" t="s">
        <v>49</v>
      </c>
      <c r="Q1406" s="1">
        <v>0.75</v>
      </c>
      <c r="R1406" s="1">
        <v>1</v>
      </c>
      <c r="S1406" s="1" t="s">
        <v>77</v>
      </c>
      <c r="T1406" s="1" t="s">
        <v>78</v>
      </c>
      <c r="U1406" s="1" t="s">
        <v>79</v>
      </c>
      <c r="V1406" s="1" t="s">
        <v>133</v>
      </c>
      <c r="W1406" s="3">
        <v>38.049999999999997</v>
      </c>
      <c r="X1406" s="3">
        <v>-119.99</v>
      </c>
      <c r="Y1406" s="1" t="s">
        <v>48</v>
      </c>
      <c r="Z1406" s="1" t="s">
        <v>49</v>
      </c>
      <c r="AA1406" s="6" t="s">
        <v>49</v>
      </c>
      <c r="AB1406" s="6" t="s">
        <v>49</v>
      </c>
      <c r="AC1406" s="6" t="s">
        <v>49</v>
      </c>
      <c r="AD1406" s="1" t="s">
        <v>89</v>
      </c>
      <c r="AE1406" s="1" t="s">
        <v>419</v>
      </c>
      <c r="AF1406" s="6" t="s">
        <v>49</v>
      </c>
      <c r="AG1406" s="6" t="s">
        <v>49</v>
      </c>
      <c r="AH1406" s="1" t="s">
        <v>83</v>
      </c>
      <c r="AI1406" s="1" t="s">
        <v>55</v>
      </c>
      <c r="AJ1406" s="20" t="s">
        <v>49</v>
      </c>
      <c r="AK1406" s="20" t="s">
        <v>49</v>
      </c>
      <c r="AL1406" s="20" t="s">
        <v>49</v>
      </c>
      <c r="AM1406" s="20" t="s">
        <v>49</v>
      </c>
      <c r="AN1406" s="1" t="s">
        <v>49</v>
      </c>
      <c r="AO1406" s="1" t="s">
        <v>49</v>
      </c>
      <c r="AP1406" s="6">
        <v>1</v>
      </c>
      <c r="AQ1406" s="6">
        <v>0.02</v>
      </c>
      <c r="AR1406" s="6" t="s">
        <v>49</v>
      </c>
      <c r="AS1406" s="6" t="s">
        <v>49</v>
      </c>
      <c r="AT1406" s="6" t="s">
        <v>49</v>
      </c>
      <c r="AU1406" s="6" t="s">
        <v>49</v>
      </c>
      <c r="AV1406" s="6" t="s">
        <v>49</v>
      </c>
      <c r="AW1406" s="9" t="s">
        <v>568</v>
      </c>
    </row>
    <row r="1407" spans="1:49">
      <c r="A1407" s="1">
        <v>53</v>
      </c>
      <c r="B1407" s="1" t="s">
        <v>38</v>
      </c>
      <c r="C1407" s="1" t="s">
        <v>38</v>
      </c>
      <c r="D1407" s="1" t="s">
        <v>566</v>
      </c>
      <c r="E1407" s="1" t="s">
        <v>302</v>
      </c>
      <c r="F1407" s="1">
        <v>1997</v>
      </c>
      <c r="G1407" s="3" t="s">
        <v>72</v>
      </c>
      <c r="H1407" s="3" t="s">
        <v>73</v>
      </c>
      <c r="I1407" s="3" t="s">
        <v>74</v>
      </c>
      <c r="J1407" s="3" t="s">
        <v>75</v>
      </c>
      <c r="K1407" s="1" t="s">
        <v>45</v>
      </c>
      <c r="L1407" s="3" t="s">
        <v>46</v>
      </c>
      <c r="M1407" s="1" t="s">
        <v>12</v>
      </c>
      <c r="N1407" s="1" t="s">
        <v>76</v>
      </c>
      <c r="O1407" s="1">
        <v>0.61099999999999999</v>
      </c>
      <c r="P1407" s="1" t="s">
        <v>49</v>
      </c>
      <c r="Q1407" s="1">
        <v>0.75</v>
      </c>
      <c r="R1407" s="1">
        <v>1</v>
      </c>
      <c r="S1407" s="1" t="s">
        <v>77</v>
      </c>
      <c r="T1407" s="1" t="s">
        <v>78</v>
      </c>
      <c r="U1407" s="1" t="s">
        <v>79</v>
      </c>
      <c r="V1407" s="1" t="s">
        <v>133</v>
      </c>
      <c r="W1407" s="3">
        <v>38.049999999999997</v>
      </c>
      <c r="X1407" s="3">
        <v>-119.99</v>
      </c>
      <c r="Y1407" s="1" t="s">
        <v>48</v>
      </c>
      <c r="Z1407" s="1" t="s">
        <v>49</v>
      </c>
      <c r="AA1407" s="6" t="s">
        <v>49</v>
      </c>
      <c r="AB1407" s="6" t="s">
        <v>49</v>
      </c>
      <c r="AC1407" s="6" t="s">
        <v>49</v>
      </c>
      <c r="AD1407" s="1" t="s">
        <v>89</v>
      </c>
      <c r="AE1407" s="1" t="s">
        <v>207</v>
      </c>
      <c r="AF1407" s="6" t="s">
        <v>49</v>
      </c>
      <c r="AG1407" s="6" t="s">
        <v>49</v>
      </c>
      <c r="AH1407" s="1" t="s">
        <v>83</v>
      </c>
      <c r="AI1407" s="1" t="s">
        <v>55</v>
      </c>
      <c r="AJ1407" s="20" t="s">
        <v>49</v>
      </c>
      <c r="AK1407" s="20" t="s">
        <v>49</v>
      </c>
      <c r="AL1407" s="20" t="s">
        <v>49</v>
      </c>
      <c r="AM1407" s="20" t="s">
        <v>49</v>
      </c>
      <c r="AN1407" s="1" t="s">
        <v>49</v>
      </c>
      <c r="AO1407" s="1" t="s">
        <v>49</v>
      </c>
      <c r="AP1407" s="6">
        <v>1</v>
      </c>
      <c r="AQ1407" s="6">
        <v>0.4</v>
      </c>
      <c r="AR1407" s="6" t="s">
        <v>49</v>
      </c>
      <c r="AS1407" s="6" t="s">
        <v>49</v>
      </c>
      <c r="AT1407" s="6" t="s">
        <v>49</v>
      </c>
      <c r="AU1407" s="6" t="s">
        <v>49</v>
      </c>
      <c r="AV1407" s="6" t="s">
        <v>49</v>
      </c>
      <c r="AW1407" s="9" t="s">
        <v>568</v>
      </c>
    </row>
    <row r="1408" spans="1:49">
      <c r="A1408" s="1">
        <v>53</v>
      </c>
      <c r="B1408" s="1" t="s">
        <v>38</v>
      </c>
      <c r="C1408" s="1" t="s">
        <v>38</v>
      </c>
      <c r="D1408" s="1" t="s">
        <v>566</v>
      </c>
      <c r="E1408" s="1" t="s">
        <v>302</v>
      </c>
      <c r="F1408" s="1">
        <v>1997</v>
      </c>
      <c r="G1408" s="3" t="s">
        <v>72</v>
      </c>
      <c r="H1408" s="3" t="s">
        <v>73</v>
      </c>
      <c r="I1408" s="3" t="s">
        <v>74</v>
      </c>
      <c r="J1408" s="3" t="s">
        <v>75</v>
      </c>
      <c r="K1408" s="1" t="s">
        <v>45</v>
      </c>
      <c r="L1408" s="3" t="s">
        <v>46</v>
      </c>
      <c r="M1408" s="1" t="s">
        <v>12</v>
      </c>
      <c r="N1408" s="1" t="s">
        <v>76</v>
      </c>
      <c r="O1408" s="1">
        <v>0.61099999999999999</v>
      </c>
      <c r="P1408" s="1" t="s">
        <v>49</v>
      </c>
      <c r="Q1408" s="1">
        <v>0.75</v>
      </c>
      <c r="R1408" s="1">
        <v>1</v>
      </c>
      <c r="S1408" s="1" t="s">
        <v>77</v>
      </c>
      <c r="T1408" s="1" t="s">
        <v>78</v>
      </c>
      <c r="U1408" s="1" t="s">
        <v>79</v>
      </c>
      <c r="V1408" s="1" t="s">
        <v>133</v>
      </c>
      <c r="W1408" s="3">
        <v>38.049999999999997</v>
      </c>
      <c r="X1408" s="3">
        <v>-119.99</v>
      </c>
      <c r="Y1408" s="1" t="s">
        <v>48</v>
      </c>
      <c r="Z1408" s="1" t="s">
        <v>49</v>
      </c>
      <c r="AA1408" s="6" t="s">
        <v>49</v>
      </c>
      <c r="AB1408" s="6" t="s">
        <v>49</v>
      </c>
      <c r="AC1408" s="6" t="s">
        <v>49</v>
      </c>
      <c r="AD1408" s="1" t="s">
        <v>89</v>
      </c>
      <c r="AE1408" s="1" t="s">
        <v>203</v>
      </c>
      <c r="AF1408" s="6" t="s">
        <v>49</v>
      </c>
      <c r="AG1408" s="6" t="s">
        <v>49</v>
      </c>
      <c r="AH1408" s="1" t="s">
        <v>83</v>
      </c>
      <c r="AI1408" s="1" t="s">
        <v>55</v>
      </c>
      <c r="AJ1408" s="20" t="s">
        <v>49</v>
      </c>
      <c r="AK1408" s="20" t="s">
        <v>49</v>
      </c>
      <c r="AL1408" s="20" t="s">
        <v>49</v>
      </c>
      <c r="AM1408" s="20" t="s">
        <v>49</v>
      </c>
      <c r="AN1408" s="1" t="s">
        <v>49</v>
      </c>
      <c r="AO1408" s="1" t="s">
        <v>49</v>
      </c>
      <c r="AP1408" s="6">
        <v>1</v>
      </c>
      <c r="AQ1408" s="6">
        <v>0.68</v>
      </c>
      <c r="AR1408" s="6" t="s">
        <v>49</v>
      </c>
      <c r="AS1408" s="6" t="s">
        <v>49</v>
      </c>
      <c r="AT1408" s="6" t="s">
        <v>49</v>
      </c>
      <c r="AU1408" s="6" t="s">
        <v>49</v>
      </c>
      <c r="AV1408" s="6" t="s">
        <v>49</v>
      </c>
      <c r="AW1408" s="9" t="s">
        <v>568</v>
      </c>
    </row>
    <row r="1409" spans="1:49">
      <c r="A1409" s="1">
        <v>53</v>
      </c>
      <c r="B1409" s="1" t="s">
        <v>38</v>
      </c>
      <c r="C1409" s="1" t="s">
        <v>38</v>
      </c>
      <c r="D1409" s="1" t="s">
        <v>566</v>
      </c>
      <c r="E1409" s="1" t="s">
        <v>302</v>
      </c>
      <c r="F1409" s="1">
        <v>1997</v>
      </c>
      <c r="G1409" s="3" t="s">
        <v>72</v>
      </c>
      <c r="H1409" s="3" t="s">
        <v>73</v>
      </c>
      <c r="I1409" s="3" t="s">
        <v>74</v>
      </c>
      <c r="J1409" s="3" t="s">
        <v>75</v>
      </c>
      <c r="K1409" s="1" t="s">
        <v>45</v>
      </c>
      <c r="L1409" s="3" t="s">
        <v>46</v>
      </c>
      <c r="M1409" s="1" t="s">
        <v>12</v>
      </c>
      <c r="N1409" s="1" t="s">
        <v>76</v>
      </c>
      <c r="O1409" s="1">
        <v>0.61099999999999999</v>
      </c>
      <c r="P1409" s="1" t="s">
        <v>49</v>
      </c>
      <c r="Q1409" s="1">
        <v>0.75</v>
      </c>
      <c r="R1409" s="1">
        <v>1</v>
      </c>
      <c r="S1409" s="1" t="s">
        <v>77</v>
      </c>
      <c r="T1409" s="1" t="s">
        <v>78</v>
      </c>
      <c r="U1409" s="1" t="s">
        <v>79</v>
      </c>
      <c r="V1409" s="1" t="s">
        <v>133</v>
      </c>
      <c r="W1409" s="3">
        <v>38.049999999999997</v>
      </c>
      <c r="X1409" s="3">
        <v>-119.99</v>
      </c>
      <c r="Y1409" s="1" t="s">
        <v>48</v>
      </c>
      <c r="Z1409" s="1" t="s">
        <v>49</v>
      </c>
      <c r="AA1409" s="6" t="s">
        <v>49</v>
      </c>
      <c r="AB1409" s="6" t="s">
        <v>49</v>
      </c>
      <c r="AC1409" s="6" t="s">
        <v>49</v>
      </c>
      <c r="AD1409" s="1" t="s">
        <v>419</v>
      </c>
      <c r="AE1409" s="1" t="s">
        <v>207</v>
      </c>
      <c r="AF1409" s="6" t="s">
        <v>49</v>
      </c>
      <c r="AG1409" s="6" t="s">
        <v>49</v>
      </c>
      <c r="AH1409" s="1" t="s">
        <v>83</v>
      </c>
      <c r="AI1409" s="1" t="s">
        <v>55</v>
      </c>
      <c r="AJ1409" s="20" t="s">
        <v>49</v>
      </c>
      <c r="AK1409" s="20" t="s">
        <v>49</v>
      </c>
      <c r="AL1409" s="20" t="s">
        <v>49</v>
      </c>
      <c r="AM1409" s="20" t="s">
        <v>49</v>
      </c>
      <c r="AN1409" s="1" t="s">
        <v>49</v>
      </c>
      <c r="AO1409" s="1" t="s">
        <v>49</v>
      </c>
      <c r="AP1409" s="6">
        <v>1</v>
      </c>
      <c r="AQ1409" s="6">
        <v>-0.32</v>
      </c>
      <c r="AR1409" s="6" t="s">
        <v>49</v>
      </c>
      <c r="AS1409" s="6" t="s">
        <v>49</v>
      </c>
      <c r="AT1409" s="6" t="s">
        <v>49</v>
      </c>
      <c r="AU1409" s="6" t="s">
        <v>49</v>
      </c>
      <c r="AV1409" s="6" t="s">
        <v>49</v>
      </c>
      <c r="AW1409" s="9" t="s">
        <v>568</v>
      </c>
    </row>
    <row r="1410" spans="1:49">
      <c r="A1410" s="1">
        <v>53</v>
      </c>
      <c r="B1410" s="1" t="s">
        <v>38</v>
      </c>
      <c r="C1410" s="1" t="s">
        <v>38</v>
      </c>
      <c r="D1410" s="1" t="s">
        <v>566</v>
      </c>
      <c r="E1410" s="1" t="s">
        <v>302</v>
      </c>
      <c r="F1410" s="1">
        <v>1997</v>
      </c>
      <c r="G1410" s="3" t="s">
        <v>72</v>
      </c>
      <c r="H1410" s="3" t="s">
        <v>73</v>
      </c>
      <c r="I1410" s="3" t="s">
        <v>74</v>
      </c>
      <c r="J1410" s="3" t="s">
        <v>75</v>
      </c>
      <c r="K1410" s="1" t="s">
        <v>45</v>
      </c>
      <c r="L1410" s="3" t="s">
        <v>46</v>
      </c>
      <c r="M1410" s="1" t="s">
        <v>12</v>
      </c>
      <c r="N1410" s="1" t="s">
        <v>76</v>
      </c>
      <c r="O1410" s="1">
        <v>0.61099999999999999</v>
      </c>
      <c r="P1410" s="1" t="s">
        <v>49</v>
      </c>
      <c r="Q1410" s="1">
        <v>0.75</v>
      </c>
      <c r="R1410" s="1">
        <v>1</v>
      </c>
      <c r="S1410" s="1" t="s">
        <v>77</v>
      </c>
      <c r="T1410" s="1" t="s">
        <v>78</v>
      </c>
      <c r="U1410" s="1" t="s">
        <v>79</v>
      </c>
      <c r="V1410" s="1" t="s">
        <v>133</v>
      </c>
      <c r="W1410" s="3">
        <v>38.049999999999997</v>
      </c>
      <c r="X1410" s="3">
        <v>-119.99</v>
      </c>
      <c r="Y1410" s="1" t="s">
        <v>48</v>
      </c>
      <c r="Z1410" s="1" t="s">
        <v>49</v>
      </c>
      <c r="AA1410" s="6" t="s">
        <v>49</v>
      </c>
      <c r="AB1410" s="6" t="s">
        <v>49</v>
      </c>
      <c r="AC1410" s="6" t="s">
        <v>49</v>
      </c>
      <c r="AD1410" s="1" t="s">
        <v>419</v>
      </c>
      <c r="AE1410" s="1" t="s">
        <v>203</v>
      </c>
      <c r="AF1410" s="6" t="s">
        <v>49</v>
      </c>
      <c r="AG1410" s="6" t="s">
        <v>49</v>
      </c>
      <c r="AH1410" s="1" t="s">
        <v>83</v>
      </c>
      <c r="AI1410" s="1" t="s">
        <v>55</v>
      </c>
      <c r="AJ1410" s="20" t="s">
        <v>49</v>
      </c>
      <c r="AK1410" s="20" t="s">
        <v>49</v>
      </c>
      <c r="AL1410" s="20" t="s">
        <v>49</v>
      </c>
      <c r="AM1410" s="20" t="s">
        <v>49</v>
      </c>
      <c r="AN1410" s="1" t="s">
        <v>49</v>
      </c>
      <c r="AO1410" s="1" t="s">
        <v>49</v>
      </c>
      <c r="AP1410" s="6">
        <v>1</v>
      </c>
      <c r="AQ1410" s="6">
        <v>0.38</v>
      </c>
      <c r="AR1410" s="6" t="s">
        <v>49</v>
      </c>
      <c r="AS1410" s="6" t="s">
        <v>49</v>
      </c>
      <c r="AT1410" s="6" t="s">
        <v>49</v>
      </c>
      <c r="AU1410" s="6" t="s">
        <v>49</v>
      </c>
      <c r="AV1410" s="6" t="s">
        <v>49</v>
      </c>
      <c r="AW1410" s="9" t="s">
        <v>568</v>
      </c>
    </row>
    <row r="1411" spans="1:49">
      <c r="A1411" s="1">
        <v>53</v>
      </c>
      <c r="B1411" s="1" t="s">
        <v>38</v>
      </c>
      <c r="C1411" s="1" t="s">
        <v>38</v>
      </c>
      <c r="D1411" s="1" t="s">
        <v>566</v>
      </c>
      <c r="E1411" s="1" t="s">
        <v>302</v>
      </c>
      <c r="F1411" s="1">
        <v>1997</v>
      </c>
      <c r="G1411" s="3" t="s">
        <v>72</v>
      </c>
      <c r="H1411" s="3" t="s">
        <v>73</v>
      </c>
      <c r="I1411" s="3" t="s">
        <v>74</v>
      </c>
      <c r="J1411" s="3" t="s">
        <v>75</v>
      </c>
      <c r="K1411" s="1" t="s">
        <v>45</v>
      </c>
      <c r="L1411" s="3" t="s">
        <v>46</v>
      </c>
      <c r="M1411" s="1" t="s">
        <v>12</v>
      </c>
      <c r="N1411" s="1" t="s">
        <v>76</v>
      </c>
      <c r="O1411" s="1">
        <v>0.61099999999999999</v>
      </c>
      <c r="P1411" s="1" t="s">
        <v>49</v>
      </c>
      <c r="Q1411" s="1">
        <v>0.75</v>
      </c>
      <c r="R1411" s="1">
        <v>1</v>
      </c>
      <c r="S1411" s="1" t="s">
        <v>77</v>
      </c>
      <c r="T1411" s="1" t="s">
        <v>78</v>
      </c>
      <c r="U1411" s="1" t="s">
        <v>79</v>
      </c>
      <c r="V1411" s="1" t="s">
        <v>133</v>
      </c>
      <c r="W1411" s="3">
        <v>38.049999999999997</v>
      </c>
      <c r="X1411" s="3">
        <v>-119.99</v>
      </c>
      <c r="Y1411" s="1" t="s">
        <v>48</v>
      </c>
      <c r="Z1411" s="1" t="s">
        <v>49</v>
      </c>
      <c r="AA1411" s="6" t="s">
        <v>49</v>
      </c>
      <c r="AB1411" s="6" t="s">
        <v>49</v>
      </c>
      <c r="AC1411" s="6" t="s">
        <v>49</v>
      </c>
      <c r="AD1411" s="1" t="s">
        <v>207</v>
      </c>
      <c r="AE1411" s="1" t="s">
        <v>203</v>
      </c>
      <c r="AF1411" s="6" t="s">
        <v>49</v>
      </c>
      <c r="AG1411" s="6" t="s">
        <v>49</v>
      </c>
      <c r="AH1411" s="1" t="s">
        <v>83</v>
      </c>
      <c r="AI1411" s="1" t="s">
        <v>55</v>
      </c>
      <c r="AJ1411" s="20" t="s">
        <v>49</v>
      </c>
      <c r="AK1411" s="20" t="s">
        <v>49</v>
      </c>
      <c r="AL1411" s="20" t="s">
        <v>49</v>
      </c>
      <c r="AM1411" s="20" t="s">
        <v>49</v>
      </c>
      <c r="AN1411" s="1" t="s">
        <v>49</v>
      </c>
      <c r="AO1411" s="1" t="s">
        <v>49</v>
      </c>
      <c r="AP1411" s="6">
        <v>1</v>
      </c>
      <c r="AQ1411" s="6">
        <v>0.23</v>
      </c>
      <c r="AR1411" s="6" t="s">
        <v>49</v>
      </c>
      <c r="AS1411" s="6" t="s">
        <v>49</v>
      </c>
      <c r="AT1411" s="6" t="s">
        <v>49</v>
      </c>
      <c r="AU1411" s="6" t="s">
        <v>49</v>
      </c>
      <c r="AV1411" s="6" t="s">
        <v>49</v>
      </c>
      <c r="AW1411" s="9" t="s">
        <v>568</v>
      </c>
    </row>
    <row r="1412" spans="1:49">
      <c r="A1412" s="1">
        <v>77</v>
      </c>
      <c r="B1412" s="1" t="s">
        <v>38</v>
      </c>
      <c r="C1412" s="6" t="s">
        <v>49</v>
      </c>
      <c r="D1412" s="1" t="s">
        <v>569</v>
      </c>
      <c r="E1412" s="1" t="s">
        <v>570</v>
      </c>
      <c r="F1412" s="1">
        <v>2009</v>
      </c>
      <c r="G1412" s="1" t="s">
        <v>266</v>
      </c>
      <c r="H1412" s="1" t="s">
        <v>571</v>
      </c>
      <c r="I1412" s="1" t="s">
        <v>572</v>
      </c>
      <c r="J1412" s="1" t="s">
        <v>573</v>
      </c>
      <c r="K1412" s="1" t="s">
        <v>45</v>
      </c>
      <c r="L1412" s="1" t="s">
        <v>46</v>
      </c>
      <c r="M1412" s="1" t="s">
        <v>12</v>
      </c>
      <c r="N1412" s="1" t="s">
        <v>116</v>
      </c>
      <c r="O1412" s="1">
        <v>0.93799999999999994</v>
      </c>
      <c r="P1412" s="1">
        <v>0.93799999999999994</v>
      </c>
      <c r="Q1412" s="1">
        <v>0.93799999999999994</v>
      </c>
      <c r="R1412" s="1">
        <v>1</v>
      </c>
      <c r="S1412" s="1" t="s">
        <v>77</v>
      </c>
      <c r="T1412" s="1" t="s">
        <v>574</v>
      </c>
      <c r="U1412" s="1" t="s">
        <v>575</v>
      </c>
      <c r="V1412" s="1" t="s">
        <v>576</v>
      </c>
      <c r="W1412" s="35">
        <v>37.375653999999997</v>
      </c>
      <c r="X1412" s="35">
        <v>-80.522139999999993</v>
      </c>
      <c r="Y1412" s="1" t="s">
        <v>48</v>
      </c>
      <c r="Z1412" s="1" t="s">
        <v>49</v>
      </c>
      <c r="AA1412" s="1" t="s">
        <v>94</v>
      </c>
      <c r="AB1412" s="1" t="s">
        <v>482</v>
      </c>
      <c r="AC1412" s="1" t="s">
        <v>577</v>
      </c>
      <c r="AD1412" s="1" t="s">
        <v>581</v>
      </c>
      <c r="AE1412" s="1" t="s">
        <v>581</v>
      </c>
      <c r="AF1412" s="1" t="s">
        <v>484</v>
      </c>
      <c r="AG1412" s="1" t="s">
        <v>484</v>
      </c>
      <c r="AH1412" s="1" t="s">
        <v>168</v>
      </c>
      <c r="AI1412" s="1" t="s">
        <v>55</v>
      </c>
      <c r="AJ1412" s="1">
        <v>26</v>
      </c>
      <c r="AK1412" s="1">
        <v>1747</v>
      </c>
      <c r="AL1412" s="4">
        <v>0.36099999999999999</v>
      </c>
      <c r="AM1412" s="1">
        <v>15.24</v>
      </c>
      <c r="AN1412" s="1">
        <f>4.47^2</f>
        <v>19.980899999999998</v>
      </c>
      <c r="AO1412" s="1" t="s">
        <v>49</v>
      </c>
      <c r="AP1412" s="6">
        <v>0</v>
      </c>
      <c r="AQ1412" s="6" t="s">
        <v>49</v>
      </c>
      <c r="AR1412" s="6" t="s">
        <v>49</v>
      </c>
      <c r="AS1412" s="1">
        <v>1.226E-2</v>
      </c>
      <c r="AT1412" s="4">
        <f>AS1412*100</f>
        <v>1.226</v>
      </c>
      <c r="AU1412" s="5">
        <v>1</v>
      </c>
      <c r="AV1412" s="4">
        <f>AT1412*(1-AL1412)/AL1412</f>
        <v>2.1701218836565097</v>
      </c>
      <c r="AW1412" s="9" t="s">
        <v>580</v>
      </c>
    </row>
    <row r="1413" spans="1:49">
      <c r="A1413" s="1">
        <v>77</v>
      </c>
      <c r="B1413" s="1" t="s">
        <v>38</v>
      </c>
      <c r="C1413" s="6" t="s">
        <v>49</v>
      </c>
      <c r="D1413" s="1" t="s">
        <v>569</v>
      </c>
      <c r="E1413" s="1" t="s">
        <v>570</v>
      </c>
      <c r="F1413" s="1">
        <v>2009</v>
      </c>
      <c r="G1413" s="1" t="s">
        <v>266</v>
      </c>
      <c r="H1413" s="1" t="s">
        <v>571</v>
      </c>
      <c r="I1413" s="1" t="s">
        <v>572</v>
      </c>
      <c r="J1413" s="1" t="s">
        <v>573</v>
      </c>
      <c r="K1413" s="1" t="s">
        <v>45</v>
      </c>
      <c r="L1413" s="1" t="s">
        <v>46</v>
      </c>
      <c r="M1413" s="1" t="s">
        <v>12</v>
      </c>
      <c r="N1413" s="1" t="s">
        <v>116</v>
      </c>
      <c r="O1413" s="1">
        <v>0.93799999999999994</v>
      </c>
      <c r="P1413" s="1">
        <v>0.93799999999999994</v>
      </c>
      <c r="Q1413" s="1">
        <v>0.93799999999999994</v>
      </c>
      <c r="R1413" s="1">
        <v>1</v>
      </c>
      <c r="S1413" s="1" t="s">
        <v>77</v>
      </c>
      <c r="T1413" s="1" t="s">
        <v>574</v>
      </c>
      <c r="U1413" s="1" t="s">
        <v>575</v>
      </c>
      <c r="V1413" s="1" t="s">
        <v>576</v>
      </c>
      <c r="W1413" s="35">
        <v>37.375653999999997</v>
      </c>
      <c r="X1413" s="35">
        <v>-80.522139999999993</v>
      </c>
      <c r="Y1413" s="1" t="s">
        <v>48</v>
      </c>
      <c r="Z1413" s="1" t="s">
        <v>49</v>
      </c>
      <c r="AA1413" s="1" t="s">
        <v>94</v>
      </c>
      <c r="AB1413" s="1" t="s">
        <v>578</v>
      </c>
      <c r="AC1413" s="1" t="s">
        <v>95</v>
      </c>
      <c r="AD1413" s="1" t="s">
        <v>582</v>
      </c>
      <c r="AE1413" s="1" t="s">
        <v>582</v>
      </c>
      <c r="AF1413" s="1" t="s">
        <v>484</v>
      </c>
      <c r="AG1413" s="1" t="s">
        <v>484</v>
      </c>
      <c r="AH1413" s="1" t="s">
        <v>168</v>
      </c>
      <c r="AI1413" s="1" t="s">
        <v>55</v>
      </c>
      <c r="AJ1413" s="1">
        <v>26</v>
      </c>
      <c r="AK1413" s="1">
        <v>1656</v>
      </c>
      <c r="AL1413" s="4">
        <v>0.64100000000000001</v>
      </c>
      <c r="AM1413" s="1">
        <v>87.45</v>
      </c>
      <c r="AN1413" s="1">
        <f>10.94^2</f>
        <v>119.68359999999998</v>
      </c>
      <c r="AO1413" s="1" t="s">
        <v>49</v>
      </c>
      <c r="AP1413" s="6">
        <v>0</v>
      </c>
      <c r="AQ1413" s="6" t="s">
        <v>49</v>
      </c>
      <c r="AR1413" s="6" t="s">
        <v>49</v>
      </c>
      <c r="AS1413" s="1">
        <v>9.5099999999999994E-3</v>
      </c>
      <c r="AT1413" s="4">
        <f t="shared" ref="AT1413:AT1414" si="119">AS1413*100</f>
        <v>0.95099999999999996</v>
      </c>
      <c r="AU1413" s="5">
        <v>1</v>
      </c>
      <c r="AV1413" s="4">
        <f>AT1413*(1-AL1413)/AL1413</f>
        <v>0.53261934477379091</v>
      </c>
      <c r="AW1413" s="9" t="s">
        <v>580</v>
      </c>
    </row>
    <row r="1414" spans="1:49">
      <c r="A1414" s="1">
        <v>77</v>
      </c>
      <c r="B1414" s="1" t="s">
        <v>38</v>
      </c>
      <c r="C1414" s="6" t="s">
        <v>49</v>
      </c>
      <c r="D1414" s="1" t="s">
        <v>569</v>
      </c>
      <c r="E1414" s="1" t="s">
        <v>570</v>
      </c>
      <c r="F1414" s="1">
        <v>2009</v>
      </c>
      <c r="G1414" s="1" t="s">
        <v>266</v>
      </c>
      <c r="H1414" s="1" t="s">
        <v>571</v>
      </c>
      <c r="I1414" s="1" t="s">
        <v>572</v>
      </c>
      <c r="J1414" s="1" t="s">
        <v>573</v>
      </c>
      <c r="K1414" s="1" t="s">
        <v>45</v>
      </c>
      <c r="L1414" s="1" t="s">
        <v>46</v>
      </c>
      <c r="M1414" s="1" t="s">
        <v>12</v>
      </c>
      <c r="N1414" s="1" t="s">
        <v>116</v>
      </c>
      <c r="O1414" s="1">
        <v>0.93799999999999994</v>
      </c>
      <c r="P1414" s="1">
        <v>0.93799999999999994</v>
      </c>
      <c r="Q1414" s="1">
        <v>0.93799999999999994</v>
      </c>
      <c r="R1414" s="1">
        <v>1</v>
      </c>
      <c r="S1414" s="1" t="s">
        <v>77</v>
      </c>
      <c r="T1414" s="1" t="s">
        <v>574</v>
      </c>
      <c r="U1414" s="1" t="s">
        <v>575</v>
      </c>
      <c r="V1414" s="1" t="s">
        <v>576</v>
      </c>
      <c r="W1414" s="35">
        <v>37.375653999999997</v>
      </c>
      <c r="X1414" s="35">
        <v>-80.522139999999993</v>
      </c>
      <c r="Y1414" s="1" t="s">
        <v>48</v>
      </c>
      <c r="Z1414" s="1" t="s">
        <v>49</v>
      </c>
      <c r="AA1414" s="1" t="s">
        <v>127</v>
      </c>
      <c r="AB1414" s="1" t="s">
        <v>241</v>
      </c>
      <c r="AC1414" s="1" t="s">
        <v>579</v>
      </c>
      <c r="AD1414" s="1" t="s">
        <v>579</v>
      </c>
      <c r="AE1414" s="1" t="s">
        <v>579</v>
      </c>
      <c r="AF1414" s="1" t="s">
        <v>60</v>
      </c>
      <c r="AG1414" s="1" t="s">
        <v>173</v>
      </c>
      <c r="AH1414" s="1" t="s">
        <v>168</v>
      </c>
      <c r="AI1414" s="1" t="s">
        <v>55</v>
      </c>
      <c r="AJ1414" s="1">
        <v>26</v>
      </c>
      <c r="AK1414" s="1">
        <v>1641</v>
      </c>
      <c r="AL1414" s="4">
        <v>0.36799999999999999</v>
      </c>
      <c r="AM1414" s="1">
        <v>4.78</v>
      </c>
      <c r="AN1414" s="1">
        <f>1.4^2</f>
        <v>1.9599999999999997</v>
      </c>
      <c r="AO1414" s="1" t="s">
        <v>49</v>
      </c>
      <c r="AP1414" s="6">
        <v>0</v>
      </c>
      <c r="AQ1414" s="6" t="s">
        <v>49</v>
      </c>
      <c r="AR1414" s="6" t="s">
        <v>49</v>
      </c>
      <c r="AS1414" s="1">
        <v>2.8559999999999999E-2</v>
      </c>
      <c r="AT1414" s="4">
        <f t="shared" si="119"/>
        <v>2.8559999999999999</v>
      </c>
      <c r="AU1414" s="5">
        <v>1</v>
      </c>
      <c r="AV1414" s="4">
        <f>AT1414*(1-AL1414)/AL1414</f>
        <v>4.9048695652173908</v>
      </c>
      <c r="AW1414" s="9" t="s">
        <v>580</v>
      </c>
    </row>
    <row r="1415" spans="1:49">
      <c r="A1415" s="1">
        <v>77</v>
      </c>
      <c r="B1415" s="1" t="s">
        <v>38</v>
      </c>
      <c r="C1415" s="6" t="s">
        <v>49</v>
      </c>
      <c r="D1415" s="1" t="s">
        <v>569</v>
      </c>
      <c r="E1415" s="1" t="s">
        <v>570</v>
      </c>
      <c r="F1415" s="1">
        <v>2009</v>
      </c>
      <c r="G1415" s="1" t="s">
        <v>266</v>
      </c>
      <c r="H1415" s="1" t="s">
        <v>571</v>
      </c>
      <c r="I1415" s="1" t="s">
        <v>572</v>
      </c>
      <c r="J1415" s="1" t="s">
        <v>573</v>
      </c>
      <c r="K1415" s="1" t="s">
        <v>45</v>
      </c>
      <c r="L1415" s="1" t="s">
        <v>46</v>
      </c>
      <c r="M1415" s="1" t="s">
        <v>12</v>
      </c>
      <c r="N1415" s="1" t="s">
        <v>116</v>
      </c>
      <c r="O1415" s="1">
        <v>0.93799999999999994</v>
      </c>
      <c r="P1415" s="1">
        <v>0.93799999999999994</v>
      </c>
      <c r="Q1415" s="1">
        <v>0.93799999999999994</v>
      </c>
      <c r="R1415" s="1">
        <v>1</v>
      </c>
      <c r="S1415" s="1" t="s">
        <v>77</v>
      </c>
      <c r="T1415" s="1" t="s">
        <v>574</v>
      </c>
      <c r="U1415" s="1" t="s">
        <v>575</v>
      </c>
      <c r="V1415" s="1" t="s">
        <v>576</v>
      </c>
      <c r="W1415" s="35">
        <v>37.375653999999997</v>
      </c>
      <c r="X1415" s="35">
        <v>-80.522139999999993</v>
      </c>
      <c r="Y1415" s="1" t="s">
        <v>48</v>
      </c>
      <c r="Z1415" s="1" t="s">
        <v>49</v>
      </c>
      <c r="AA1415" s="6" t="s">
        <v>49</v>
      </c>
      <c r="AB1415" s="6" t="s">
        <v>49</v>
      </c>
      <c r="AC1415" s="6" t="s">
        <v>49</v>
      </c>
      <c r="AD1415" s="1" t="s">
        <v>581</v>
      </c>
      <c r="AE1415" s="1" t="s">
        <v>582</v>
      </c>
      <c r="AF1415" s="6" t="s">
        <v>49</v>
      </c>
      <c r="AG1415" s="6" t="s">
        <v>49</v>
      </c>
      <c r="AH1415" s="1" t="s">
        <v>168</v>
      </c>
      <c r="AI1415" s="1" t="s">
        <v>55</v>
      </c>
      <c r="AJ1415" s="20" t="s">
        <v>49</v>
      </c>
      <c r="AK1415" s="20" t="s">
        <v>49</v>
      </c>
      <c r="AL1415" s="20" t="s">
        <v>49</v>
      </c>
      <c r="AM1415" s="20" t="s">
        <v>49</v>
      </c>
      <c r="AN1415" s="1" t="s">
        <v>49</v>
      </c>
      <c r="AO1415" s="1" t="s">
        <v>49</v>
      </c>
      <c r="AP1415" s="6">
        <v>0</v>
      </c>
      <c r="AQ1415" s="6" t="s">
        <v>49</v>
      </c>
      <c r="AR1415" s="6" t="s">
        <v>49</v>
      </c>
      <c r="AS1415" s="6">
        <v>4.4799999999999996E-3</v>
      </c>
      <c r="AT1415" s="6" t="s">
        <v>49</v>
      </c>
      <c r="AU1415" s="6" t="s">
        <v>49</v>
      </c>
      <c r="AV1415" s="6" t="s">
        <v>49</v>
      </c>
      <c r="AW1415" s="9" t="s">
        <v>565</v>
      </c>
    </row>
    <row r="1416" spans="1:49">
      <c r="A1416" s="1">
        <v>77</v>
      </c>
      <c r="B1416" s="1" t="s">
        <v>38</v>
      </c>
      <c r="C1416" s="6" t="s">
        <v>49</v>
      </c>
      <c r="D1416" s="1" t="s">
        <v>569</v>
      </c>
      <c r="E1416" s="1" t="s">
        <v>570</v>
      </c>
      <c r="F1416" s="1">
        <v>2009</v>
      </c>
      <c r="G1416" s="1" t="s">
        <v>266</v>
      </c>
      <c r="H1416" s="1" t="s">
        <v>571</v>
      </c>
      <c r="I1416" s="1" t="s">
        <v>572</v>
      </c>
      <c r="J1416" s="1" t="s">
        <v>573</v>
      </c>
      <c r="K1416" s="1" t="s">
        <v>45</v>
      </c>
      <c r="L1416" s="1" t="s">
        <v>46</v>
      </c>
      <c r="M1416" s="1" t="s">
        <v>12</v>
      </c>
      <c r="N1416" s="1" t="s">
        <v>116</v>
      </c>
      <c r="O1416" s="1">
        <v>0.93799999999999994</v>
      </c>
      <c r="P1416" s="1">
        <v>0.93799999999999994</v>
      </c>
      <c r="Q1416" s="1">
        <v>0.93799999999999994</v>
      </c>
      <c r="R1416" s="1">
        <v>1</v>
      </c>
      <c r="S1416" s="1" t="s">
        <v>77</v>
      </c>
      <c r="T1416" s="1" t="s">
        <v>574</v>
      </c>
      <c r="U1416" s="1" t="s">
        <v>575</v>
      </c>
      <c r="V1416" s="1" t="s">
        <v>576</v>
      </c>
      <c r="W1416" s="35">
        <v>37.375653999999997</v>
      </c>
      <c r="X1416" s="35">
        <v>-80.522139999999993</v>
      </c>
      <c r="Y1416" s="1" t="s">
        <v>48</v>
      </c>
      <c r="Z1416" s="1" t="s">
        <v>49</v>
      </c>
      <c r="AA1416" s="6" t="s">
        <v>49</v>
      </c>
      <c r="AB1416" s="6" t="s">
        <v>49</v>
      </c>
      <c r="AC1416" s="6" t="s">
        <v>49</v>
      </c>
      <c r="AD1416" s="1" t="s">
        <v>581</v>
      </c>
      <c r="AE1416" s="1" t="s">
        <v>579</v>
      </c>
      <c r="AF1416" s="6" t="s">
        <v>49</v>
      </c>
      <c r="AG1416" s="6" t="s">
        <v>49</v>
      </c>
      <c r="AH1416" s="1" t="s">
        <v>168</v>
      </c>
      <c r="AI1416" s="1" t="s">
        <v>55</v>
      </c>
      <c r="AJ1416" s="20" t="s">
        <v>49</v>
      </c>
      <c r="AK1416" s="20" t="s">
        <v>49</v>
      </c>
      <c r="AL1416" s="20" t="s">
        <v>49</v>
      </c>
      <c r="AM1416" s="20" t="s">
        <v>49</v>
      </c>
      <c r="AN1416" s="1" t="s">
        <v>49</v>
      </c>
      <c r="AO1416" s="1" t="s">
        <v>49</v>
      </c>
      <c r="AP1416" s="6">
        <v>0</v>
      </c>
      <c r="AQ1416" s="6" t="s">
        <v>49</v>
      </c>
      <c r="AR1416" s="6" t="s">
        <v>49</v>
      </c>
      <c r="AS1416" s="6">
        <v>2.5699999999999998E-3</v>
      </c>
      <c r="AT1416" s="6" t="s">
        <v>49</v>
      </c>
      <c r="AU1416" s="6" t="s">
        <v>49</v>
      </c>
      <c r="AV1416" s="6" t="s">
        <v>49</v>
      </c>
      <c r="AW1416" s="9" t="s">
        <v>565</v>
      </c>
    </row>
    <row r="1417" spans="1:49">
      <c r="A1417" s="1">
        <v>77</v>
      </c>
      <c r="B1417" s="1" t="s">
        <v>38</v>
      </c>
      <c r="C1417" s="6" t="s">
        <v>49</v>
      </c>
      <c r="D1417" s="1" t="s">
        <v>569</v>
      </c>
      <c r="E1417" s="1" t="s">
        <v>570</v>
      </c>
      <c r="F1417" s="1">
        <v>2009</v>
      </c>
      <c r="G1417" s="1" t="s">
        <v>266</v>
      </c>
      <c r="H1417" s="1" t="s">
        <v>571</v>
      </c>
      <c r="I1417" s="1" t="s">
        <v>572</v>
      </c>
      <c r="J1417" s="1" t="s">
        <v>573</v>
      </c>
      <c r="K1417" s="1" t="s">
        <v>45</v>
      </c>
      <c r="L1417" s="1" t="s">
        <v>46</v>
      </c>
      <c r="M1417" s="1" t="s">
        <v>12</v>
      </c>
      <c r="N1417" s="1" t="s">
        <v>116</v>
      </c>
      <c r="O1417" s="1">
        <v>0.93799999999999994</v>
      </c>
      <c r="P1417" s="1">
        <v>0.93799999999999994</v>
      </c>
      <c r="Q1417" s="1">
        <v>0.93799999999999994</v>
      </c>
      <c r="R1417" s="1">
        <v>1</v>
      </c>
      <c r="S1417" s="1" t="s">
        <v>77</v>
      </c>
      <c r="T1417" s="1" t="s">
        <v>574</v>
      </c>
      <c r="U1417" s="1" t="s">
        <v>575</v>
      </c>
      <c r="V1417" s="1" t="s">
        <v>576</v>
      </c>
      <c r="W1417" s="35">
        <v>37.375653999999997</v>
      </c>
      <c r="X1417" s="35">
        <v>-80.522139999999993</v>
      </c>
      <c r="Y1417" s="1" t="s">
        <v>48</v>
      </c>
      <c r="Z1417" s="1" t="s">
        <v>49</v>
      </c>
      <c r="AA1417" s="6" t="s">
        <v>49</v>
      </c>
      <c r="AB1417" s="6" t="s">
        <v>49</v>
      </c>
      <c r="AC1417" s="6" t="s">
        <v>49</v>
      </c>
      <c r="AD1417" s="1" t="s">
        <v>582</v>
      </c>
      <c r="AE1417" s="1" t="s">
        <v>579</v>
      </c>
      <c r="AF1417" s="6" t="s">
        <v>49</v>
      </c>
      <c r="AG1417" s="6" t="s">
        <v>49</v>
      </c>
      <c r="AH1417" s="1" t="s">
        <v>168</v>
      </c>
      <c r="AI1417" s="1" t="s">
        <v>55</v>
      </c>
      <c r="AJ1417" s="20" t="s">
        <v>49</v>
      </c>
      <c r="AK1417" s="20" t="s">
        <v>49</v>
      </c>
      <c r="AL1417" s="20" t="s">
        <v>49</v>
      </c>
      <c r="AM1417" s="20" t="s">
        <v>49</v>
      </c>
      <c r="AN1417" s="1" t="s">
        <v>49</v>
      </c>
      <c r="AO1417" s="1" t="s">
        <v>49</v>
      </c>
      <c r="AP1417" s="6">
        <v>0</v>
      </c>
      <c r="AQ1417" s="6" t="s">
        <v>49</v>
      </c>
      <c r="AR1417" s="6" t="s">
        <v>49</v>
      </c>
      <c r="AS1417" s="6">
        <v>1.226E-2</v>
      </c>
      <c r="AT1417" s="6" t="s">
        <v>49</v>
      </c>
      <c r="AU1417" s="6" t="s">
        <v>49</v>
      </c>
      <c r="AV1417" s="6" t="s">
        <v>49</v>
      </c>
      <c r="AW1417" s="9" t="s">
        <v>565</v>
      </c>
    </row>
    <row r="1418" spans="1:49">
      <c r="A1418" s="1">
        <v>78</v>
      </c>
      <c r="B1418" s="1" t="s">
        <v>38</v>
      </c>
      <c r="C1418" s="1" t="s">
        <v>49</v>
      </c>
      <c r="D1418" s="1" t="s">
        <v>583</v>
      </c>
      <c r="E1418" s="1" t="s">
        <v>584</v>
      </c>
      <c r="F1418" s="1">
        <v>2013</v>
      </c>
      <c r="G1418" s="1" t="s">
        <v>276</v>
      </c>
      <c r="H1418" s="1" t="s">
        <v>585</v>
      </c>
      <c r="I1418" s="1" t="s">
        <v>586</v>
      </c>
      <c r="J1418" s="1" t="str">
        <f t="shared" ref="J1418:J1422" si="120">H1418&amp;"_"&amp;I1418</f>
        <v>Crepis_tectorum</v>
      </c>
      <c r="K1418" s="1" t="s">
        <v>114</v>
      </c>
      <c r="L1418" s="1" t="s">
        <v>46</v>
      </c>
      <c r="M1418" s="1" t="s">
        <v>115</v>
      </c>
      <c r="N1418" s="1" t="s">
        <v>116</v>
      </c>
      <c r="O1418" s="1" t="s">
        <v>49</v>
      </c>
      <c r="P1418" s="1" t="s">
        <v>49</v>
      </c>
      <c r="Q1418" s="1" t="s">
        <v>49</v>
      </c>
      <c r="R1418" s="1" t="s">
        <v>49</v>
      </c>
      <c r="S1418" s="1" t="s">
        <v>117</v>
      </c>
      <c r="T1418" s="1" t="s">
        <v>587</v>
      </c>
      <c r="U1418" s="6" t="s">
        <v>251</v>
      </c>
      <c r="V1418" s="1" t="s">
        <v>588</v>
      </c>
      <c r="W1418" s="36">
        <v>56.56</v>
      </c>
      <c r="X1418" s="36">
        <v>16.45</v>
      </c>
      <c r="Y1418" s="1" t="s">
        <v>48</v>
      </c>
      <c r="Z1418" s="1" t="s">
        <v>49</v>
      </c>
      <c r="AA1418" s="1" t="s">
        <v>127</v>
      </c>
      <c r="AB1418" s="1" t="s">
        <v>239</v>
      </c>
      <c r="AC1418" s="1" t="s">
        <v>240</v>
      </c>
      <c r="AD1418" s="1" t="s">
        <v>240</v>
      </c>
      <c r="AE1418" s="1" t="s">
        <v>240</v>
      </c>
      <c r="AF1418" s="1" t="s">
        <v>60</v>
      </c>
      <c r="AG1418" s="1" t="s">
        <v>61</v>
      </c>
      <c r="AH1418" s="1" t="s">
        <v>589</v>
      </c>
      <c r="AI1418" s="1" t="s">
        <v>200</v>
      </c>
      <c r="AJ1418" s="1">
        <v>84</v>
      </c>
      <c r="AK1418" s="1">
        <v>442</v>
      </c>
      <c r="AL1418" s="4">
        <v>0.25</v>
      </c>
      <c r="AM1418" s="1">
        <v>59.6</v>
      </c>
      <c r="AN1418" s="1">
        <f>AS1418/AL1418</f>
        <v>79.2</v>
      </c>
      <c r="AO1418" s="1" t="s">
        <v>49</v>
      </c>
      <c r="AP1418" s="6">
        <v>0</v>
      </c>
      <c r="AQ1418" s="6" t="s">
        <v>49</v>
      </c>
      <c r="AR1418" s="6" t="s">
        <v>49</v>
      </c>
      <c r="AS1418" s="1">
        <v>19.8</v>
      </c>
      <c r="AT1418" s="4">
        <f>AS1418/(AM1418^2)*100</f>
        <v>0.55740732399441462</v>
      </c>
      <c r="AU1418" s="6">
        <v>0</v>
      </c>
      <c r="AV1418" s="4">
        <f>AT1418*(1-AL1418)/AL1418</f>
        <v>1.6722219719832438</v>
      </c>
      <c r="AW1418" s="9" t="s">
        <v>594</v>
      </c>
    </row>
    <row r="1419" spans="1:49">
      <c r="A1419" s="1">
        <v>78</v>
      </c>
      <c r="B1419" s="1" t="s">
        <v>38</v>
      </c>
      <c r="C1419" s="1" t="s">
        <v>49</v>
      </c>
      <c r="D1419" s="1" t="s">
        <v>583</v>
      </c>
      <c r="E1419" s="1" t="s">
        <v>584</v>
      </c>
      <c r="F1419" s="1">
        <v>2013</v>
      </c>
      <c r="G1419" s="1" t="s">
        <v>276</v>
      </c>
      <c r="H1419" s="1" t="s">
        <v>585</v>
      </c>
      <c r="I1419" s="1" t="s">
        <v>586</v>
      </c>
      <c r="J1419" s="1" t="str">
        <f t="shared" si="120"/>
        <v>Crepis_tectorum</v>
      </c>
      <c r="K1419" s="1" t="s">
        <v>114</v>
      </c>
      <c r="L1419" s="1" t="s">
        <v>46</v>
      </c>
      <c r="M1419" s="1" t="s">
        <v>115</v>
      </c>
      <c r="N1419" s="1" t="s">
        <v>116</v>
      </c>
      <c r="O1419" s="1" t="s">
        <v>49</v>
      </c>
      <c r="P1419" s="1" t="s">
        <v>49</v>
      </c>
      <c r="Q1419" s="1" t="s">
        <v>49</v>
      </c>
      <c r="R1419" s="1" t="s">
        <v>49</v>
      </c>
      <c r="S1419" s="1" t="s">
        <v>117</v>
      </c>
      <c r="T1419" s="1" t="s">
        <v>587</v>
      </c>
      <c r="U1419" s="6" t="s">
        <v>251</v>
      </c>
      <c r="V1419" s="1" t="s">
        <v>588</v>
      </c>
      <c r="W1419" s="36">
        <v>56.56</v>
      </c>
      <c r="X1419" s="36">
        <v>16.45</v>
      </c>
      <c r="Y1419" s="1" t="s">
        <v>48</v>
      </c>
      <c r="Z1419" s="1" t="s">
        <v>49</v>
      </c>
      <c r="AA1419" s="1" t="s">
        <v>127</v>
      </c>
      <c r="AB1419" s="1" t="s">
        <v>239</v>
      </c>
      <c r="AC1419" s="1" t="s">
        <v>346</v>
      </c>
      <c r="AD1419" s="1" t="s">
        <v>590</v>
      </c>
      <c r="AE1419" s="1" t="s">
        <v>590</v>
      </c>
      <c r="AF1419" s="1" t="s">
        <v>60</v>
      </c>
      <c r="AG1419" s="1" t="s">
        <v>61</v>
      </c>
      <c r="AH1419" s="1" t="s">
        <v>589</v>
      </c>
      <c r="AI1419" s="1" t="s">
        <v>200</v>
      </c>
      <c r="AJ1419" s="1">
        <v>84</v>
      </c>
      <c r="AK1419" s="1">
        <v>442</v>
      </c>
      <c r="AL1419" s="4">
        <v>0.2</v>
      </c>
      <c r="AM1419" s="1">
        <v>12.36</v>
      </c>
      <c r="AN1419" s="1">
        <f>AS1419/AL1419</f>
        <v>4.5999999999999996</v>
      </c>
      <c r="AO1419" s="1" t="s">
        <v>49</v>
      </c>
      <c r="AP1419" s="6">
        <v>0</v>
      </c>
      <c r="AQ1419" s="6" t="s">
        <v>49</v>
      </c>
      <c r="AR1419" s="6" t="s">
        <v>49</v>
      </c>
      <c r="AS1419" s="1">
        <v>0.92</v>
      </c>
      <c r="AT1419" s="4">
        <f>AS1419/(AM1419^2)*100</f>
        <v>0.60221405305767639</v>
      </c>
      <c r="AU1419" s="6">
        <v>0</v>
      </c>
      <c r="AV1419" s="4">
        <f>AT1419*(1-AL1419)/AL1419</f>
        <v>2.4088562122307056</v>
      </c>
      <c r="AW1419" s="9" t="s">
        <v>594</v>
      </c>
    </row>
    <row r="1420" spans="1:49">
      <c r="A1420" s="1">
        <v>78</v>
      </c>
      <c r="B1420" s="1" t="s">
        <v>38</v>
      </c>
      <c r="C1420" s="1" t="s">
        <v>49</v>
      </c>
      <c r="D1420" s="1" t="s">
        <v>583</v>
      </c>
      <c r="E1420" s="1" t="s">
        <v>584</v>
      </c>
      <c r="F1420" s="1">
        <v>2013</v>
      </c>
      <c r="G1420" s="1" t="s">
        <v>276</v>
      </c>
      <c r="H1420" s="1" t="s">
        <v>585</v>
      </c>
      <c r="I1420" s="1" t="s">
        <v>586</v>
      </c>
      <c r="J1420" s="1" t="str">
        <f t="shared" si="120"/>
        <v>Crepis_tectorum</v>
      </c>
      <c r="K1420" s="1" t="s">
        <v>114</v>
      </c>
      <c r="L1420" s="1" t="s">
        <v>46</v>
      </c>
      <c r="M1420" s="1" t="s">
        <v>115</v>
      </c>
      <c r="N1420" s="1" t="s">
        <v>116</v>
      </c>
      <c r="O1420" s="1" t="s">
        <v>49</v>
      </c>
      <c r="P1420" s="1" t="s">
        <v>49</v>
      </c>
      <c r="Q1420" s="1" t="s">
        <v>49</v>
      </c>
      <c r="R1420" s="1" t="s">
        <v>49</v>
      </c>
      <c r="S1420" s="1" t="s">
        <v>117</v>
      </c>
      <c r="T1420" s="1" t="s">
        <v>587</v>
      </c>
      <c r="U1420" s="6" t="s">
        <v>251</v>
      </c>
      <c r="V1420" s="1" t="s">
        <v>588</v>
      </c>
      <c r="W1420" s="36">
        <v>56.56</v>
      </c>
      <c r="X1420" s="36">
        <v>16.45</v>
      </c>
      <c r="Y1420" s="1" t="s">
        <v>48</v>
      </c>
      <c r="Z1420" s="1" t="s">
        <v>49</v>
      </c>
      <c r="AA1420" s="1" t="s">
        <v>127</v>
      </c>
      <c r="AB1420" s="1" t="s">
        <v>239</v>
      </c>
      <c r="AC1420" s="1" t="s">
        <v>346</v>
      </c>
      <c r="AD1420" s="1" t="s">
        <v>591</v>
      </c>
      <c r="AE1420" s="1" t="s">
        <v>591</v>
      </c>
      <c r="AF1420" s="1" t="s">
        <v>60</v>
      </c>
      <c r="AG1420" s="1" t="s">
        <v>61</v>
      </c>
      <c r="AH1420" s="1" t="s">
        <v>589</v>
      </c>
      <c r="AI1420" s="1" t="s">
        <v>200</v>
      </c>
      <c r="AJ1420" s="1">
        <v>84</v>
      </c>
      <c r="AK1420" s="1">
        <v>442</v>
      </c>
      <c r="AL1420" s="4">
        <v>0.28999999999999998</v>
      </c>
      <c r="AM1420" s="1">
        <v>1.1299999999999999</v>
      </c>
      <c r="AN1420" s="1">
        <f>AS1420/AL1420</f>
        <v>1</v>
      </c>
      <c r="AO1420" s="1" t="s">
        <v>49</v>
      </c>
      <c r="AP1420" s="6">
        <v>0</v>
      </c>
      <c r="AQ1420" s="6" t="s">
        <v>49</v>
      </c>
      <c r="AR1420" s="6" t="s">
        <v>49</v>
      </c>
      <c r="AS1420" s="1">
        <v>0.28999999999999998</v>
      </c>
      <c r="AT1420" s="4">
        <f>AS1420/(AM1420^2)*100</f>
        <v>22.711253817840085</v>
      </c>
      <c r="AU1420" s="5">
        <v>0</v>
      </c>
      <c r="AV1420" s="4">
        <f>AT1420*(1-AL1420)/AL1420</f>
        <v>55.603414519539527</v>
      </c>
      <c r="AW1420" s="9" t="s">
        <v>594</v>
      </c>
    </row>
    <row r="1421" spans="1:49">
      <c r="A1421" s="1">
        <v>78</v>
      </c>
      <c r="B1421" s="1" t="s">
        <v>38</v>
      </c>
      <c r="C1421" s="1" t="s">
        <v>49</v>
      </c>
      <c r="D1421" s="1" t="s">
        <v>583</v>
      </c>
      <c r="E1421" s="1" t="s">
        <v>584</v>
      </c>
      <c r="F1421" s="1">
        <v>2013</v>
      </c>
      <c r="G1421" s="1" t="s">
        <v>276</v>
      </c>
      <c r="H1421" s="1" t="s">
        <v>585</v>
      </c>
      <c r="I1421" s="1" t="s">
        <v>586</v>
      </c>
      <c r="J1421" s="1" t="str">
        <f t="shared" si="120"/>
        <v>Crepis_tectorum</v>
      </c>
      <c r="K1421" s="1" t="s">
        <v>114</v>
      </c>
      <c r="L1421" s="1" t="s">
        <v>46</v>
      </c>
      <c r="M1421" s="1" t="s">
        <v>115</v>
      </c>
      <c r="N1421" s="1" t="s">
        <v>116</v>
      </c>
      <c r="O1421" s="1" t="s">
        <v>49</v>
      </c>
      <c r="P1421" s="1" t="s">
        <v>49</v>
      </c>
      <c r="Q1421" s="1" t="s">
        <v>49</v>
      </c>
      <c r="R1421" s="1" t="s">
        <v>49</v>
      </c>
      <c r="S1421" s="1" t="s">
        <v>117</v>
      </c>
      <c r="T1421" s="1" t="s">
        <v>587</v>
      </c>
      <c r="U1421" s="6" t="s">
        <v>251</v>
      </c>
      <c r="V1421" s="1" t="s">
        <v>588</v>
      </c>
      <c r="W1421" s="36">
        <v>56.56</v>
      </c>
      <c r="X1421" s="36">
        <v>16.45</v>
      </c>
      <c r="Y1421" s="1" t="s">
        <v>48</v>
      </c>
      <c r="Z1421" s="1" t="s">
        <v>49</v>
      </c>
      <c r="AA1421" s="1" t="s">
        <v>127</v>
      </c>
      <c r="AB1421" s="1" t="s">
        <v>239</v>
      </c>
      <c r="AC1421" s="1" t="s">
        <v>240</v>
      </c>
      <c r="AD1421" s="1" t="s">
        <v>592</v>
      </c>
      <c r="AE1421" s="1" t="s">
        <v>592</v>
      </c>
      <c r="AF1421" s="1" t="s">
        <v>60</v>
      </c>
      <c r="AG1421" s="1" t="s">
        <v>61</v>
      </c>
      <c r="AH1421" s="1" t="s">
        <v>589</v>
      </c>
      <c r="AI1421" s="1" t="s">
        <v>200</v>
      </c>
      <c r="AJ1421" s="1">
        <v>84</v>
      </c>
      <c r="AK1421" s="1">
        <v>442</v>
      </c>
      <c r="AL1421" s="4">
        <v>0.12</v>
      </c>
      <c r="AM1421" s="1">
        <v>22</v>
      </c>
      <c r="AN1421" s="1">
        <f>AS1421/AL1421</f>
        <v>24.750000000000004</v>
      </c>
      <c r="AO1421" s="1" t="s">
        <v>49</v>
      </c>
      <c r="AP1421" s="6">
        <v>0</v>
      </c>
      <c r="AQ1421" s="6" t="s">
        <v>49</v>
      </c>
      <c r="AR1421" s="6" t="s">
        <v>49</v>
      </c>
      <c r="AS1421" s="1">
        <v>2.97</v>
      </c>
      <c r="AT1421" s="4">
        <f>AS1421/(AM1421^2)*100</f>
        <v>0.61363636363636365</v>
      </c>
      <c r="AU1421" s="5">
        <v>0</v>
      </c>
      <c r="AV1421" s="4">
        <f>AT1421*(1-AL1421)/AL1421</f>
        <v>4.5000000000000009</v>
      </c>
      <c r="AW1421" s="9" t="s">
        <v>594</v>
      </c>
    </row>
    <row r="1422" spans="1:49">
      <c r="A1422" s="1">
        <v>78</v>
      </c>
      <c r="B1422" s="1" t="s">
        <v>38</v>
      </c>
      <c r="C1422" s="1" t="s">
        <v>49</v>
      </c>
      <c r="D1422" s="1" t="s">
        <v>583</v>
      </c>
      <c r="E1422" s="1" t="s">
        <v>584</v>
      </c>
      <c r="F1422" s="1">
        <v>2013</v>
      </c>
      <c r="G1422" s="1" t="s">
        <v>276</v>
      </c>
      <c r="H1422" s="1" t="s">
        <v>585</v>
      </c>
      <c r="I1422" s="1" t="s">
        <v>586</v>
      </c>
      <c r="J1422" s="1" t="str">
        <f t="shared" si="120"/>
        <v>Crepis_tectorum</v>
      </c>
      <c r="K1422" s="1" t="s">
        <v>114</v>
      </c>
      <c r="L1422" s="1" t="s">
        <v>46</v>
      </c>
      <c r="M1422" s="1" t="s">
        <v>115</v>
      </c>
      <c r="N1422" s="1" t="s">
        <v>116</v>
      </c>
      <c r="O1422" s="1" t="s">
        <v>49</v>
      </c>
      <c r="P1422" s="1" t="s">
        <v>49</v>
      </c>
      <c r="Q1422" s="1" t="s">
        <v>49</v>
      </c>
      <c r="R1422" s="1" t="s">
        <v>49</v>
      </c>
      <c r="S1422" s="1" t="s">
        <v>117</v>
      </c>
      <c r="T1422" s="1" t="s">
        <v>587</v>
      </c>
      <c r="U1422" s="6" t="s">
        <v>251</v>
      </c>
      <c r="V1422" s="1" t="s">
        <v>588</v>
      </c>
      <c r="W1422" s="36">
        <v>56.56</v>
      </c>
      <c r="X1422" s="36">
        <v>16.45</v>
      </c>
      <c r="Y1422" s="1" t="s">
        <v>48</v>
      </c>
      <c r="Z1422" s="1" t="s">
        <v>49</v>
      </c>
      <c r="AA1422" s="1" t="s">
        <v>127</v>
      </c>
      <c r="AB1422" s="1" t="s">
        <v>360</v>
      </c>
      <c r="AC1422" s="1" t="s">
        <v>360</v>
      </c>
      <c r="AD1422" s="1" t="s">
        <v>593</v>
      </c>
      <c r="AE1422" s="1" t="s">
        <v>593</v>
      </c>
      <c r="AF1422" s="1" t="s">
        <v>60</v>
      </c>
      <c r="AG1422" s="1" t="s">
        <v>53</v>
      </c>
      <c r="AH1422" s="1" t="s">
        <v>589</v>
      </c>
      <c r="AI1422" s="1" t="s">
        <v>200</v>
      </c>
      <c r="AJ1422" s="1">
        <v>84</v>
      </c>
      <c r="AK1422" s="1">
        <v>442</v>
      </c>
      <c r="AL1422" s="4">
        <v>0.16</v>
      </c>
      <c r="AM1422" s="1">
        <v>15.06</v>
      </c>
      <c r="AN1422" s="1">
        <f>AS1422/AL1422</f>
        <v>10.25</v>
      </c>
      <c r="AO1422" s="1" t="s">
        <v>49</v>
      </c>
      <c r="AP1422" s="6">
        <v>0</v>
      </c>
      <c r="AQ1422" s="6" t="s">
        <v>49</v>
      </c>
      <c r="AR1422" s="6" t="s">
        <v>49</v>
      </c>
      <c r="AS1422" s="1">
        <v>1.64</v>
      </c>
      <c r="AT1422" s="4">
        <f>AS1422/(AM1422^2)*100</f>
        <v>0.72309257877740907</v>
      </c>
      <c r="AU1422" s="5">
        <v>0</v>
      </c>
      <c r="AV1422" s="4">
        <f>AT1422*(1-AL1422)/AL1422</f>
        <v>3.7962360385813971</v>
      </c>
      <c r="AW1422" s="9" t="s">
        <v>594</v>
      </c>
    </row>
    <row r="1423" spans="1:49">
      <c r="A1423" s="1">
        <v>78</v>
      </c>
      <c r="B1423" s="1" t="s">
        <v>38</v>
      </c>
      <c r="C1423" s="1" t="s">
        <v>49</v>
      </c>
      <c r="D1423" s="1" t="s">
        <v>583</v>
      </c>
      <c r="E1423" s="1" t="s">
        <v>584</v>
      </c>
      <c r="F1423" s="1">
        <v>2013</v>
      </c>
      <c r="G1423" s="1" t="s">
        <v>276</v>
      </c>
      <c r="H1423" s="1" t="s">
        <v>585</v>
      </c>
      <c r="I1423" s="1" t="s">
        <v>586</v>
      </c>
      <c r="J1423" s="1" t="str">
        <f t="shared" ref="J1423:J1432" si="121">H1423&amp;"_"&amp;I1423</f>
        <v>Crepis_tectorum</v>
      </c>
      <c r="K1423" s="1" t="s">
        <v>114</v>
      </c>
      <c r="L1423" s="1" t="s">
        <v>46</v>
      </c>
      <c r="M1423" s="1" t="s">
        <v>115</v>
      </c>
      <c r="N1423" s="1" t="s">
        <v>116</v>
      </c>
      <c r="O1423" s="1" t="s">
        <v>49</v>
      </c>
      <c r="P1423" s="1" t="s">
        <v>49</v>
      </c>
      <c r="Q1423" s="1" t="s">
        <v>49</v>
      </c>
      <c r="R1423" s="1" t="s">
        <v>49</v>
      </c>
      <c r="S1423" s="1" t="s">
        <v>117</v>
      </c>
      <c r="T1423" s="1" t="s">
        <v>587</v>
      </c>
      <c r="U1423" s="6" t="s">
        <v>251</v>
      </c>
      <c r="V1423" s="1" t="s">
        <v>588</v>
      </c>
      <c r="W1423" s="36">
        <v>56.56</v>
      </c>
      <c r="X1423" s="36">
        <v>16.45</v>
      </c>
      <c r="Y1423" s="1" t="s">
        <v>48</v>
      </c>
      <c r="Z1423" s="1" t="s">
        <v>49</v>
      </c>
      <c r="AA1423" s="6" t="s">
        <v>49</v>
      </c>
      <c r="AB1423" s="6" t="s">
        <v>49</v>
      </c>
      <c r="AC1423" s="6" t="s">
        <v>49</v>
      </c>
      <c r="AD1423" s="1" t="s">
        <v>240</v>
      </c>
      <c r="AE1423" s="1" t="s">
        <v>590</v>
      </c>
      <c r="AF1423" s="6" t="s">
        <v>49</v>
      </c>
      <c r="AG1423" s="6" t="s">
        <v>49</v>
      </c>
      <c r="AH1423" s="1" t="s">
        <v>589</v>
      </c>
      <c r="AI1423" s="1" t="s">
        <v>200</v>
      </c>
      <c r="AJ1423" s="20" t="s">
        <v>49</v>
      </c>
      <c r="AK1423" s="20" t="s">
        <v>49</v>
      </c>
      <c r="AL1423" s="20" t="s">
        <v>49</v>
      </c>
      <c r="AM1423" s="20" t="s">
        <v>49</v>
      </c>
      <c r="AN1423" s="1" t="s">
        <v>49</v>
      </c>
      <c r="AO1423" s="1" t="s">
        <v>49</v>
      </c>
      <c r="AP1423" s="6">
        <v>0</v>
      </c>
      <c r="AQ1423" s="6" t="s">
        <v>49</v>
      </c>
      <c r="AR1423" s="6" t="s">
        <v>49</v>
      </c>
      <c r="AS1423" s="6">
        <v>3.27</v>
      </c>
      <c r="AT1423" s="6" t="s">
        <v>49</v>
      </c>
      <c r="AU1423" s="6" t="s">
        <v>49</v>
      </c>
      <c r="AV1423" s="6" t="s">
        <v>49</v>
      </c>
      <c r="AW1423" s="9" t="s">
        <v>594</v>
      </c>
    </row>
    <row r="1424" spans="1:49">
      <c r="A1424" s="1">
        <v>78</v>
      </c>
      <c r="B1424" s="1" t="s">
        <v>38</v>
      </c>
      <c r="C1424" s="1" t="s">
        <v>49</v>
      </c>
      <c r="D1424" s="1" t="s">
        <v>583</v>
      </c>
      <c r="E1424" s="1" t="s">
        <v>584</v>
      </c>
      <c r="F1424" s="1">
        <v>2013</v>
      </c>
      <c r="G1424" s="1" t="s">
        <v>276</v>
      </c>
      <c r="H1424" s="1" t="s">
        <v>585</v>
      </c>
      <c r="I1424" s="1" t="s">
        <v>586</v>
      </c>
      <c r="J1424" s="1" t="str">
        <f t="shared" si="121"/>
        <v>Crepis_tectorum</v>
      </c>
      <c r="K1424" s="1" t="s">
        <v>114</v>
      </c>
      <c r="L1424" s="1" t="s">
        <v>46</v>
      </c>
      <c r="M1424" s="1" t="s">
        <v>115</v>
      </c>
      <c r="N1424" s="1" t="s">
        <v>116</v>
      </c>
      <c r="O1424" s="1" t="s">
        <v>49</v>
      </c>
      <c r="P1424" s="1" t="s">
        <v>49</v>
      </c>
      <c r="Q1424" s="1" t="s">
        <v>49</v>
      </c>
      <c r="R1424" s="1" t="s">
        <v>49</v>
      </c>
      <c r="S1424" s="1" t="s">
        <v>117</v>
      </c>
      <c r="T1424" s="1" t="s">
        <v>587</v>
      </c>
      <c r="U1424" s="6" t="s">
        <v>251</v>
      </c>
      <c r="V1424" s="1" t="s">
        <v>588</v>
      </c>
      <c r="W1424" s="36">
        <v>56.56</v>
      </c>
      <c r="X1424" s="36">
        <v>16.45</v>
      </c>
      <c r="Y1424" s="1" t="s">
        <v>48</v>
      </c>
      <c r="Z1424" s="1" t="s">
        <v>49</v>
      </c>
      <c r="AA1424" s="6" t="s">
        <v>49</v>
      </c>
      <c r="AB1424" s="6" t="s">
        <v>49</v>
      </c>
      <c r="AC1424" s="6" t="s">
        <v>49</v>
      </c>
      <c r="AD1424" s="1" t="s">
        <v>240</v>
      </c>
      <c r="AE1424" s="1" t="s">
        <v>591</v>
      </c>
      <c r="AF1424" s="6" t="s">
        <v>49</v>
      </c>
      <c r="AG1424" s="6" t="s">
        <v>49</v>
      </c>
      <c r="AH1424" s="1" t="s">
        <v>589</v>
      </c>
      <c r="AI1424" s="1" t="s">
        <v>200</v>
      </c>
      <c r="AJ1424" s="20" t="s">
        <v>49</v>
      </c>
      <c r="AK1424" s="20" t="s">
        <v>49</v>
      </c>
      <c r="AL1424" s="20" t="s">
        <v>49</v>
      </c>
      <c r="AM1424" s="20" t="s">
        <v>49</v>
      </c>
      <c r="AN1424" s="1" t="s">
        <v>49</v>
      </c>
      <c r="AO1424" s="1" t="s">
        <v>49</v>
      </c>
      <c r="AP1424" s="6">
        <v>0</v>
      </c>
      <c r="AQ1424" s="6" t="s">
        <v>49</v>
      </c>
      <c r="AR1424" s="6" t="s">
        <v>49</v>
      </c>
      <c r="AS1424" s="6">
        <v>-1.24</v>
      </c>
      <c r="AT1424" s="6" t="s">
        <v>49</v>
      </c>
      <c r="AU1424" s="6" t="s">
        <v>49</v>
      </c>
      <c r="AV1424" s="6" t="s">
        <v>49</v>
      </c>
      <c r="AW1424" s="9" t="s">
        <v>594</v>
      </c>
    </row>
    <row r="1425" spans="1:49">
      <c r="A1425" s="1">
        <v>78</v>
      </c>
      <c r="B1425" s="1" t="s">
        <v>38</v>
      </c>
      <c r="C1425" s="1" t="s">
        <v>49</v>
      </c>
      <c r="D1425" s="1" t="s">
        <v>583</v>
      </c>
      <c r="E1425" s="1" t="s">
        <v>584</v>
      </c>
      <c r="F1425" s="1">
        <v>2013</v>
      </c>
      <c r="G1425" s="1" t="s">
        <v>276</v>
      </c>
      <c r="H1425" s="1" t="s">
        <v>585</v>
      </c>
      <c r="I1425" s="1" t="s">
        <v>586</v>
      </c>
      <c r="J1425" s="1" t="str">
        <f t="shared" si="121"/>
        <v>Crepis_tectorum</v>
      </c>
      <c r="K1425" s="1" t="s">
        <v>114</v>
      </c>
      <c r="L1425" s="1" t="s">
        <v>46</v>
      </c>
      <c r="M1425" s="1" t="s">
        <v>115</v>
      </c>
      <c r="N1425" s="1" t="s">
        <v>116</v>
      </c>
      <c r="O1425" s="1" t="s">
        <v>49</v>
      </c>
      <c r="P1425" s="1" t="s">
        <v>49</v>
      </c>
      <c r="Q1425" s="1" t="s">
        <v>49</v>
      </c>
      <c r="R1425" s="1" t="s">
        <v>49</v>
      </c>
      <c r="S1425" s="1" t="s">
        <v>117</v>
      </c>
      <c r="T1425" s="1" t="s">
        <v>587</v>
      </c>
      <c r="U1425" s="6" t="s">
        <v>251</v>
      </c>
      <c r="V1425" s="1" t="s">
        <v>588</v>
      </c>
      <c r="W1425" s="36">
        <v>56.56</v>
      </c>
      <c r="X1425" s="36">
        <v>16.45</v>
      </c>
      <c r="Y1425" s="1" t="s">
        <v>48</v>
      </c>
      <c r="Z1425" s="1" t="s">
        <v>49</v>
      </c>
      <c r="AA1425" s="6" t="s">
        <v>49</v>
      </c>
      <c r="AB1425" s="6" t="s">
        <v>49</v>
      </c>
      <c r="AC1425" s="6" t="s">
        <v>49</v>
      </c>
      <c r="AD1425" s="1" t="s">
        <v>240</v>
      </c>
      <c r="AE1425" s="1" t="s">
        <v>592</v>
      </c>
      <c r="AF1425" s="6" t="s">
        <v>49</v>
      </c>
      <c r="AG1425" s="6" t="s">
        <v>49</v>
      </c>
      <c r="AH1425" s="1" t="s">
        <v>589</v>
      </c>
      <c r="AI1425" s="1" t="s">
        <v>200</v>
      </c>
      <c r="AJ1425" s="20" t="s">
        <v>49</v>
      </c>
      <c r="AK1425" s="20" t="s">
        <v>49</v>
      </c>
      <c r="AL1425" s="20" t="s">
        <v>49</v>
      </c>
      <c r="AM1425" s="20" t="s">
        <v>49</v>
      </c>
      <c r="AN1425" s="1" t="s">
        <v>49</v>
      </c>
      <c r="AO1425" s="1" t="s">
        <v>49</v>
      </c>
      <c r="AP1425" s="6">
        <v>0</v>
      </c>
      <c r="AQ1425" s="6" t="s">
        <v>49</v>
      </c>
      <c r="AR1425" s="6" t="s">
        <v>49</v>
      </c>
      <c r="AS1425" s="6">
        <v>6.2</v>
      </c>
      <c r="AT1425" s="6" t="s">
        <v>49</v>
      </c>
      <c r="AU1425" s="6" t="s">
        <v>49</v>
      </c>
      <c r="AV1425" s="6" t="s">
        <v>49</v>
      </c>
      <c r="AW1425" s="9" t="s">
        <v>594</v>
      </c>
    </row>
    <row r="1426" spans="1:49">
      <c r="A1426" s="1">
        <v>78</v>
      </c>
      <c r="B1426" s="1" t="s">
        <v>38</v>
      </c>
      <c r="C1426" s="1" t="s">
        <v>49</v>
      </c>
      <c r="D1426" s="1" t="s">
        <v>583</v>
      </c>
      <c r="E1426" s="1" t="s">
        <v>584</v>
      </c>
      <c r="F1426" s="1">
        <v>2013</v>
      </c>
      <c r="G1426" s="1" t="s">
        <v>276</v>
      </c>
      <c r="H1426" s="1" t="s">
        <v>585</v>
      </c>
      <c r="I1426" s="1" t="s">
        <v>586</v>
      </c>
      <c r="J1426" s="1" t="str">
        <f t="shared" si="121"/>
        <v>Crepis_tectorum</v>
      </c>
      <c r="K1426" s="1" t="s">
        <v>114</v>
      </c>
      <c r="L1426" s="1" t="s">
        <v>46</v>
      </c>
      <c r="M1426" s="1" t="s">
        <v>115</v>
      </c>
      <c r="N1426" s="1" t="s">
        <v>116</v>
      </c>
      <c r="O1426" s="1" t="s">
        <v>49</v>
      </c>
      <c r="P1426" s="1" t="s">
        <v>49</v>
      </c>
      <c r="Q1426" s="1" t="s">
        <v>49</v>
      </c>
      <c r="R1426" s="1" t="s">
        <v>49</v>
      </c>
      <c r="S1426" s="1" t="s">
        <v>117</v>
      </c>
      <c r="T1426" s="1" t="s">
        <v>587</v>
      </c>
      <c r="U1426" s="6" t="s">
        <v>251</v>
      </c>
      <c r="V1426" s="1" t="s">
        <v>588</v>
      </c>
      <c r="W1426" s="36">
        <v>56.56</v>
      </c>
      <c r="X1426" s="36">
        <v>16.45</v>
      </c>
      <c r="Y1426" s="1" t="s">
        <v>48</v>
      </c>
      <c r="Z1426" s="1" t="s">
        <v>49</v>
      </c>
      <c r="AA1426" s="6" t="s">
        <v>49</v>
      </c>
      <c r="AB1426" s="6" t="s">
        <v>49</v>
      </c>
      <c r="AC1426" s="6" t="s">
        <v>49</v>
      </c>
      <c r="AD1426" s="1" t="s">
        <v>240</v>
      </c>
      <c r="AE1426" s="1" t="s">
        <v>593</v>
      </c>
      <c r="AF1426" s="6" t="s">
        <v>49</v>
      </c>
      <c r="AG1426" s="6" t="s">
        <v>49</v>
      </c>
      <c r="AH1426" s="1" t="s">
        <v>589</v>
      </c>
      <c r="AI1426" s="1" t="s">
        <v>200</v>
      </c>
      <c r="AJ1426" s="20" t="s">
        <v>49</v>
      </c>
      <c r="AK1426" s="20" t="s">
        <v>49</v>
      </c>
      <c r="AL1426" s="20" t="s">
        <v>49</v>
      </c>
      <c r="AM1426" s="20" t="s">
        <v>49</v>
      </c>
      <c r="AN1426" s="1" t="s">
        <v>49</v>
      </c>
      <c r="AO1426" s="1" t="s">
        <v>49</v>
      </c>
      <c r="AP1426" s="6">
        <v>0</v>
      </c>
      <c r="AQ1426" s="6" t="s">
        <v>49</v>
      </c>
      <c r="AR1426" s="6" t="s">
        <v>49</v>
      </c>
      <c r="AS1426" s="6">
        <v>1.3</v>
      </c>
      <c r="AT1426" s="6" t="s">
        <v>49</v>
      </c>
      <c r="AU1426" s="6" t="s">
        <v>49</v>
      </c>
      <c r="AV1426" s="6" t="s">
        <v>49</v>
      </c>
      <c r="AW1426" s="9" t="s">
        <v>594</v>
      </c>
    </row>
    <row r="1427" spans="1:49">
      <c r="A1427" s="1">
        <v>78</v>
      </c>
      <c r="B1427" s="1" t="s">
        <v>38</v>
      </c>
      <c r="C1427" s="1" t="s">
        <v>49</v>
      </c>
      <c r="D1427" s="1" t="s">
        <v>583</v>
      </c>
      <c r="E1427" s="1" t="s">
        <v>584</v>
      </c>
      <c r="F1427" s="1">
        <v>2013</v>
      </c>
      <c r="G1427" s="1" t="s">
        <v>276</v>
      </c>
      <c r="H1427" s="1" t="s">
        <v>585</v>
      </c>
      <c r="I1427" s="1" t="s">
        <v>586</v>
      </c>
      <c r="J1427" s="1" t="str">
        <f t="shared" si="121"/>
        <v>Crepis_tectorum</v>
      </c>
      <c r="K1427" s="1" t="s">
        <v>114</v>
      </c>
      <c r="L1427" s="1" t="s">
        <v>46</v>
      </c>
      <c r="M1427" s="1" t="s">
        <v>115</v>
      </c>
      <c r="N1427" s="1" t="s">
        <v>116</v>
      </c>
      <c r="O1427" s="1" t="s">
        <v>49</v>
      </c>
      <c r="P1427" s="1" t="s">
        <v>49</v>
      </c>
      <c r="Q1427" s="1" t="s">
        <v>49</v>
      </c>
      <c r="R1427" s="1" t="s">
        <v>49</v>
      </c>
      <c r="S1427" s="1" t="s">
        <v>117</v>
      </c>
      <c r="T1427" s="1" t="s">
        <v>587</v>
      </c>
      <c r="U1427" s="6" t="s">
        <v>251</v>
      </c>
      <c r="V1427" s="1" t="s">
        <v>588</v>
      </c>
      <c r="W1427" s="36">
        <v>56.56</v>
      </c>
      <c r="X1427" s="36">
        <v>16.45</v>
      </c>
      <c r="Y1427" s="1" t="s">
        <v>48</v>
      </c>
      <c r="Z1427" s="1" t="s">
        <v>49</v>
      </c>
      <c r="AA1427" s="6" t="s">
        <v>49</v>
      </c>
      <c r="AB1427" s="6" t="s">
        <v>49</v>
      </c>
      <c r="AC1427" s="6" t="s">
        <v>49</v>
      </c>
      <c r="AD1427" s="1" t="s">
        <v>590</v>
      </c>
      <c r="AE1427" s="1" t="s">
        <v>591</v>
      </c>
      <c r="AF1427" s="6" t="s">
        <v>49</v>
      </c>
      <c r="AG1427" s="6" t="s">
        <v>49</v>
      </c>
      <c r="AH1427" s="1" t="s">
        <v>589</v>
      </c>
      <c r="AI1427" s="1" t="s">
        <v>200</v>
      </c>
      <c r="AJ1427" s="20" t="s">
        <v>49</v>
      </c>
      <c r="AK1427" s="20" t="s">
        <v>49</v>
      </c>
      <c r="AL1427" s="20" t="s">
        <v>49</v>
      </c>
      <c r="AM1427" s="20" t="s">
        <v>49</v>
      </c>
      <c r="AN1427" s="1" t="s">
        <v>49</v>
      </c>
      <c r="AO1427" s="1" t="s">
        <v>49</v>
      </c>
      <c r="AP1427" s="6">
        <v>0</v>
      </c>
      <c r="AQ1427" s="6" t="s">
        <v>49</v>
      </c>
      <c r="AR1427" s="6" t="s">
        <v>49</v>
      </c>
      <c r="AS1427" s="6">
        <v>-0.17</v>
      </c>
      <c r="AT1427" s="6" t="s">
        <v>49</v>
      </c>
      <c r="AU1427" s="6" t="s">
        <v>49</v>
      </c>
      <c r="AV1427" s="6" t="s">
        <v>49</v>
      </c>
      <c r="AW1427" s="9" t="s">
        <v>594</v>
      </c>
    </row>
    <row r="1428" spans="1:49">
      <c r="A1428" s="1">
        <v>78</v>
      </c>
      <c r="B1428" s="1" t="s">
        <v>38</v>
      </c>
      <c r="C1428" s="1" t="s">
        <v>49</v>
      </c>
      <c r="D1428" s="1" t="s">
        <v>583</v>
      </c>
      <c r="E1428" s="1" t="s">
        <v>584</v>
      </c>
      <c r="F1428" s="1">
        <v>2013</v>
      </c>
      <c r="G1428" s="1" t="s">
        <v>276</v>
      </c>
      <c r="H1428" s="1" t="s">
        <v>585</v>
      </c>
      <c r="I1428" s="1" t="s">
        <v>586</v>
      </c>
      <c r="J1428" s="1" t="str">
        <f t="shared" si="121"/>
        <v>Crepis_tectorum</v>
      </c>
      <c r="K1428" s="1" t="s">
        <v>114</v>
      </c>
      <c r="L1428" s="1" t="s">
        <v>46</v>
      </c>
      <c r="M1428" s="1" t="s">
        <v>115</v>
      </c>
      <c r="N1428" s="1" t="s">
        <v>116</v>
      </c>
      <c r="O1428" s="1" t="s">
        <v>49</v>
      </c>
      <c r="P1428" s="1" t="s">
        <v>49</v>
      </c>
      <c r="Q1428" s="1" t="s">
        <v>49</v>
      </c>
      <c r="R1428" s="1" t="s">
        <v>49</v>
      </c>
      <c r="S1428" s="1" t="s">
        <v>117</v>
      </c>
      <c r="T1428" s="1" t="s">
        <v>587</v>
      </c>
      <c r="U1428" s="6" t="s">
        <v>251</v>
      </c>
      <c r="V1428" s="1" t="s">
        <v>588</v>
      </c>
      <c r="W1428" s="36">
        <v>56.56</v>
      </c>
      <c r="X1428" s="36">
        <v>16.45</v>
      </c>
      <c r="Y1428" s="1" t="s">
        <v>48</v>
      </c>
      <c r="Z1428" s="1" t="s">
        <v>49</v>
      </c>
      <c r="AA1428" s="6" t="s">
        <v>49</v>
      </c>
      <c r="AB1428" s="6" t="s">
        <v>49</v>
      </c>
      <c r="AC1428" s="6" t="s">
        <v>49</v>
      </c>
      <c r="AD1428" s="1" t="s">
        <v>590</v>
      </c>
      <c r="AE1428" s="1" t="s">
        <v>592</v>
      </c>
      <c r="AF1428" s="6" t="s">
        <v>49</v>
      </c>
      <c r="AG1428" s="6" t="s">
        <v>49</v>
      </c>
      <c r="AH1428" s="1" t="s">
        <v>589</v>
      </c>
      <c r="AI1428" s="1" t="s">
        <v>200</v>
      </c>
      <c r="AJ1428" s="20" t="s">
        <v>49</v>
      </c>
      <c r="AK1428" s="20" t="s">
        <v>49</v>
      </c>
      <c r="AL1428" s="20" t="s">
        <v>49</v>
      </c>
      <c r="AM1428" s="20" t="s">
        <v>49</v>
      </c>
      <c r="AN1428" s="1" t="s">
        <v>49</v>
      </c>
      <c r="AO1428" s="1" t="s">
        <v>49</v>
      </c>
      <c r="AP1428" s="6">
        <v>0</v>
      </c>
      <c r="AQ1428" s="6" t="s">
        <v>49</v>
      </c>
      <c r="AR1428" s="6" t="s">
        <v>49</v>
      </c>
      <c r="AS1428" s="6">
        <v>1.34</v>
      </c>
      <c r="AT1428" s="6" t="s">
        <v>49</v>
      </c>
      <c r="AU1428" s="6" t="s">
        <v>49</v>
      </c>
      <c r="AV1428" s="6" t="s">
        <v>49</v>
      </c>
      <c r="AW1428" s="9" t="s">
        <v>594</v>
      </c>
    </row>
    <row r="1429" spans="1:49">
      <c r="A1429" s="1">
        <v>78</v>
      </c>
      <c r="B1429" s="1" t="s">
        <v>38</v>
      </c>
      <c r="C1429" s="1" t="s">
        <v>49</v>
      </c>
      <c r="D1429" s="1" t="s">
        <v>583</v>
      </c>
      <c r="E1429" s="1" t="s">
        <v>584</v>
      </c>
      <c r="F1429" s="1">
        <v>2013</v>
      </c>
      <c r="G1429" s="1" t="s">
        <v>276</v>
      </c>
      <c r="H1429" s="1" t="s">
        <v>585</v>
      </c>
      <c r="I1429" s="1" t="s">
        <v>586</v>
      </c>
      <c r="J1429" s="1" t="str">
        <f t="shared" si="121"/>
        <v>Crepis_tectorum</v>
      </c>
      <c r="K1429" s="1" t="s">
        <v>114</v>
      </c>
      <c r="L1429" s="1" t="s">
        <v>46</v>
      </c>
      <c r="M1429" s="1" t="s">
        <v>115</v>
      </c>
      <c r="N1429" s="1" t="s">
        <v>116</v>
      </c>
      <c r="O1429" s="1" t="s">
        <v>49</v>
      </c>
      <c r="P1429" s="1" t="s">
        <v>49</v>
      </c>
      <c r="Q1429" s="1" t="s">
        <v>49</v>
      </c>
      <c r="R1429" s="1" t="s">
        <v>49</v>
      </c>
      <c r="S1429" s="1" t="s">
        <v>117</v>
      </c>
      <c r="T1429" s="1" t="s">
        <v>587</v>
      </c>
      <c r="U1429" s="6" t="s">
        <v>251</v>
      </c>
      <c r="V1429" s="1" t="s">
        <v>588</v>
      </c>
      <c r="W1429" s="36">
        <v>56.56</v>
      </c>
      <c r="X1429" s="36">
        <v>16.45</v>
      </c>
      <c r="Y1429" s="1" t="s">
        <v>48</v>
      </c>
      <c r="Z1429" s="1" t="s">
        <v>49</v>
      </c>
      <c r="AA1429" s="6" t="s">
        <v>49</v>
      </c>
      <c r="AB1429" s="6" t="s">
        <v>49</v>
      </c>
      <c r="AC1429" s="6" t="s">
        <v>49</v>
      </c>
      <c r="AD1429" s="1" t="s">
        <v>590</v>
      </c>
      <c r="AE1429" s="1" t="s">
        <v>593</v>
      </c>
      <c r="AF1429" s="6" t="s">
        <v>49</v>
      </c>
      <c r="AG1429" s="6" t="s">
        <v>49</v>
      </c>
      <c r="AH1429" s="1" t="s">
        <v>589</v>
      </c>
      <c r="AI1429" s="1" t="s">
        <v>200</v>
      </c>
      <c r="AJ1429" s="20" t="s">
        <v>49</v>
      </c>
      <c r="AK1429" s="20" t="s">
        <v>49</v>
      </c>
      <c r="AL1429" s="20" t="s">
        <v>49</v>
      </c>
      <c r="AM1429" s="20" t="s">
        <v>49</v>
      </c>
      <c r="AN1429" s="1" t="s">
        <v>49</v>
      </c>
      <c r="AO1429" s="1" t="s">
        <v>49</v>
      </c>
      <c r="AP1429" s="6">
        <v>0</v>
      </c>
      <c r="AQ1429" s="6" t="s">
        <v>49</v>
      </c>
      <c r="AR1429" s="6" t="s">
        <v>49</v>
      </c>
      <c r="AS1429" s="6">
        <v>0.28000000000000003</v>
      </c>
      <c r="AT1429" s="6" t="s">
        <v>49</v>
      </c>
      <c r="AU1429" s="6" t="s">
        <v>49</v>
      </c>
      <c r="AV1429" s="6" t="s">
        <v>49</v>
      </c>
      <c r="AW1429" s="9" t="s">
        <v>594</v>
      </c>
    </row>
    <row r="1430" spans="1:49">
      <c r="A1430" s="1">
        <v>78</v>
      </c>
      <c r="B1430" s="1" t="s">
        <v>38</v>
      </c>
      <c r="C1430" s="1" t="s">
        <v>49</v>
      </c>
      <c r="D1430" s="1" t="s">
        <v>583</v>
      </c>
      <c r="E1430" s="1" t="s">
        <v>584</v>
      </c>
      <c r="F1430" s="1">
        <v>2013</v>
      </c>
      <c r="G1430" s="1" t="s">
        <v>276</v>
      </c>
      <c r="H1430" s="1" t="s">
        <v>585</v>
      </c>
      <c r="I1430" s="1" t="s">
        <v>586</v>
      </c>
      <c r="J1430" s="1" t="str">
        <f t="shared" si="121"/>
        <v>Crepis_tectorum</v>
      </c>
      <c r="K1430" s="1" t="s">
        <v>114</v>
      </c>
      <c r="L1430" s="1" t="s">
        <v>46</v>
      </c>
      <c r="M1430" s="1" t="s">
        <v>115</v>
      </c>
      <c r="N1430" s="1" t="s">
        <v>116</v>
      </c>
      <c r="O1430" s="1" t="s">
        <v>49</v>
      </c>
      <c r="P1430" s="1" t="s">
        <v>49</v>
      </c>
      <c r="Q1430" s="1" t="s">
        <v>49</v>
      </c>
      <c r="R1430" s="1" t="s">
        <v>49</v>
      </c>
      <c r="S1430" s="1" t="s">
        <v>117</v>
      </c>
      <c r="T1430" s="1" t="s">
        <v>587</v>
      </c>
      <c r="U1430" s="6" t="s">
        <v>251</v>
      </c>
      <c r="V1430" s="1" t="s">
        <v>588</v>
      </c>
      <c r="W1430" s="36">
        <v>56.56</v>
      </c>
      <c r="X1430" s="36">
        <v>16.45</v>
      </c>
      <c r="Y1430" s="1" t="s">
        <v>48</v>
      </c>
      <c r="Z1430" s="1" t="s">
        <v>49</v>
      </c>
      <c r="AA1430" s="6" t="s">
        <v>49</v>
      </c>
      <c r="AB1430" s="6" t="s">
        <v>49</v>
      </c>
      <c r="AC1430" s="6" t="s">
        <v>49</v>
      </c>
      <c r="AD1430" s="1" t="s">
        <v>591</v>
      </c>
      <c r="AE1430" s="1" t="s">
        <v>592</v>
      </c>
      <c r="AF1430" s="6" t="s">
        <v>49</v>
      </c>
      <c r="AG1430" s="6" t="s">
        <v>49</v>
      </c>
      <c r="AH1430" s="1" t="s">
        <v>589</v>
      </c>
      <c r="AI1430" s="1" t="s">
        <v>200</v>
      </c>
      <c r="AJ1430" s="20" t="s">
        <v>49</v>
      </c>
      <c r="AK1430" s="20" t="s">
        <v>49</v>
      </c>
      <c r="AL1430" s="20" t="s">
        <v>49</v>
      </c>
      <c r="AM1430" s="20" t="s">
        <v>49</v>
      </c>
      <c r="AN1430" s="1" t="s">
        <v>49</v>
      </c>
      <c r="AO1430" s="1" t="s">
        <v>49</v>
      </c>
      <c r="AP1430" s="6">
        <v>0</v>
      </c>
      <c r="AQ1430" s="6" t="s">
        <v>49</v>
      </c>
      <c r="AR1430" s="6" t="s">
        <v>49</v>
      </c>
      <c r="AS1430" s="6">
        <v>-0.26</v>
      </c>
      <c r="AT1430" s="6" t="s">
        <v>49</v>
      </c>
      <c r="AU1430" s="6" t="s">
        <v>49</v>
      </c>
      <c r="AV1430" s="6" t="s">
        <v>49</v>
      </c>
      <c r="AW1430" s="9" t="s">
        <v>594</v>
      </c>
    </row>
    <row r="1431" spans="1:49">
      <c r="A1431" s="1">
        <v>78</v>
      </c>
      <c r="B1431" s="1" t="s">
        <v>38</v>
      </c>
      <c r="C1431" s="1" t="s">
        <v>49</v>
      </c>
      <c r="D1431" s="1" t="s">
        <v>583</v>
      </c>
      <c r="E1431" s="1" t="s">
        <v>584</v>
      </c>
      <c r="F1431" s="1">
        <v>2013</v>
      </c>
      <c r="G1431" s="1" t="s">
        <v>276</v>
      </c>
      <c r="H1431" s="1" t="s">
        <v>585</v>
      </c>
      <c r="I1431" s="1" t="s">
        <v>586</v>
      </c>
      <c r="J1431" s="1" t="str">
        <f t="shared" si="121"/>
        <v>Crepis_tectorum</v>
      </c>
      <c r="K1431" s="1" t="s">
        <v>114</v>
      </c>
      <c r="L1431" s="1" t="s">
        <v>46</v>
      </c>
      <c r="M1431" s="1" t="s">
        <v>115</v>
      </c>
      <c r="N1431" s="1" t="s">
        <v>116</v>
      </c>
      <c r="O1431" s="1" t="s">
        <v>49</v>
      </c>
      <c r="P1431" s="1" t="s">
        <v>49</v>
      </c>
      <c r="Q1431" s="1" t="s">
        <v>49</v>
      </c>
      <c r="R1431" s="1" t="s">
        <v>49</v>
      </c>
      <c r="S1431" s="1" t="s">
        <v>117</v>
      </c>
      <c r="T1431" s="1" t="s">
        <v>587</v>
      </c>
      <c r="U1431" s="6" t="s">
        <v>251</v>
      </c>
      <c r="V1431" s="1" t="s">
        <v>588</v>
      </c>
      <c r="W1431" s="36">
        <v>56.56</v>
      </c>
      <c r="X1431" s="36">
        <v>16.45</v>
      </c>
      <c r="Y1431" s="1" t="s">
        <v>48</v>
      </c>
      <c r="Z1431" s="1" t="s">
        <v>49</v>
      </c>
      <c r="AA1431" s="6" t="s">
        <v>49</v>
      </c>
      <c r="AB1431" s="6" t="s">
        <v>49</v>
      </c>
      <c r="AC1431" s="6" t="s">
        <v>49</v>
      </c>
      <c r="AD1431" s="1" t="s">
        <v>591</v>
      </c>
      <c r="AE1431" s="1" t="s">
        <v>593</v>
      </c>
      <c r="AF1431" s="6" t="s">
        <v>49</v>
      </c>
      <c r="AG1431" s="6" t="s">
        <v>49</v>
      </c>
      <c r="AH1431" s="1" t="s">
        <v>589</v>
      </c>
      <c r="AI1431" s="1" t="s">
        <v>200</v>
      </c>
      <c r="AJ1431" s="20" t="s">
        <v>49</v>
      </c>
      <c r="AK1431" s="20" t="s">
        <v>49</v>
      </c>
      <c r="AL1431" s="20" t="s">
        <v>49</v>
      </c>
      <c r="AM1431" s="20" t="s">
        <v>49</v>
      </c>
      <c r="AN1431" s="1" t="s">
        <v>49</v>
      </c>
      <c r="AO1431" s="1" t="s">
        <v>49</v>
      </c>
      <c r="AP1431" s="6">
        <v>0</v>
      </c>
      <c r="AQ1431" s="6" t="s">
        <v>49</v>
      </c>
      <c r="AR1431" s="6" t="s">
        <v>49</v>
      </c>
      <c r="AS1431" s="6">
        <v>-0.25</v>
      </c>
      <c r="AT1431" s="6" t="s">
        <v>49</v>
      </c>
      <c r="AU1431" s="6" t="s">
        <v>49</v>
      </c>
      <c r="AV1431" s="6" t="s">
        <v>49</v>
      </c>
      <c r="AW1431" s="9" t="s">
        <v>594</v>
      </c>
    </row>
    <row r="1432" spans="1:49">
      <c r="A1432" s="1">
        <v>78</v>
      </c>
      <c r="B1432" s="1" t="s">
        <v>38</v>
      </c>
      <c r="C1432" s="1" t="s">
        <v>49</v>
      </c>
      <c r="D1432" s="1" t="s">
        <v>583</v>
      </c>
      <c r="E1432" s="1" t="s">
        <v>584</v>
      </c>
      <c r="F1432" s="1">
        <v>2013</v>
      </c>
      <c r="G1432" s="1" t="s">
        <v>276</v>
      </c>
      <c r="H1432" s="1" t="s">
        <v>585</v>
      </c>
      <c r="I1432" s="1" t="s">
        <v>586</v>
      </c>
      <c r="J1432" s="1" t="str">
        <f t="shared" si="121"/>
        <v>Crepis_tectorum</v>
      </c>
      <c r="K1432" s="1" t="s">
        <v>114</v>
      </c>
      <c r="L1432" s="1" t="s">
        <v>46</v>
      </c>
      <c r="M1432" s="1" t="s">
        <v>115</v>
      </c>
      <c r="N1432" s="1" t="s">
        <v>116</v>
      </c>
      <c r="O1432" s="1" t="s">
        <v>49</v>
      </c>
      <c r="P1432" s="1" t="s">
        <v>49</v>
      </c>
      <c r="Q1432" s="1" t="s">
        <v>49</v>
      </c>
      <c r="R1432" s="1" t="s">
        <v>49</v>
      </c>
      <c r="S1432" s="1" t="s">
        <v>117</v>
      </c>
      <c r="T1432" s="1" t="s">
        <v>587</v>
      </c>
      <c r="U1432" s="6" t="s">
        <v>251</v>
      </c>
      <c r="V1432" s="1" t="s">
        <v>588</v>
      </c>
      <c r="W1432" s="36">
        <v>56.56</v>
      </c>
      <c r="X1432" s="36">
        <v>16.45</v>
      </c>
      <c r="Y1432" s="1" t="s">
        <v>48</v>
      </c>
      <c r="Z1432" s="1" t="s">
        <v>49</v>
      </c>
      <c r="AA1432" s="6" t="s">
        <v>49</v>
      </c>
      <c r="AB1432" s="6" t="s">
        <v>49</v>
      </c>
      <c r="AC1432" s="6" t="s">
        <v>49</v>
      </c>
      <c r="AD1432" s="1" t="s">
        <v>592</v>
      </c>
      <c r="AE1432" s="1" t="s">
        <v>593</v>
      </c>
      <c r="AF1432" s="6" t="s">
        <v>49</v>
      </c>
      <c r="AG1432" s="6" t="s">
        <v>49</v>
      </c>
      <c r="AH1432" s="1" t="s">
        <v>589</v>
      </c>
      <c r="AI1432" s="1" t="s">
        <v>200</v>
      </c>
      <c r="AJ1432" s="20" t="s">
        <v>49</v>
      </c>
      <c r="AK1432" s="20" t="s">
        <v>49</v>
      </c>
      <c r="AL1432" s="20" t="s">
        <v>49</v>
      </c>
      <c r="AM1432" s="20" t="s">
        <v>49</v>
      </c>
      <c r="AN1432" s="1" t="s">
        <v>49</v>
      </c>
      <c r="AO1432" s="1" t="s">
        <v>49</v>
      </c>
      <c r="AP1432" s="6">
        <v>0</v>
      </c>
      <c r="AQ1432" s="6" t="s">
        <v>49</v>
      </c>
      <c r="AR1432" s="6" t="s">
        <v>49</v>
      </c>
      <c r="AS1432" s="6">
        <v>0.1</v>
      </c>
      <c r="AT1432" s="6" t="s">
        <v>49</v>
      </c>
      <c r="AU1432" s="6" t="s">
        <v>49</v>
      </c>
      <c r="AV1432" s="6" t="s">
        <v>49</v>
      </c>
      <c r="AW1432" s="9" t="s">
        <v>594</v>
      </c>
    </row>
    <row r="1433" spans="1:49">
      <c r="A1433" s="1">
        <v>2</v>
      </c>
      <c r="B1433" s="1" t="s">
        <v>38</v>
      </c>
      <c r="C1433" s="1" t="s">
        <v>38</v>
      </c>
      <c r="D1433" s="3" t="s">
        <v>595</v>
      </c>
      <c r="E1433" s="3" t="s">
        <v>40</v>
      </c>
      <c r="F1433" s="3">
        <v>2007</v>
      </c>
      <c r="G1433" s="3" t="s">
        <v>224</v>
      </c>
      <c r="H1433" s="3" t="s">
        <v>596</v>
      </c>
      <c r="I1433" s="3" t="s">
        <v>597</v>
      </c>
      <c r="J1433" s="3" t="s">
        <v>598</v>
      </c>
      <c r="K1433" s="3" t="s">
        <v>45</v>
      </c>
      <c r="L1433" s="3" t="s">
        <v>46</v>
      </c>
      <c r="M1433" s="1" t="s">
        <v>12</v>
      </c>
      <c r="N1433" s="1" t="s">
        <v>76</v>
      </c>
      <c r="O1433" s="1">
        <v>0.22500000000000001</v>
      </c>
      <c r="P1433" s="1">
        <v>0.24</v>
      </c>
      <c r="Q1433" s="1">
        <v>0.24</v>
      </c>
      <c r="R1433" s="1">
        <v>1</v>
      </c>
      <c r="S1433" s="1" t="s">
        <v>373</v>
      </c>
      <c r="T1433" s="1" t="s">
        <v>599</v>
      </c>
      <c r="U1433" s="1" t="s">
        <v>398</v>
      </c>
      <c r="V1433" s="3" t="s">
        <v>600</v>
      </c>
      <c r="W1433" s="3">
        <v>44.494999999999997</v>
      </c>
      <c r="X1433" s="3">
        <v>-76.419721999999993</v>
      </c>
      <c r="Y1433" s="1" t="s">
        <v>48</v>
      </c>
      <c r="Z1433" s="1" t="s">
        <v>49</v>
      </c>
      <c r="AA1433" s="1" t="s">
        <v>50</v>
      </c>
      <c r="AB1433" s="1" t="s">
        <v>57</v>
      </c>
      <c r="AC1433" s="1" t="s">
        <v>58</v>
      </c>
      <c r="AD1433" s="1" t="s">
        <v>84</v>
      </c>
      <c r="AE1433" s="1" t="s">
        <v>84</v>
      </c>
      <c r="AF1433" s="1" t="s">
        <v>60</v>
      </c>
      <c r="AG1433" s="1" t="s">
        <v>61</v>
      </c>
      <c r="AH1433" s="1" t="s">
        <v>199</v>
      </c>
      <c r="AI1433" s="1" t="s">
        <v>200</v>
      </c>
      <c r="AJ1433" s="1">
        <v>48</v>
      </c>
      <c r="AK1433" s="1" t="s">
        <v>49</v>
      </c>
      <c r="AL1433" s="2">
        <v>0.31</v>
      </c>
      <c r="AM1433" s="3">
        <v>21.9</v>
      </c>
      <c r="AN1433" s="3">
        <f>AS1433/AL1433</f>
        <v>9.9016258064516123</v>
      </c>
      <c r="AO1433" s="3">
        <v>8</v>
      </c>
      <c r="AP1433" s="6">
        <v>1</v>
      </c>
      <c r="AQ1433" s="6" t="s">
        <v>49</v>
      </c>
      <c r="AR1433" s="6" t="s">
        <v>49</v>
      </c>
      <c r="AS1433" s="1">
        <f>((AO1433/100)*AM1433)^2</f>
        <v>3.0695039999999998</v>
      </c>
      <c r="AT1433" s="4">
        <f>((AO1433/100)^2)*100</f>
        <v>0.64</v>
      </c>
      <c r="AU1433" s="5">
        <v>0</v>
      </c>
      <c r="AV1433" s="4">
        <f>AT1433*(1-AL1433)/AL1433</f>
        <v>1.4245161290322581</v>
      </c>
      <c r="AW1433" s="9" t="s">
        <v>601</v>
      </c>
    </row>
    <row r="1434" spans="1:49">
      <c r="A1434" s="1">
        <v>2</v>
      </c>
      <c r="B1434" s="1" t="s">
        <v>38</v>
      </c>
      <c r="C1434" s="1" t="s">
        <v>38</v>
      </c>
      <c r="D1434" s="3" t="s">
        <v>595</v>
      </c>
      <c r="E1434" s="3" t="s">
        <v>40</v>
      </c>
      <c r="F1434" s="3">
        <v>2007</v>
      </c>
      <c r="G1434" s="3" t="s">
        <v>224</v>
      </c>
      <c r="H1434" s="3" t="s">
        <v>596</v>
      </c>
      <c r="I1434" s="3" t="s">
        <v>597</v>
      </c>
      <c r="J1434" s="3" t="s">
        <v>598</v>
      </c>
      <c r="K1434" s="3" t="s">
        <v>45</v>
      </c>
      <c r="L1434" s="3" t="s">
        <v>46</v>
      </c>
      <c r="M1434" s="1" t="s">
        <v>12</v>
      </c>
      <c r="N1434" s="1" t="s">
        <v>76</v>
      </c>
      <c r="O1434" s="1">
        <v>0.22500000000000001</v>
      </c>
      <c r="P1434" s="1">
        <v>0.24</v>
      </c>
      <c r="Q1434" s="1">
        <v>0.24</v>
      </c>
      <c r="R1434" s="1">
        <v>1</v>
      </c>
      <c r="S1434" s="1" t="s">
        <v>373</v>
      </c>
      <c r="T1434" s="1" t="s">
        <v>599</v>
      </c>
      <c r="U1434" s="1" t="s">
        <v>398</v>
      </c>
      <c r="V1434" s="3" t="s">
        <v>600</v>
      </c>
      <c r="W1434" s="3">
        <v>44.494999999999997</v>
      </c>
      <c r="X1434" s="3">
        <v>-76.419721999999993</v>
      </c>
      <c r="Y1434" s="1" t="s">
        <v>48</v>
      </c>
      <c r="Z1434" s="1" t="s">
        <v>49</v>
      </c>
      <c r="AA1434" s="1" t="s">
        <v>50</v>
      </c>
      <c r="AB1434" s="1" t="s">
        <v>57</v>
      </c>
      <c r="AC1434" s="1" t="s">
        <v>602</v>
      </c>
      <c r="AD1434" s="1" t="s">
        <v>603</v>
      </c>
      <c r="AE1434" s="1" t="s">
        <v>603</v>
      </c>
      <c r="AF1434" s="1" t="s">
        <v>60</v>
      </c>
      <c r="AG1434" s="1" t="s">
        <v>61</v>
      </c>
      <c r="AH1434" s="1" t="s">
        <v>199</v>
      </c>
      <c r="AI1434" s="1" t="s">
        <v>200</v>
      </c>
      <c r="AJ1434" s="1">
        <v>48</v>
      </c>
      <c r="AK1434" s="1" t="s">
        <v>49</v>
      </c>
      <c r="AL1434" s="2">
        <v>0.32</v>
      </c>
      <c r="AM1434" s="3">
        <v>28.3</v>
      </c>
      <c r="AN1434" s="3">
        <f>AS1434/AL1434</f>
        <v>16.017800000000005</v>
      </c>
      <c r="AO1434" s="3">
        <v>8</v>
      </c>
      <c r="AP1434" s="6">
        <v>1</v>
      </c>
      <c r="AQ1434" s="6" t="s">
        <v>49</v>
      </c>
      <c r="AR1434" s="6" t="s">
        <v>49</v>
      </c>
      <c r="AS1434" s="1">
        <f>((AO1434/100)*AM1434)^2</f>
        <v>5.1256960000000014</v>
      </c>
      <c r="AT1434" s="4">
        <f>((AO1434/100)^2)*100</f>
        <v>0.64</v>
      </c>
      <c r="AU1434" s="5">
        <v>0</v>
      </c>
      <c r="AV1434" s="4">
        <f>AT1434*(1-AL1434)/AL1434</f>
        <v>1.3599999999999999</v>
      </c>
      <c r="AW1434" s="9" t="s">
        <v>601</v>
      </c>
    </row>
    <row r="1435" spans="1:49">
      <c r="A1435" s="1">
        <v>2</v>
      </c>
      <c r="B1435" s="1" t="s">
        <v>38</v>
      </c>
      <c r="C1435" s="1" t="s">
        <v>38</v>
      </c>
      <c r="D1435" s="3" t="s">
        <v>595</v>
      </c>
      <c r="E1435" s="3" t="s">
        <v>40</v>
      </c>
      <c r="F1435" s="3">
        <v>2007</v>
      </c>
      <c r="G1435" s="3" t="s">
        <v>224</v>
      </c>
      <c r="H1435" s="3" t="s">
        <v>596</v>
      </c>
      <c r="I1435" s="3" t="s">
        <v>597</v>
      </c>
      <c r="J1435" s="3" t="s">
        <v>598</v>
      </c>
      <c r="K1435" s="3" t="s">
        <v>45</v>
      </c>
      <c r="L1435" s="3" t="s">
        <v>46</v>
      </c>
      <c r="M1435" s="1" t="s">
        <v>12</v>
      </c>
      <c r="N1435" s="1" t="s">
        <v>76</v>
      </c>
      <c r="O1435" s="1">
        <v>0.22500000000000001</v>
      </c>
      <c r="P1435" s="1">
        <v>0.24</v>
      </c>
      <c r="Q1435" s="1">
        <v>0.24</v>
      </c>
      <c r="R1435" s="1">
        <v>1</v>
      </c>
      <c r="S1435" s="1" t="s">
        <v>373</v>
      </c>
      <c r="T1435" s="1" t="s">
        <v>599</v>
      </c>
      <c r="U1435" s="1" t="s">
        <v>398</v>
      </c>
      <c r="V1435" s="3" t="s">
        <v>600</v>
      </c>
      <c r="W1435" s="3">
        <v>44.494999999999997</v>
      </c>
      <c r="X1435" s="3">
        <v>-76.419721999999993</v>
      </c>
      <c r="Y1435" s="1" t="s">
        <v>48</v>
      </c>
      <c r="Z1435" s="1" t="s">
        <v>49</v>
      </c>
      <c r="AA1435" s="1" t="s">
        <v>50</v>
      </c>
      <c r="AB1435" s="1" t="s">
        <v>91</v>
      </c>
      <c r="AC1435" s="1" t="s">
        <v>91</v>
      </c>
      <c r="AD1435" s="1" t="s">
        <v>93</v>
      </c>
      <c r="AE1435" s="1" t="s">
        <v>93</v>
      </c>
      <c r="AF1435" s="1" t="s">
        <v>60</v>
      </c>
      <c r="AG1435" s="1" t="s">
        <v>61</v>
      </c>
      <c r="AH1435" s="1" t="s">
        <v>199</v>
      </c>
      <c r="AI1435" s="1" t="s">
        <v>200</v>
      </c>
      <c r="AJ1435" s="1">
        <v>48</v>
      </c>
      <c r="AK1435" s="1" t="s">
        <v>49</v>
      </c>
      <c r="AL1435" s="2">
        <v>0.78</v>
      </c>
      <c r="AM1435" s="3">
        <v>3</v>
      </c>
      <c r="AN1435" s="3">
        <f>AS1435/AL1435</f>
        <v>3.12</v>
      </c>
      <c r="AO1435" s="3">
        <v>52</v>
      </c>
      <c r="AP1435" s="6">
        <v>1</v>
      </c>
      <c r="AQ1435" s="6" t="s">
        <v>49</v>
      </c>
      <c r="AR1435" s="6" t="s">
        <v>49</v>
      </c>
      <c r="AS1435" s="1">
        <f>((AO1435/100)*AM1435)^2</f>
        <v>2.4336000000000002</v>
      </c>
      <c r="AT1435" s="4">
        <f>((AO1435/100)^2)*100</f>
        <v>27.040000000000003</v>
      </c>
      <c r="AU1435" s="5">
        <v>0</v>
      </c>
      <c r="AV1435" s="4">
        <f>AT1435*(1-AL1435)/AL1435</f>
        <v>7.6266666666666669</v>
      </c>
      <c r="AW1435" s="9" t="s">
        <v>601</v>
      </c>
    </row>
    <row r="1436" spans="1:49">
      <c r="A1436" s="1">
        <v>2</v>
      </c>
      <c r="B1436" s="1" t="s">
        <v>38</v>
      </c>
      <c r="C1436" s="1" t="s">
        <v>38</v>
      </c>
      <c r="D1436" s="3" t="s">
        <v>595</v>
      </c>
      <c r="E1436" s="3" t="s">
        <v>40</v>
      </c>
      <c r="F1436" s="3">
        <v>2007</v>
      </c>
      <c r="G1436" s="3" t="s">
        <v>224</v>
      </c>
      <c r="H1436" s="3" t="s">
        <v>596</v>
      </c>
      <c r="I1436" s="3" t="s">
        <v>597</v>
      </c>
      <c r="J1436" s="3" t="s">
        <v>598</v>
      </c>
      <c r="K1436" s="3" t="s">
        <v>45</v>
      </c>
      <c r="L1436" s="3" t="s">
        <v>46</v>
      </c>
      <c r="M1436" s="1" t="s">
        <v>12</v>
      </c>
      <c r="N1436" s="1" t="s">
        <v>76</v>
      </c>
      <c r="O1436" s="1">
        <v>0.22500000000000001</v>
      </c>
      <c r="P1436" s="1">
        <v>0.24</v>
      </c>
      <c r="Q1436" s="1">
        <v>0.24</v>
      </c>
      <c r="R1436" s="1">
        <v>1</v>
      </c>
      <c r="S1436" s="1" t="s">
        <v>373</v>
      </c>
      <c r="T1436" s="1" t="s">
        <v>599</v>
      </c>
      <c r="U1436" s="1" t="s">
        <v>398</v>
      </c>
      <c r="V1436" s="3" t="s">
        <v>600</v>
      </c>
      <c r="W1436" s="3">
        <v>44.494999999999997</v>
      </c>
      <c r="X1436" s="3">
        <v>-76.419721999999993</v>
      </c>
      <c r="Y1436" s="1" t="s">
        <v>48</v>
      </c>
      <c r="Z1436" s="1" t="s">
        <v>49</v>
      </c>
      <c r="AA1436" s="6" t="s">
        <v>49</v>
      </c>
      <c r="AB1436" s="6" t="s">
        <v>49</v>
      </c>
      <c r="AC1436" s="6" t="s">
        <v>49</v>
      </c>
      <c r="AD1436" s="1" t="s">
        <v>84</v>
      </c>
      <c r="AE1436" s="1" t="s">
        <v>603</v>
      </c>
      <c r="AF1436" s="6" t="s">
        <v>49</v>
      </c>
      <c r="AG1436" s="6" t="s">
        <v>49</v>
      </c>
      <c r="AH1436" s="1" t="s">
        <v>199</v>
      </c>
      <c r="AI1436" s="1" t="s">
        <v>200</v>
      </c>
      <c r="AJ1436" s="20" t="s">
        <v>49</v>
      </c>
      <c r="AK1436" s="20" t="s">
        <v>49</v>
      </c>
      <c r="AL1436" s="20" t="s">
        <v>49</v>
      </c>
      <c r="AM1436" s="20" t="s">
        <v>49</v>
      </c>
      <c r="AN1436" s="1" t="s">
        <v>49</v>
      </c>
      <c r="AO1436" s="1" t="s">
        <v>49</v>
      </c>
      <c r="AP1436" s="6">
        <v>1</v>
      </c>
      <c r="AQ1436" s="6">
        <v>0.67</v>
      </c>
      <c r="AR1436" s="6" t="s">
        <v>49</v>
      </c>
      <c r="AS1436" s="6" t="s">
        <v>49</v>
      </c>
      <c r="AT1436" s="6" t="s">
        <v>49</v>
      </c>
      <c r="AU1436" s="6" t="s">
        <v>49</v>
      </c>
      <c r="AV1436" s="6" t="s">
        <v>49</v>
      </c>
      <c r="AW1436" s="9" t="s">
        <v>605</v>
      </c>
    </row>
    <row r="1437" spans="1:49">
      <c r="A1437" s="1">
        <v>2</v>
      </c>
      <c r="B1437" s="1" t="s">
        <v>38</v>
      </c>
      <c r="C1437" s="1" t="s">
        <v>38</v>
      </c>
      <c r="D1437" s="3" t="s">
        <v>595</v>
      </c>
      <c r="E1437" s="3" t="s">
        <v>40</v>
      </c>
      <c r="F1437" s="3">
        <v>2007</v>
      </c>
      <c r="G1437" s="3" t="s">
        <v>224</v>
      </c>
      <c r="H1437" s="3" t="s">
        <v>596</v>
      </c>
      <c r="I1437" s="3" t="s">
        <v>597</v>
      </c>
      <c r="J1437" s="3" t="s">
        <v>598</v>
      </c>
      <c r="K1437" s="3" t="s">
        <v>45</v>
      </c>
      <c r="L1437" s="3" t="s">
        <v>46</v>
      </c>
      <c r="M1437" s="1" t="s">
        <v>12</v>
      </c>
      <c r="N1437" s="1" t="s">
        <v>76</v>
      </c>
      <c r="O1437" s="1">
        <v>0.22500000000000001</v>
      </c>
      <c r="P1437" s="1">
        <v>0.24</v>
      </c>
      <c r="Q1437" s="1">
        <v>0.24</v>
      </c>
      <c r="R1437" s="1">
        <v>1</v>
      </c>
      <c r="S1437" s="1" t="s">
        <v>373</v>
      </c>
      <c r="T1437" s="1" t="s">
        <v>599</v>
      </c>
      <c r="U1437" s="1" t="s">
        <v>398</v>
      </c>
      <c r="V1437" s="3" t="s">
        <v>600</v>
      </c>
      <c r="W1437" s="3">
        <v>44.494999999999997</v>
      </c>
      <c r="X1437" s="3">
        <v>-76.419721999999993</v>
      </c>
      <c r="Y1437" s="1" t="s">
        <v>48</v>
      </c>
      <c r="Z1437" s="1" t="s">
        <v>49</v>
      </c>
      <c r="AA1437" s="6" t="s">
        <v>49</v>
      </c>
      <c r="AB1437" s="6" t="s">
        <v>49</v>
      </c>
      <c r="AC1437" s="6" t="s">
        <v>49</v>
      </c>
      <c r="AD1437" s="1" t="s">
        <v>84</v>
      </c>
      <c r="AE1437" s="1" t="s">
        <v>93</v>
      </c>
      <c r="AF1437" s="6" t="s">
        <v>49</v>
      </c>
      <c r="AG1437" s="6" t="s">
        <v>49</v>
      </c>
      <c r="AH1437" s="1" t="s">
        <v>199</v>
      </c>
      <c r="AI1437" s="1" t="s">
        <v>200</v>
      </c>
      <c r="AJ1437" s="20" t="s">
        <v>49</v>
      </c>
      <c r="AK1437" s="20" t="s">
        <v>49</v>
      </c>
      <c r="AL1437" s="20" t="s">
        <v>49</v>
      </c>
      <c r="AM1437" s="20" t="s">
        <v>49</v>
      </c>
      <c r="AN1437" s="1" t="s">
        <v>49</v>
      </c>
      <c r="AO1437" s="1" t="s">
        <v>49</v>
      </c>
      <c r="AP1437" s="6">
        <v>1</v>
      </c>
      <c r="AQ1437" s="6">
        <v>0.55000000000000004</v>
      </c>
      <c r="AR1437" s="6" t="s">
        <v>49</v>
      </c>
      <c r="AS1437" s="6" t="s">
        <v>49</v>
      </c>
      <c r="AT1437" s="6" t="s">
        <v>49</v>
      </c>
      <c r="AU1437" s="6" t="s">
        <v>49</v>
      </c>
      <c r="AV1437" s="6" t="s">
        <v>49</v>
      </c>
      <c r="AW1437" s="9" t="s">
        <v>605</v>
      </c>
    </row>
    <row r="1438" spans="1:49">
      <c r="A1438" s="1">
        <v>2</v>
      </c>
      <c r="B1438" s="1" t="s">
        <v>38</v>
      </c>
      <c r="C1438" s="1" t="s">
        <v>38</v>
      </c>
      <c r="D1438" s="3" t="s">
        <v>595</v>
      </c>
      <c r="E1438" s="3" t="s">
        <v>40</v>
      </c>
      <c r="F1438" s="3">
        <v>2007</v>
      </c>
      <c r="G1438" s="3" t="s">
        <v>224</v>
      </c>
      <c r="H1438" s="3" t="s">
        <v>596</v>
      </c>
      <c r="I1438" s="3" t="s">
        <v>597</v>
      </c>
      <c r="J1438" s="3" t="s">
        <v>598</v>
      </c>
      <c r="K1438" s="3" t="s">
        <v>45</v>
      </c>
      <c r="L1438" s="3" t="s">
        <v>46</v>
      </c>
      <c r="M1438" s="1" t="s">
        <v>12</v>
      </c>
      <c r="N1438" s="1" t="s">
        <v>76</v>
      </c>
      <c r="O1438" s="1">
        <v>0.22500000000000001</v>
      </c>
      <c r="P1438" s="1">
        <v>0.24</v>
      </c>
      <c r="Q1438" s="1">
        <v>0.24</v>
      </c>
      <c r="R1438" s="1">
        <v>1</v>
      </c>
      <c r="S1438" s="1" t="s">
        <v>373</v>
      </c>
      <c r="T1438" s="1" t="s">
        <v>599</v>
      </c>
      <c r="U1438" s="1" t="s">
        <v>398</v>
      </c>
      <c r="V1438" s="3" t="s">
        <v>600</v>
      </c>
      <c r="W1438" s="3">
        <v>44.494999999999997</v>
      </c>
      <c r="X1438" s="3">
        <v>-76.419721999999993</v>
      </c>
      <c r="Y1438" s="1" t="s">
        <v>48</v>
      </c>
      <c r="Z1438" s="1" t="s">
        <v>49</v>
      </c>
      <c r="AA1438" s="6" t="s">
        <v>49</v>
      </c>
      <c r="AB1438" s="6" t="s">
        <v>49</v>
      </c>
      <c r="AC1438" s="6" t="s">
        <v>49</v>
      </c>
      <c r="AD1438" s="1" t="s">
        <v>603</v>
      </c>
      <c r="AE1438" s="1" t="s">
        <v>93</v>
      </c>
      <c r="AF1438" s="6" t="s">
        <v>49</v>
      </c>
      <c r="AG1438" s="6" t="s">
        <v>49</v>
      </c>
      <c r="AH1438" s="1" t="s">
        <v>199</v>
      </c>
      <c r="AI1438" s="1" t="s">
        <v>200</v>
      </c>
      <c r="AJ1438" s="20" t="s">
        <v>49</v>
      </c>
      <c r="AK1438" s="20" t="s">
        <v>49</v>
      </c>
      <c r="AL1438" s="20" t="s">
        <v>49</v>
      </c>
      <c r="AM1438" s="20" t="s">
        <v>49</v>
      </c>
      <c r="AN1438" s="1" t="s">
        <v>49</v>
      </c>
      <c r="AO1438" s="1" t="s">
        <v>49</v>
      </c>
      <c r="AP1438" s="6">
        <v>1</v>
      </c>
      <c r="AQ1438" s="6">
        <v>0.11</v>
      </c>
      <c r="AR1438" s="6" t="s">
        <v>49</v>
      </c>
      <c r="AS1438" s="6" t="s">
        <v>49</v>
      </c>
      <c r="AT1438" s="6" t="s">
        <v>49</v>
      </c>
      <c r="AU1438" s="6" t="s">
        <v>49</v>
      </c>
      <c r="AV1438" s="6" t="s">
        <v>49</v>
      </c>
      <c r="AW1438" s="9" t="s">
        <v>605</v>
      </c>
    </row>
    <row r="1439" spans="1:49">
      <c r="A1439" s="1">
        <v>2</v>
      </c>
      <c r="B1439" s="1" t="s">
        <v>38</v>
      </c>
      <c r="C1439" s="1" t="s">
        <v>38</v>
      </c>
      <c r="D1439" s="3" t="s">
        <v>595</v>
      </c>
      <c r="E1439" s="3" t="s">
        <v>40</v>
      </c>
      <c r="F1439" s="3">
        <v>2007</v>
      </c>
      <c r="G1439" s="3" t="s">
        <v>224</v>
      </c>
      <c r="H1439" s="3" t="s">
        <v>596</v>
      </c>
      <c r="I1439" s="3" t="s">
        <v>597</v>
      </c>
      <c r="J1439" s="3" t="s">
        <v>598</v>
      </c>
      <c r="K1439" s="3" t="s">
        <v>45</v>
      </c>
      <c r="L1439" s="3" t="s">
        <v>46</v>
      </c>
      <c r="M1439" s="1" t="s">
        <v>12</v>
      </c>
      <c r="N1439" s="1" t="s">
        <v>76</v>
      </c>
      <c r="O1439" s="1">
        <v>0.22500000000000001</v>
      </c>
      <c r="P1439" s="1">
        <v>0.37</v>
      </c>
      <c r="Q1439" s="1">
        <v>0.37</v>
      </c>
      <c r="R1439" s="1">
        <v>1</v>
      </c>
      <c r="S1439" s="1" t="s">
        <v>373</v>
      </c>
      <c r="T1439" s="1" t="s">
        <v>599</v>
      </c>
      <c r="U1439" s="1" t="s">
        <v>398</v>
      </c>
      <c r="V1439" s="3" t="s">
        <v>604</v>
      </c>
      <c r="W1439" s="3">
        <v>44.535832999999997</v>
      </c>
      <c r="X1439" s="3">
        <v>-76.378611000000006</v>
      </c>
      <c r="Y1439" s="1" t="s">
        <v>48</v>
      </c>
      <c r="Z1439" s="1" t="s">
        <v>49</v>
      </c>
      <c r="AA1439" s="1" t="s">
        <v>50</v>
      </c>
      <c r="AB1439" s="1" t="s">
        <v>57</v>
      </c>
      <c r="AC1439" s="1" t="s">
        <v>58</v>
      </c>
      <c r="AD1439" s="1" t="s">
        <v>84</v>
      </c>
      <c r="AE1439" s="1" t="s">
        <v>84</v>
      </c>
      <c r="AF1439" s="1" t="s">
        <v>60</v>
      </c>
      <c r="AG1439" s="1" t="s">
        <v>61</v>
      </c>
      <c r="AH1439" s="1" t="s">
        <v>199</v>
      </c>
      <c r="AI1439" s="1" t="s">
        <v>200</v>
      </c>
      <c r="AJ1439" s="1">
        <v>64</v>
      </c>
      <c r="AK1439" s="1" t="s">
        <v>49</v>
      </c>
      <c r="AL1439" s="2">
        <v>0.26</v>
      </c>
      <c r="AM1439" s="3">
        <v>23.9</v>
      </c>
      <c r="AN1439" s="3">
        <f>AS1439/AL1439</f>
        <v>10.765111538461539</v>
      </c>
      <c r="AO1439" s="3">
        <v>7</v>
      </c>
      <c r="AP1439" s="6">
        <v>1</v>
      </c>
      <c r="AQ1439" s="6" t="s">
        <v>49</v>
      </c>
      <c r="AR1439" s="6" t="s">
        <v>49</v>
      </c>
      <c r="AS1439" s="1">
        <f>((AO1439/100)*AM1439)^2</f>
        <v>2.7989290000000002</v>
      </c>
      <c r="AT1439" s="4">
        <f>((AO1439/100)^2)*100</f>
        <v>0.49000000000000005</v>
      </c>
      <c r="AU1439" s="5">
        <v>0</v>
      </c>
      <c r="AV1439" s="4">
        <f>AT1439*(1-AL1439)/AL1439</f>
        <v>1.3946153846153846</v>
      </c>
      <c r="AW1439" s="1" t="s">
        <v>601</v>
      </c>
    </row>
    <row r="1440" spans="1:49">
      <c r="A1440" s="1">
        <v>2</v>
      </c>
      <c r="B1440" s="1" t="s">
        <v>38</v>
      </c>
      <c r="C1440" s="1" t="s">
        <v>38</v>
      </c>
      <c r="D1440" s="3" t="s">
        <v>595</v>
      </c>
      <c r="E1440" s="3" t="s">
        <v>40</v>
      </c>
      <c r="F1440" s="3">
        <v>2007</v>
      </c>
      <c r="G1440" s="3" t="s">
        <v>224</v>
      </c>
      <c r="H1440" s="3" t="s">
        <v>596</v>
      </c>
      <c r="I1440" s="3" t="s">
        <v>597</v>
      </c>
      <c r="J1440" s="3" t="s">
        <v>598</v>
      </c>
      <c r="K1440" s="3" t="s">
        <v>45</v>
      </c>
      <c r="L1440" s="3" t="s">
        <v>46</v>
      </c>
      <c r="M1440" s="1" t="s">
        <v>12</v>
      </c>
      <c r="N1440" s="1" t="s">
        <v>76</v>
      </c>
      <c r="O1440" s="1">
        <v>0.22500000000000001</v>
      </c>
      <c r="P1440" s="1">
        <v>0.37</v>
      </c>
      <c r="Q1440" s="1">
        <v>0.37</v>
      </c>
      <c r="R1440" s="1">
        <v>1</v>
      </c>
      <c r="S1440" s="1" t="s">
        <v>373</v>
      </c>
      <c r="T1440" s="1" t="s">
        <v>599</v>
      </c>
      <c r="U1440" s="1" t="s">
        <v>398</v>
      </c>
      <c r="V1440" s="3" t="s">
        <v>604</v>
      </c>
      <c r="W1440" s="3">
        <v>44.535832999999997</v>
      </c>
      <c r="X1440" s="3">
        <v>-76.378611000000006</v>
      </c>
      <c r="Y1440" s="1" t="s">
        <v>48</v>
      </c>
      <c r="Z1440" s="1" t="s">
        <v>49</v>
      </c>
      <c r="AA1440" s="1" t="s">
        <v>50</v>
      </c>
      <c r="AB1440" s="1" t="s">
        <v>57</v>
      </c>
      <c r="AC1440" s="1" t="s">
        <v>602</v>
      </c>
      <c r="AD1440" s="1" t="s">
        <v>603</v>
      </c>
      <c r="AE1440" s="1" t="s">
        <v>603</v>
      </c>
      <c r="AF1440" s="1" t="s">
        <v>60</v>
      </c>
      <c r="AG1440" s="1" t="s">
        <v>61</v>
      </c>
      <c r="AH1440" s="1" t="s">
        <v>199</v>
      </c>
      <c r="AI1440" s="1" t="s">
        <v>200</v>
      </c>
      <c r="AJ1440" s="1">
        <v>64</v>
      </c>
      <c r="AK1440" s="1" t="s">
        <v>49</v>
      </c>
      <c r="AL1440" s="2">
        <v>0.25</v>
      </c>
      <c r="AM1440" s="3">
        <v>29</v>
      </c>
      <c r="AN1440" s="3">
        <f>AS1440/AL1440</f>
        <v>16.483600000000003</v>
      </c>
      <c r="AO1440" s="3">
        <v>7</v>
      </c>
      <c r="AP1440" s="6">
        <v>1</v>
      </c>
      <c r="AQ1440" s="6" t="s">
        <v>49</v>
      </c>
      <c r="AR1440" s="6" t="s">
        <v>49</v>
      </c>
      <c r="AS1440" s="1">
        <f>((AO1440/100)*AM1440)^2</f>
        <v>4.1209000000000007</v>
      </c>
      <c r="AT1440" s="4">
        <f>((AO1440/100)^2)*100</f>
        <v>0.49000000000000005</v>
      </c>
      <c r="AU1440" s="5">
        <v>0</v>
      </c>
      <c r="AV1440" s="4">
        <f>AT1440*(1-AL1440)/AL1440</f>
        <v>1.4700000000000002</v>
      </c>
      <c r="AW1440" s="1" t="s">
        <v>601</v>
      </c>
    </row>
    <row r="1441" spans="1:49" ht="15" customHeight="1">
      <c r="A1441" s="1">
        <v>2</v>
      </c>
      <c r="B1441" s="1" t="s">
        <v>38</v>
      </c>
      <c r="C1441" s="1" t="s">
        <v>38</v>
      </c>
      <c r="D1441" s="3" t="s">
        <v>595</v>
      </c>
      <c r="E1441" s="3" t="s">
        <v>40</v>
      </c>
      <c r="F1441" s="3">
        <v>2007</v>
      </c>
      <c r="G1441" s="3" t="s">
        <v>224</v>
      </c>
      <c r="H1441" s="3" t="s">
        <v>596</v>
      </c>
      <c r="I1441" s="3" t="s">
        <v>597</v>
      </c>
      <c r="J1441" s="3" t="s">
        <v>598</v>
      </c>
      <c r="K1441" s="3" t="s">
        <v>45</v>
      </c>
      <c r="L1441" s="3" t="s">
        <v>46</v>
      </c>
      <c r="M1441" s="1" t="s">
        <v>12</v>
      </c>
      <c r="N1441" s="1" t="s">
        <v>76</v>
      </c>
      <c r="O1441" s="1">
        <v>0.22500000000000001</v>
      </c>
      <c r="P1441" s="1">
        <v>0.37</v>
      </c>
      <c r="Q1441" s="1">
        <v>0.37</v>
      </c>
      <c r="R1441" s="1">
        <v>1</v>
      </c>
      <c r="S1441" s="1" t="s">
        <v>373</v>
      </c>
      <c r="T1441" s="1" t="s">
        <v>599</v>
      </c>
      <c r="U1441" s="1" t="s">
        <v>398</v>
      </c>
      <c r="V1441" s="3" t="s">
        <v>604</v>
      </c>
      <c r="W1441" s="3">
        <v>44.535832999999997</v>
      </c>
      <c r="X1441" s="3">
        <v>-76.378611000000006</v>
      </c>
      <c r="Y1441" s="1" t="s">
        <v>48</v>
      </c>
      <c r="Z1441" s="1" t="s">
        <v>49</v>
      </c>
      <c r="AA1441" s="1" t="s">
        <v>50</v>
      </c>
      <c r="AB1441" s="1" t="s">
        <v>91</v>
      </c>
      <c r="AC1441" s="1" t="s">
        <v>91</v>
      </c>
      <c r="AD1441" s="1" t="s">
        <v>93</v>
      </c>
      <c r="AE1441" s="1" t="s">
        <v>93</v>
      </c>
      <c r="AF1441" s="1" t="s">
        <v>60</v>
      </c>
      <c r="AG1441" s="1" t="s">
        <v>61</v>
      </c>
      <c r="AH1441" s="1" t="s">
        <v>199</v>
      </c>
      <c r="AI1441" s="1" t="s">
        <v>200</v>
      </c>
      <c r="AJ1441" s="1">
        <v>64</v>
      </c>
      <c r="AK1441" s="1" t="s">
        <v>49</v>
      </c>
      <c r="AL1441" s="2">
        <v>0.38</v>
      </c>
      <c r="AM1441" s="3">
        <v>4.8</v>
      </c>
      <c r="AN1441" s="3">
        <f>AS1441/AL1441</f>
        <v>7.0090105263157909</v>
      </c>
      <c r="AO1441" s="3">
        <v>34</v>
      </c>
      <c r="AP1441" s="6">
        <v>1</v>
      </c>
      <c r="AQ1441" s="6" t="s">
        <v>49</v>
      </c>
      <c r="AR1441" s="6" t="s">
        <v>49</v>
      </c>
      <c r="AS1441" s="1">
        <f>((AO1441/100)*AM1441)^2</f>
        <v>2.6634240000000005</v>
      </c>
      <c r="AT1441" s="4">
        <f>((AO1441/100)^2)*100</f>
        <v>11.560000000000002</v>
      </c>
      <c r="AU1441" s="5">
        <v>0</v>
      </c>
      <c r="AV1441" s="4">
        <f>AT1441*(1-AL1441)/AL1441</f>
        <v>18.86105263157895</v>
      </c>
      <c r="AW1441" s="1" t="s">
        <v>601</v>
      </c>
    </row>
    <row r="1442" spans="1:49">
      <c r="A1442" s="1">
        <v>2</v>
      </c>
      <c r="B1442" s="1" t="s">
        <v>38</v>
      </c>
      <c r="C1442" s="1" t="s">
        <v>38</v>
      </c>
      <c r="D1442" s="3" t="s">
        <v>595</v>
      </c>
      <c r="E1442" s="3" t="s">
        <v>40</v>
      </c>
      <c r="F1442" s="3">
        <v>2007</v>
      </c>
      <c r="G1442" s="3" t="s">
        <v>224</v>
      </c>
      <c r="H1442" s="3" t="s">
        <v>596</v>
      </c>
      <c r="I1442" s="3" t="s">
        <v>597</v>
      </c>
      <c r="J1442" s="3" t="s">
        <v>598</v>
      </c>
      <c r="K1442" s="3" t="s">
        <v>45</v>
      </c>
      <c r="L1442" s="3" t="s">
        <v>46</v>
      </c>
      <c r="M1442" s="1" t="s">
        <v>12</v>
      </c>
      <c r="N1442" s="1" t="s">
        <v>76</v>
      </c>
      <c r="O1442" s="1">
        <v>0.22500000000000001</v>
      </c>
      <c r="P1442" s="1">
        <v>0.37</v>
      </c>
      <c r="Q1442" s="1">
        <v>0.37</v>
      </c>
      <c r="R1442" s="1">
        <v>1</v>
      </c>
      <c r="S1442" s="1" t="s">
        <v>373</v>
      </c>
      <c r="T1442" s="1" t="s">
        <v>599</v>
      </c>
      <c r="U1442" s="1" t="s">
        <v>398</v>
      </c>
      <c r="V1442" s="3" t="s">
        <v>604</v>
      </c>
      <c r="W1442" s="3">
        <v>44.535832999999997</v>
      </c>
      <c r="X1442" s="3">
        <v>-76.378611000000006</v>
      </c>
      <c r="Y1442" s="1" t="s">
        <v>48</v>
      </c>
      <c r="Z1442" s="1" t="s">
        <v>49</v>
      </c>
      <c r="AA1442" s="6" t="s">
        <v>49</v>
      </c>
      <c r="AB1442" s="6" t="s">
        <v>49</v>
      </c>
      <c r="AC1442" s="6" t="s">
        <v>49</v>
      </c>
      <c r="AD1442" s="1" t="s">
        <v>84</v>
      </c>
      <c r="AE1442" s="1" t="s">
        <v>603</v>
      </c>
      <c r="AF1442" s="6" t="s">
        <v>49</v>
      </c>
      <c r="AG1442" s="6" t="s">
        <v>49</v>
      </c>
      <c r="AH1442" s="1" t="s">
        <v>199</v>
      </c>
      <c r="AI1442" s="1" t="s">
        <v>200</v>
      </c>
      <c r="AJ1442" s="20" t="s">
        <v>49</v>
      </c>
      <c r="AK1442" s="20" t="s">
        <v>49</v>
      </c>
      <c r="AL1442" s="20" t="s">
        <v>49</v>
      </c>
      <c r="AM1442" s="20" t="s">
        <v>49</v>
      </c>
      <c r="AN1442" s="1" t="s">
        <v>49</v>
      </c>
      <c r="AO1442" s="1" t="s">
        <v>49</v>
      </c>
      <c r="AP1442" s="6">
        <v>1</v>
      </c>
      <c r="AQ1442" s="6">
        <v>0.61</v>
      </c>
      <c r="AR1442" s="6" t="s">
        <v>49</v>
      </c>
      <c r="AS1442" s="6" t="s">
        <v>49</v>
      </c>
      <c r="AT1442" s="6" t="s">
        <v>49</v>
      </c>
      <c r="AU1442" s="6" t="s">
        <v>49</v>
      </c>
      <c r="AV1442" s="6" t="s">
        <v>49</v>
      </c>
      <c r="AW1442" s="9" t="s">
        <v>605</v>
      </c>
    </row>
    <row r="1443" spans="1:49">
      <c r="A1443" s="1">
        <v>2</v>
      </c>
      <c r="B1443" s="1" t="s">
        <v>38</v>
      </c>
      <c r="C1443" s="1" t="s">
        <v>38</v>
      </c>
      <c r="D1443" s="3" t="s">
        <v>595</v>
      </c>
      <c r="E1443" s="3" t="s">
        <v>40</v>
      </c>
      <c r="F1443" s="3">
        <v>2007</v>
      </c>
      <c r="G1443" s="3" t="s">
        <v>224</v>
      </c>
      <c r="H1443" s="3" t="s">
        <v>596</v>
      </c>
      <c r="I1443" s="3" t="s">
        <v>597</v>
      </c>
      <c r="J1443" s="3" t="s">
        <v>598</v>
      </c>
      <c r="K1443" s="3" t="s">
        <v>45</v>
      </c>
      <c r="L1443" s="3" t="s">
        <v>46</v>
      </c>
      <c r="M1443" s="1" t="s">
        <v>12</v>
      </c>
      <c r="N1443" s="1" t="s">
        <v>76</v>
      </c>
      <c r="O1443" s="1">
        <v>0.22500000000000001</v>
      </c>
      <c r="P1443" s="1">
        <v>0.37</v>
      </c>
      <c r="Q1443" s="1">
        <v>0.37</v>
      </c>
      <c r="R1443" s="1">
        <v>1</v>
      </c>
      <c r="S1443" s="1" t="s">
        <v>373</v>
      </c>
      <c r="T1443" s="1" t="s">
        <v>599</v>
      </c>
      <c r="U1443" s="1" t="s">
        <v>398</v>
      </c>
      <c r="V1443" s="3" t="s">
        <v>604</v>
      </c>
      <c r="W1443" s="3">
        <v>44.535832999999997</v>
      </c>
      <c r="X1443" s="3">
        <v>-76.378611000000006</v>
      </c>
      <c r="Y1443" s="1" t="s">
        <v>48</v>
      </c>
      <c r="Z1443" s="1" t="s">
        <v>49</v>
      </c>
      <c r="AA1443" s="6" t="s">
        <v>49</v>
      </c>
      <c r="AB1443" s="6" t="s">
        <v>49</v>
      </c>
      <c r="AC1443" s="6" t="s">
        <v>49</v>
      </c>
      <c r="AD1443" s="1" t="s">
        <v>84</v>
      </c>
      <c r="AE1443" s="1" t="s">
        <v>93</v>
      </c>
      <c r="AF1443" s="6" t="s">
        <v>49</v>
      </c>
      <c r="AG1443" s="6" t="s">
        <v>49</v>
      </c>
      <c r="AH1443" s="1" t="s">
        <v>199</v>
      </c>
      <c r="AI1443" s="1" t="s">
        <v>200</v>
      </c>
      <c r="AJ1443" s="20" t="s">
        <v>49</v>
      </c>
      <c r="AK1443" s="20" t="s">
        <v>49</v>
      </c>
      <c r="AL1443" s="20" t="s">
        <v>49</v>
      </c>
      <c r="AM1443" s="20" t="s">
        <v>49</v>
      </c>
      <c r="AN1443" s="1" t="s">
        <v>49</v>
      </c>
      <c r="AO1443" s="1" t="s">
        <v>49</v>
      </c>
      <c r="AP1443" s="6">
        <v>1</v>
      </c>
      <c r="AQ1443" s="6">
        <v>0.72</v>
      </c>
      <c r="AR1443" s="6" t="s">
        <v>49</v>
      </c>
      <c r="AS1443" s="6" t="s">
        <v>49</v>
      </c>
      <c r="AT1443" s="6" t="s">
        <v>49</v>
      </c>
      <c r="AU1443" s="6" t="s">
        <v>49</v>
      </c>
      <c r="AV1443" s="6" t="s">
        <v>49</v>
      </c>
      <c r="AW1443" s="9" t="s">
        <v>605</v>
      </c>
    </row>
    <row r="1444" spans="1:49">
      <c r="A1444" s="1">
        <v>2</v>
      </c>
      <c r="B1444" s="1" t="s">
        <v>38</v>
      </c>
      <c r="C1444" s="1" t="s">
        <v>38</v>
      </c>
      <c r="D1444" s="3" t="s">
        <v>595</v>
      </c>
      <c r="E1444" s="3" t="s">
        <v>40</v>
      </c>
      <c r="F1444" s="3">
        <v>2007</v>
      </c>
      <c r="G1444" s="3" t="s">
        <v>224</v>
      </c>
      <c r="H1444" s="3" t="s">
        <v>596</v>
      </c>
      <c r="I1444" s="3" t="s">
        <v>597</v>
      </c>
      <c r="J1444" s="3" t="s">
        <v>598</v>
      </c>
      <c r="K1444" s="3" t="s">
        <v>45</v>
      </c>
      <c r="L1444" s="3" t="s">
        <v>46</v>
      </c>
      <c r="M1444" s="1" t="s">
        <v>12</v>
      </c>
      <c r="N1444" s="1" t="s">
        <v>76</v>
      </c>
      <c r="O1444" s="1">
        <v>0.22500000000000001</v>
      </c>
      <c r="P1444" s="1">
        <v>0.37</v>
      </c>
      <c r="Q1444" s="1">
        <v>0.37</v>
      </c>
      <c r="R1444" s="1">
        <v>1</v>
      </c>
      <c r="S1444" s="1" t="s">
        <v>373</v>
      </c>
      <c r="T1444" s="1" t="s">
        <v>599</v>
      </c>
      <c r="U1444" s="1" t="s">
        <v>398</v>
      </c>
      <c r="V1444" s="3" t="s">
        <v>604</v>
      </c>
      <c r="W1444" s="3">
        <v>44.535832999999997</v>
      </c>
      <c r="X1444" s="3">
        <v>-76.378611000000006</v>
      </c>
      <c r="Y1444" s="1" t="s">
        <v>48</v>
      </c>
      <c r="Z1444" s="1" t="s">
        <v>49</v>
      </c>
      <c r="AA1444" s="6" t="s">
        <v>49</v>
      </c>
      <c r="AB1444" s="6" t="s">
        <v>49</v>
      </c>
      <c r="AC1444" s="6" t="s">
        <v>49</v>
      </c>
      <c r="AD1444" s="1" t="s">
        <v>603</v>
      </c>
      <c r="AE1444" s="1" t="s">
        <v>93</v>
      </c>
      <c r="AF1444" s="6" t="s">
        <v>49</v>
      </c>
      <c r="AG1444" s="6" t="s">
        <v>49</v>
      </c>
      <c r="AH1444" s="1" t="s">
        <v>199</v>
      </c>
      <c r="AI1444" s="1" t="s">
        <v>200</v>
      </c>
      <c r="AJ1444" s="20" t="s">
        <v>49</v>
      </c>
      <c r="AK1444" s="20" t="s">
        <v>49</v>
      </c>
      <c r="AL1444" s="20" t="s">
        <v>49</v>
      </c>
      <c r="AM1444" s="20" t="s">
        <v>49</v>
      </c>
      <c r="AN1444" s="1" t="s">
        <v>49</v>
      </c>
      <c r="AO1444" s="1" t="s">
        <v>49</v>
      </c>
      <c r="AP1444" s="6">
        <v>1</v>
      </c>
      <c r="AQ1444" s="6">
        <v>0.34</v>
      </c>
      <c r="AR1444" s="6" t="s">
        <v>49</v>
      </c>
      <c r="AS1444" s="6" t="s">
        <v>49</v>
      </c>
      <c r="AT1444" s="6" t="s">
        <v>49</v>
      </c>
      <c r="AU1444" s="6" t="s">
        <v>49</v>
      </c>
      <c r="AV1444" s="6" t="s">
        <v>49</v>
      </c>
      <c r="AW1444" s="9" t="s">
        <v>605</v>
      </c>
    </row>
    <row r="1445" spans="1:49">
      <c r="A1445" s="1">
        <v>6</v>
      </c>
      <c r="B1445" s="1" t="s">
        <v>38</v>
      </c>
      <c r="C1445" s="1" t="s">
        <v>38</v>
      </c>
      <c r="D1445" s="3" t="s">
        <v>606</v>
      </c>
      <c r="E1445" s="3" t="s">
        <v>40</v>
      </c>
      <c r="F1445" s="3">
        <v>1993</v>
      </c>
      <c r="G1445" s="3" t="s">
        <v>110</v>
      </c>
      <c r="H1445" s="3" t="s">
        <v>137</v>
      </c>
      <c r="I1445" s="3" t="s">
        <v>138</v>
      </c>
      <c r="J1445" s="3" t="s">
        <v>139</v>
      </c>
      <c r="K1445" s="3" t="s">
        <v>45</v>
      </c>
      <c r="L1445" s="3" t="s">
        <v>46</v>
      </c>
      <c r="M1445" s="1" t="s">
        <v>115</v>
      </c>
      <c r="N1445" s="1" t="s">
        <v>116</v>
      </c>
      <c r="O1445" s="1">
        <v>1</v>
      </c>
      <c r="P1445" s="1">
        <v>1</v>
      </c>
      <c r="Q1445" s="1" t="s">
        <v>49</v>
      </c>
      <c r="R1445" s="1">
        <v>1</v>
      </c>
      <c r="S1445" s="1" t="s">
        <v>49</v>
      </c>
      <c r="T1445" s="1" t="s">
        <v>49</v>
      </c>
      <c r="U1445" s="1" t="s">
        <v>119</v>
      </c>
      <c r="V1445" s="1" t="s">
        <v>140</v>
      </c>
      <c r="W1445" s="1">
        <v>42.11</v>
      </c>
      <c r="X1445" s="1">
        <v>-75.91</v>
      </c>
      <c r="Y1445" s="3" t="s">
        <v>48</v>
      </c>
      <c r="Z1445" s="1" t="s">
        <v>49</v>
      </c>
      <c r="AA1445" s="1" t="s">
        <v>50</v>
      </c>
      <c r="AB1445" s="1" t="s">
        <v>66</v>
      </c>
      <c r="AC1445" s="1" t="s">
        <v>124</v>
      </c>
      <c r="AD1445" s="6" t="s">
        <v>126</v>
      </c>
      <c r="AE1445" s="6" t="s">
        <v>126</v>
      </c>
      <c r="AF1445" s="6" t="s">
        <v>60</v>
      </c>
      <c r="AG1445" s="6" t="s">
        <v>61</v>
      </c>
      <c r="AH1445" s="1" t="s">
        <v>123</v>
      </c>
      <c r="AI1445" s="1" t="s">
        <v>55</v>
      </c>
      <c r="AJ1445" s="1">
        <v>350</v>
      </c>
      <c r="AK1445" s="1">
        <v>1133</v>
      </c>
      <c r="AL1445" s="6">
        <v>0.63</v>
      </c>
      <c r="AM1445" s="6">
        <v>9.98</v>
      </c>
      <c r="AN1445" s="6">
        <f>1.19^2</f>
        <v>1.4160999999999999</v>
      </c>
      <c r="AO1445" s="6">
        <v>8.6</v>
      </c>
      <c r="AP1445" s="6">
        <v>1</v>
      </c>
      <c r="AQ1445" s="6" t="s">
        <v>49</v>
      </c>
      <c r="AR1445" s="6" t="s">
        <v>49</v>
      </c>
      <c r="AS1445" s="6">
        <f>0.21*4</f>
        <v>0.84</v>
      </c>
      <c r="AT1445" s="4">
        <f t="shared" ref="AT1445:AT1450" si="122">AS1445/(AM1445^2)*100</f>
        <v>0.84337010694736159</v>
      </c>
      <c r="AU1445" s="5">
        <v>0</v>
      </c>
      <c r="AV1445" s="4">
        <f t="shared" ref="AV1445:AV1450" si="123">AT1445*(1-AL1445)/AL1445</f>
        <v>0.49531260249289488</v>
      </c>
      <c r="AW1445" s="9" t="s">
        <v>609</v>
      </c>
    </row>
    <row r="1446" spans="1:49">
      <c r="A1446" s="1">
        <v>6</v>
      </c>
      <c r="B1446" s="1" t="s">
        <v>38</v>
      </c>
      <c r="C1446" s="1" t="s">
        <v>38</v>
      </c>
      <c r="D1446" s="3" t="s">
        <v>606</v>
      </c>
      <c r="E1446" s="3" t="s">
        <v>40</v>
      </c>
      <c r="F1446" s="3">
        <v>1993</v>
      </c>
      <c r="G1446" s="3" t="s">
        <v>110</v>
      </c>
      <c r="H1446" s="3" t="s">
        <v>137</v>
      </c>
      <c r="I1446" s="3" t="s">
        <v>138</v>
      </c>
      <c r="J1446" s="3" t="s">
        <v>139</v>
      </c>
      <c r="K1446" s="3" t="s">
        <v>45</v>
      </c>
      <c r="L1446" s="3" t="s">
        <v>46</v>
      </c>
      <c r="M1446" s="1" t="s">
        <v>115</v>
      </c>
      <c r="N1446" s="1" t="s">
        <v>116</v>
      </c>
      <c r="O1446" s="1">
        <v>1</v>
      </c>
      <c r="P1446" s="1">
        <v>1</v>
      </c>
      <c r="Q1446" s="1" t="s">
        <v>49</v>
      </c>
      <c r="R1446" s="1">
        <v>1</v>
      </c>
      <c r="S1446" s="1" t="s">
        <v>49</v>
      </c>
      <c r="T1446" s="1" t="s">
        <v>49</v>
      </c>
      <c r="U1446" s="1" t="s">
        <v>119</v>
      </c>
      <c r="V1446" s="1" t="s">
        <v>140</v>
      </c>
      <c r="W1446" s="1">
        <v>42.11</v>
      </c>
      <c r="X1446" s="1">
        <v>-75.91</v>
      </c>
      <c r="Y1446" s="3" t="s">
        <v>48</v>
      </c>
      <c r="Z1446" s="1" t="s">
        <v>49</v>
      </c>
      <c r="AA1446" s="1" t="s">
        <v>50</v>
      </c>
      <c r="AB1446" s="1" t="s">
        <v>66</v>
      </c>
      <c r="AC1446" s="1" t="s">
        <v>124</v>
      </c>
      <c r="AD1446" s="6" t="s">
        <v>125</v>
      </c>
      <c r="AE1446" s="6" t="s">
        <v>125</v>
      </c>
      <c r="AF1446" s="6" t="s">
        <v>60</v>
      </c>
      <c r="AG1446" s="6" t="s">
        <v>61</v>
      </c>
      <c r="AH1446" s="1" t="s">
        <v>123</v>
      </c>
      <c r="AI1446" s="1" t="s">
        <v>55</v>
      </c>
      <c r="AJ1446" s="1">
        <v>350</v>
      </c>
      <c r="AK1446" s="1">
        <v>1133</v>
      </c>
      <c r="AL1446" s="6">
        <v>1.1599999999999999</v>
      </c>
      <c r="AM1446" s="6">
        <v>8.43</v>
      </c>
      <c r="AN1446" s="6">
        <f>1.18^2</f>
        <v>1.3923999999999999</v>
      </c>
      <c r="AO1446" s="6">
        <v>14.6</v>
      </c>
      <c r="AP1446" s="6">
        <v>1</v>
      </c>
      <c r="AQ1446" s="6" t="s">
        <v>49</v>
      </c>
      <c r="AR1446" s="6" t="s">
        <v>49</v>
      </c>
      <c r="AS1446" s="6">
        <f>0.41*4</f>
        <v>1.64</v>
      </c>
      <c r="AT1446" s="4">
        <f t="shared" si="122"/>
        <v>2.3077496767039705</v>
      </c>
      <c r="AU1446" s="5">
        <v>0</v>
      </c>
      <c r="AV1446" s="4">
        <f t="shared" si="123"/>
        <v>-0.31831030023503026</v>
      </c>
      <c r="AW1446" s="9" t="s">
        <v>609</v>
      </c>
    </row>
    <row r="1447" spans="1:49">
      <c r="A1447" s="1">
        <v>6</v>
      </c>
      <c r="B1447" s="1" t="s">
        <v>38</v>
      </c>
      <c r="C1447" s="1" t="s">
        <v>38</v>
      </c>
      <c r="D1447" s="3" t="s">
        <v>606</v>
      </c>
      <c r="E1447" s="3" t="s">
        <v>40</v>
      </c>
      <c r="F1447" s="3">
        <v>1993</v>
      </c>
      <c r="G1447" s="3" t="s">
        <v>110</v>
      </c>
      <c r="H1447" s="3" t="s">
        <v>137</v>
      </c>
      <c r="I1447" s="3" t="s">
        <v>138</v>
      </c>
      <c r="J1447" s="3" t="s">
        <v>139</v>
      </c>
      <c r="K1447" s="3" t="s">
        <v>45</v>
      </c>
      <c r="L1447" s="3" t="s">
        <v>46</v>
      </c>
      <c r="M1447" s="1" t="s">
        <v>115</v>
      </c>
      <c r="N1447" s="1" t="s">
        <v>116</v>
      </c>
      <c r="O1447" s="1">
        <v>1</v>
      </c>
      <c r="P1447" s="1">
        <v>1</v>
      </c>
      <c r="Q1447" s="1" t="s">
        <v>49</v>
      </c>
      <c r="R1447" s="1">
        <v>1</v>
      </c>
      <c r="S1447" s="1" t="s">
        <v>49</v>
      </c>
      <c r="T1447" s="1" t="s">
        <v>49</v>
      </c>
      <c r="U1447" s="1" t="s">
        <v>119</v>
      </c>
      <c r="V1447" s="1" t="s">
        <v>140</v>
      </c>
      <c r="W1447" s="1">
        <v>42.11</v>
      </c>
      <c r="X1447" s="1">
        <v>-75.91</v>
      </c>
      <c r="Y1447" s="3" t="s">
        <v>48</v>
      </c>
      <c r="Z1447" s="1" t="s">
        <v>49</v>
      </c>
      <c r="AA1447" s="1" t="s">
        <v>50</v>
      </c>
      <c r="AB1447" s="1" t="s">
        <v>57</v>
      </c>
      <c r="AC1447" s="1" t="s">
        <v>62</v>
      </c>
      <c r="AD1447" s="6" t="s">
        <v>62</v>
      </c>
      <c r="AE1447" s="6" t="s">
        <v>62</v>
      </c>
      <c r="AF1447" s="6" t="s">
        <v>60</v>
      </c>
      <c r="AG1447" s="6" t="s">
        <v>61</v>
      </c>
      <c r="AH1447" s="1" t="s">
        <v>123</v>
      </c>
      <c r="AI1447" s="1" t="s">
        <v>55</v>
      </c>
      <c r="AJ1447" s="1">
        <v>350</v>
      </c>
      <c r="AK1447" s="1">
        <v>1133</v>
      </c>
      <c r="AL1447" s="6">
        <v>0.68</v>
      </c>
      <c r="AM1447" s="6">
        <v>11.96</v>
      </c>
      <c r="AN1447" s="6">
        <f>1.04^2</f>
        <v>1.0816000000000001</v>
      </c>
      <c r="AO1447" s="6">
        <v>6.6</v>
      </c>
      <c r="AP1447" s="6">
        <v>1</v>
      </c>
      <c r="AQ1447" s="6" t="s">
        <v>49</v>
      </c>
      <c r="AR1447" s="6" t="s">
        <v>49</v>
      </c>
      <c r="AS1447" s="6">
        <f>0.14*4</f>
        <v>0.56000000000000005</v>
      </c>
      <c r="AT1447" s="4">
        <f t="shared" si="122"/>
        <v>0.39149450229863197</v>
      </c>
      <c r="AU1447" s="5">
        <v>0</v>
      </c>
      <c r="AV1447" s="4">
        <f t="shared" si="123"/>
        <v>0.18423270696406205</v>
      </c>
      <c r="AW1447" s="9" t="s">
        <v>609</v>
      </c>
    </row>
    <row r="1448" spans="1:49">
      <c r="A1448" s="1">
        <v>6</v>
      </c>
      <c r="B1448" s="1" t="s">
        <v>38</v>
      </c>
      <c r="C1448" s="1" t="s">
        <v>38</v>
      </c>
      <c r="D1448" s="3" t="s">
        <v>606</v>
      </c>
      <c r="E1448" s="3" t="s">
        <v>40</v>
      </c>
      <c r="F1448" s="3">
        <v>1993</v>
      </c>
      <c r="G1448" s="3" t="s">
        <v>110</v>
      </c>
      <c r="H1448" s="3" t="s">
        <v>137</v>
      </c>
      <c r="I1448" s="3" t="s">
        <v>138</v>
      </c>
      <c r="J1448" s="3" t="s">
        <v>139</v>
      </c>
      <c r="K1448" s="3" t="s">
        <v>45</v>
      </c>
      <c r="L1448" s="3" t="s">
        <v>46</v>
      </c>
      <c r="M1448" s="1" t="s">
        <v>115</v>
      </c>
      <c r="N1448" s="1" t="s">
        <v>116</v>
      </c>
      <c r="O1448" s="1">
        <v>1</v>
      </c>
      <c r="P1448" s="1">
        <v>1</v>
      </c>
      <c r="Q1448" s="1" t="s">
        <v>49</v>
      </c>
      <c r="R1448" s="1">
        <v>1</v>
      </c>
      <c r="S1448" s="1" t="s">
        <v>49</v>
      </c>
      <c r="T1448" s="1" t="s">
        <v>49</v>
      </c>
      <c r="U1448" s="1" t="s">
        <v>119</v>
      </c>
      <c r="V1448" s="1" t="s">
        <v>140</v>
      </c>
      <c r="W1448" s="1">
        <v>42.11</v>
      </c>
      <c r="X1448" s="1">
        <v>-75.91</v>
      </c>
      <c r="Y1448" s="3" t="s">
        <v>48</v>
      </c>
      <c r="Z1448" s="1" t="s">
        <v>49</v>
      </c>
      <c r="AA1448" s="1" t="s">
        <v>50</v>
      </c>
      <c r="AB1448" s="1" t="s">
        <v>57</v>
      </c>
      <c r="AC1448" s="1" t="s">
        <v>86</v>
      </c>
      <c r="AD1448" s="6" t="s">
        <v>143</v>
      </c>
      <c r="AE1448" s="6" t="s">
        <v>143</v>
      </c>
      <c r="AF1448" s="6" t="s">
        <v>60</v>
      </c>
      <c r="AG1448" s="6" t="s">
        <v>61</v>
      </c>
      <c r="AH1448" s="1" t="s">
        <v>123</v>
      </c>
      <c r="AI1448" s="1" t="s">
        <v>55</v>
      </c>
      <c r="AJ1448" s="1">
        <v>350</v>
      </c>
      <c r="AK1448" s="1">
        <v>1133</v>
      </c>
      <c r="AL1448" s="6">
        <v>0.52</v>
      </c>
      <c r="AM1448" s="6">
        <v>9.74</v>
      </c>
      <c r="AN1448" s="6">
        <f>1^2</f>
        <v>1</v>
      </c>
      <c r="AO1448" s="6">
        <v>6.3</v>
      </c>
      <c r="AP1448" s="6">
        <v>1</v>
      </c>
      <c r="AQ1448" s="6" t="s">
        <v>49</v>
      </c>
      <c r="AR1448" s="6" t="s">
        <v>49</v>
      </c>
      <c r="AS1448" s="6">
        <f>0.09*4</f>
        <v>0.36</v>
      </c>
      <c r="AT1448" s="4">
        <f t="shared" si="122"/>
        <v>0.37947623846286821</v>
      </c>
      <c r="AU1448" s="5">
        <v>0</v>
      </c>
      <c r="AV1448" s="4">
        <f t="shared" si="123"/>
        <v>0.35028575858110911</v>
      </c>
      <c r="AW1448" s="9" t="s">
        <v>609</v>
      </c>
    </row>
    <row r="1449" spans="1:49">
      <c r="A1449" s="1">
        <v>6</v>
      </c>
      <c r="B1449" s="1" t="s">
        <v>38</v>
      </c>
      <c r="C1449" s="1" t="s">
        <v>38</v>
      </c>
      <c r="D1449" s="3" t="s">
        <v>606</v>
      </c>
      <c r="E1449" s="3" t="s">
        <v>40</v>
      </c>
      <c r="F1449" s="3">
        <v>1993</v>
      </c>
      <c r="G1449" s="3" t="s">
        <v>110</v>
      </c>
      <c r="H1449" s="3" t="s">
        <v>137</v>
      </c>
      <c r="I1449" s="3" t="s">
        <v>138</v>
      </c>
      <c r="J1449" s="3" t="s">
        <v>139</v>
      </c>
      <c r="K1449" s="3" t="s">
        <v>45</v>
      </c>
      <c r="L1449" s="3" t="s">
        <v>46</v>
      </c>
      <c r="M1449" s="1" t="s">
        <v>115</v>
      </c>
      <c r="N1449" s="1" t="s">
        <v>116</v>
      </c>
      <c r="O1449" s="1">
        <v>1</v>
      </c>
      <c r="P1449" s="1">
        <v>1</v>
      </c>
      <c r="Q1449" s="1" t="s">
        <v>49</v>
      </c>
      <c r="R1449" s="1">
        <v>1</v>
      </c>
      <c r="S1449" s="1" t="s">
        <v>49</v>
      </c>
      <c r="T1449" s="1" t="s">
        <v>49</v>
      </c>
      <c r="U1449" s="1" t="s">
        <v>119</v>
      </c>
      <c r="V1449" s="1" t="s">
        <v>140</v>
      </c>
      <c r="W1449" s="1">
        <v>42.11</v>
      </c>
      <c r="X1449" s="1">
        <v>-75.91</v>
      </c>
      <c r="Y1449" s="3" t="s">
        <v>48</v>
      </c>
      <c r="Z1449" s="1" t="s">
        <v>49</v>
      </c>
      <c r="AA1449" s="1" t="s">
        <v>50</v>
      </c>
      <c r="AB1449" s="1" t="s">
        <v>57</v>
      </c>
      <c r="AC1449" s="1" t="s">
        <v>86</v>
      </c>
      <c r="AD1449" s="6" t="s">
        <v>142</v>
      </c>
      <c r="AE1449" s="6" t="s">
        <v>142</v>
      </c>
      <c r="AF1449" s="6" t="s">
        <v>60</v>
      </c>
      <c r="AG1449" s="6" t="s">
        <v>61</v>
      </c>
      <c r="AH1449" s="1" t="s">
        <v>123</v>
      </c>
      <c r="AI1449" s="1" t="s">
        <v>55</v>
      </c>
      <c r="AJ1449" s="1">
        <v>350</v>
      </c>
      <c r="AK1449" s="1">
        <v>1133</v>
      </c>
      <c r="AL1449" s="6">
        <v>0.57999999999999996</v>
      </c>
      <c r="AM1449" s="6">
        <v>11.7</v>
      </c>
      <c r="AN1449" s="6">
        <f>1.06^2</f>
        <v>1.1236000000000002</v>
      </c>
      <c r="AO1449" s="6">
        <v>6.1</v>
      </c>
      <c r="AP1449" s="6">
        <v>1</v>
      </c>
      <c r="AQ1449" s="6" t="s">
        <v>49</v>
      </c>
      <c r="AR1449" s="6" t="s">
        <v>49</v>
      </c>
      <c r="AS1449" s="6">
        <f>0.13*4</f>
        <v>0.52</v>
      </c>
      <c r="AT1449" s="4">
        <f t="shared" si="122"/>
        <v>0.37986704653371328</v>
      </c>
      <c r="AU1449" s="5">
        <v>0</v>
      </c>
      <c r="AV1449" s="4">
        <f t="shared" si="123"/>
        <v>0.27507613714510276</v>
      </c>
      <c r="AW1449" s="9" t="s">
        <v>609</v>
      </c>
    </row>
    <row r="1450" spans="1:49">
      <c r="A1450" s="1">
        <v>6</v>
      </c>
      <c r="B1450" s="1" t="s">
        <v>38</v>
      </c>
      <c r="C1450" s="1" t="s">
        <v>38</v>
      </c>
      <c r="D1450" s="3" t="s">
        <v>606</v>
      </c>
      <c r="E1450" s="3" t="s">
        <v>40</v>
      </c>
      <c r="F1450" s="3">
        <v>1993</v>
      </c>
      <c r="G1450" s="3" t="s">
        <v>110</v>
      </c>
      <c r="H1450" s="3" t="s">
        <v>137</v>
      </c>
      <c r="I1450" s="3" t="s">
        <v>138</v>
      </c>
      <c r="J1450" s="3" t="s">
        <v>139</v>
      </c>
      <c r="K1450" s="3" t="s">
        <v>45</v>
      </c>
      <c r="L1450" s="3" t="s">
        <v>46</v>
      </c>
      <c r="M1450" s="1" t="s">
        <v>115</v>
      </c>
      <c r="N1450" s="1" t="s">
        <v>116</v>
      </c>
      <c r="O1450" s="1">
        <v>1</v>
      </c>
      <c r="P1450" s="1">
        <v>1</v>
      </c>
      <c r="Q1450" s="1" t="s">
        <v>49</v>
      </c>
      <c r="R1450" s="1">
        <v>1</v>
      </c>
      <c r="S1450" s="1" t="s">
        <v>49</v>
      </c>
      <c r="T1450" s="1" t="s">
        <v>49</v>
      </c>
      <c r="U1450" s="1" t="s">
        <v>119</v>
      </c>
      <c r="V1450" s="1" t="s">
        <v>140</v>
      </c>
      <c r="W1450" s="1">
        <v>42.11</v>
      </c>
      <c r="X1450" s="1">
        <v>-75.91</v>
      </c>
      <c r="Y1450" s="3" t="s">
        <v>48</v>
      </c>
      <c r="Z1450" s="1" t="s">
        <v>49</v>
      </c>
      <c r="AA1450" s="1" t="s">
        <v>50</v>
      </c>
      <c r="AB1450" s="1" t="s">
        <v>57</v>
      </c>
      <c r="AC1450" s="1" t="s">
        <v>58</v>
      </c>
      <c r="AD1450" s="6" t="s">
        <v>84</v>
      </c>
      <c r="AE1450" s="6" t="s">
        <v>84</v>
      </c>
      <c r="AF1450" s="6" t="s">
        <v>60</v>
      </c>
      <c r="AG1450" s="6" t="s">
        <v>61</v>
      </c>
      <c r="AH1450" s="1" t="s">
        <v>123</v>
      </c>
      <c r="AI1450" s="1" t="s">
        <v>55</v>
      </c>
      <c r="AJ1450" s="1">
        <v>350</v>
      </c>
      <c r="AK1450" s="1">
        <v>1133</v>
      </c>
      <c r="AL1450" s="6">
        <v>0.92</v>
      </c>
      <c r="AM1450" s="6">
        <v>14.56</v>
      </c>
      <c r="AN1450" s="6">
        <f>1.77^2</f>
        <v>3.1329000000000002</v>
      </c>
      <c r="AO1450" s="6">
        <v>11.5</v>
      </c>
      <c r="AP1450" s="6">
        <v>1</v>
      </c>
      <c r="AQ1450" s="6" t="s">
        <v>49</v>
      </c>
      <c r="AR1450" s="6" t="s">
        <v>49</v>
      </c>
      <c r="AS1450" s="6">
        <f>0.73*4</f>
        <v>2.92</v>
      </c>
      <c r="AT1450" s="4">
        <f t="shared" si="122"/>
        <v>1.3774000724550173</v>
      </c>
      <c r="AU1450" s="5">
        <v>0</v>
      </c>
      <c r="AV1450" s="4">
        <f t="shared" si="123"/>
        <v>0.11977391934391449</v>
      </c>
      <c r="AW1450" s="9" t="s">
        <v>609</v>
      </c>
    </row>
    <row r="1451" spans="1:49">
      <c r="A1451" s="1">
        <v>6</v>
      </c>
      <c r="B1451" s="1" t="s">
        <v>38</v>
      </c>
      <c r="C1451" s="1" t="s">
        <v>38</v>
      </c>
      <c r="D1451" s="3" t="s">
        <v>606</v>
      </c>
      <c r="E1451" s="3" t="s">
        <v>40</v>
      </c>
      <c r="F1451" s="3">
        <v>1993</v>
      </c>
      <c r="G1451" s="3" t="s">
        <v>110</v>
      </c>
      <c r="H1451" s="3" t="s">
        <v>137</v>
      </c>
      <c r="I1451" s="3" t="s">
        <v>138</v>
      </c>
      <c r="J1451" s="3" t="s">
        <v>139</v>
      </c>
      <c r="K1451" s="3" t="s">
        <v>45</v>
      </c>
      <c r="L1451" s="3" t="s">
        <v>46</v>
      </c>
      <c r="M1451" s="1" t="s">
        <v>115</v>
      </c>
      <c r="N1451" s="1" t="s">
        <v>116</v>
      </c>
      <c r="O1451" s="1">
        <v>1</v>
      </c>
      <c r="P1451" s="1">
        <v>1</v>
      </c>
      <c r="Q1451" s="1" t="s">
        <v>49</v>
      </c>
      <c r="R1451" s="1">
        <v>1</v>
      </c>
      <c r="S1451" s="1" t="s">
        <v>49</v>
      </c>
      <c r="T1451" s="1" t="s">
        <v>49</v>
      </c>
      <c r="U1451" s="1" t="s">
        <v>119</v>
      </c>
      <c r="V1451" s="1" t="s">
        <v>140</v>
      </c>
      <c r="W1451" s="1">
        <v>42.11</v>
      </c>
      <c r="X1451" s="1">
        <v>-75.91</v>
      </c>
      <c r="Y1451" s="3" t="s">
        <v>48</v>
      </c>
      <c r="Z1451" s="1" t="s">
        <v>49</v>
      </c>
      <c r="AA1451" s="1" t="s">
        <v>127</v>
      </c>
      <c r="AB1451" s="1" t="s">
        <v>239</v>
      </c>
      <c r="AC1451" s="1" t="s">
        <v>240</v>
      </c>
      <c r="AD1451" s="1" t="s">
        <v>240</v>
      </c>
      <c r="AE1451" s="1" t="s">
        <v>240</v>
      </c>
      <c r="AF1451" s="1" t="s">
        <v>60</v>
      </c>
      <c r="AG1451" s="1" t="s">
        <v>61</v>
      </c>
      <c r="AH1451" s="1" t="s">
        <v>123</v>
      </c>
      <c r="AI1451" s="1" t="s">
        <v>55</v>
      </c>
      <c r="AJ1451" s="1">
        <v>350</v>
      </c>
      <c r="AK1451" s="1">
        <v>1133</v>
      </c>
      <c r="AL1451" s="2">
        <v>0.28000000000000003</v>
      </c>
      <c r="AM1451" s="3">
        <v>92.93</v>
      </c>
      <c r="AN1451" s="3">
        <f>20.72^2</f>
        <v>429.31839999999994</v>
      </c>
      <c r="AO1451" s="1">
        <v>15.1</v>
      </c>
      <c r="AP1451" s="6">
        <v>1</v>
      </c>
      <c r="AQ1451" s="6" t="s">
        <v>49</v>
      </c>
      <c r="AR1451" s="6" t="s">
        <v>49</v>
      </c>
      <c r="AS1451" s="1">
        <f>36.81*4</f>
        <v>147.24</v>
      </c>
      <c r="AT1451" s="4">
        <f>AS1451/(AM1451^2)*100</f>
        <v>1.7049589792589839</v>
      </c>
      <c r="AU1451" s="5">
        <v>0</v>
      </c>
      <c r="AV1451" s="4">
        <f>AT1451*(1-AL1451)/AL1451</f>
        <v>4.3841802323802437</v>
      </c>
      <c r="AW1451" s="9" t="s">
        <v>609</v>
      </c>
    </row>
    <row r="1452" spans="1:49">
      <c r="A1452" s="1">
        <v>6</v>
      </c>
      <c r="B1452" s="1" t="s">
        <v>38</v>
      </c>
      <c r="C1452" s="1" t="s">
        <v>38</v>
      </c>
      <c r="D1452" s="3" t="s">
        <v>606</v>
      </c>
      <c r="E1452" s="3" t="s">
        <v>40</v>
      </c>
      <c r="F1452" s="3">
        <v>1993</v>
      </c>
      <c r="G1452" s="3" t="s">
        <v>110</v>
      </c>
      <c r="H1452" s="3" t="s">
        <v>137</v>
      </c>
      <c r="I1452" s="3" t="s">
        <v>138</v>
      </c>
      <c r="J1452" s="3" t="s">
        <v>139</v>
      </c>
      <c r="K1452" s="3" t="s">
        <v>45</v>
      </c>
      <c r="L1452" s="3" t="s">
        <v>46</v>
      </c>
      <c r="M1452" s="1" t="s">
        <v>115</v>
      </c>
      <c r="N1452" s="1" t="s">
        <v>116</v>
      </c>
      <c r="O1452" s="1">
        <v>1</v>
      </c>
      <c r="P1452" s="1">
        <v>1</v>
      </c>
      <c r="Q1452" s="1" t="s">
        <v>49</v>
      </c>
      <c r="R1452" s="1">
        <v>1</v>
      </c>
      <c r="S1452" s="1" t="s">
        <v>49</v>
      </c>
      <c r="T1452" s="1" t="s">
        <v>49</v>
      </c>
      <c r="U1452" s="1" t="s">
        <v>119</v>
      </c>
      <c r="V1452" s="1" t="s">
        <v>140</v>
      </c>
      <c r="W1452" s="1">
        <v>42.11</v>
      </c>
      <c r="X1452" s="1">
        <v>-75.91</v>
      </c>
      <c r="Y1452" s="3" t="s">
        <v>48</v>
      </c>
      <c r="Z1452" s="1" t="s">
        <v>49</v>
      </c>
      <c r="AA1452" s="1" t="s">
        <v>127</v>
      </c>
      <c r="AB1452" s="1" t="s">
        <v>239</v>
      </c>
      <c r="AC1452" s="1" t="s">
        <v>346</v>
      </c>
      <c r="AD1452" s="1" t="s">
        <v>346</v>
      </c>
      <c r="AE1452" s="1" t="s">
        <v>346</v>
      </c>
      <c r="AF1452" s="1" t="s">
        <v>60</v>
      </c>
      <c r="AG1452" s="1" t="s">
        <v>61</v>
      </c>
      <c r="AH1452" s="1" t="s">
        <v>123</v>
      </c>
      <c r="AI1452" s="1" t="s">
        <v>55</v>
      </c>
      <c r="AJ1452" s="1">
        <v>350</v>
      </c>
      <c r="AK1452" s="1">
        <v>1133</v>
      </c>
      <c r="AL1452" s="2">
        <v>0.4</v>
      </c>
      <c r="AM1452" s="3">
        <v>60.6</v>
      </c>
      <c r="AN1452" s="3">
        <f>13.31^2</f>
        <v>177.15610000000001</v>
      </c>
      <c r="AO1452" s="1">
        <v>17.399999999999999</v>
      </c>
      <c r="AP1452" s="6">
        <v>1</v>
      </c>
      <c r="AQ1452" s="6" t="s">
        <v>49</v>
      </c>
      <c r="AR1452" s="6" t="s">
        <v>49</v>
      </c>
      <c r="AS1452" s="1">
        <f>20.56*4</f>
        <v>82.24</v>
      </c>
      <c r="AT1452" s="4">
        <f>AS1452/(AM1452^2)*100</f>
        <v>2.2394318639784765</v>
      </c>
      <c r="AU1452" s="5">
        <v>0</v>
      </c>
      <c r="AV1452" s="4">
        <f>AT1452*(1-AL1452)/AL1452</f>
        <v>3.3591477959677145</v>
      </c>
      <c r="AW1452" s="9" t="s">
        <v>609</v>
      </c>
    </row>
    <row r="1453" spans="1:49">
      <c r="A1453" s="1">
        <v>6</v>
      </c>
      <c r="B1453" s="1" t="s">
        <v>38</v>
      </c>
      <c r="C1453" s="1" t="s">
        <v>38</v>
      </c>
      <c r="D1453" s="3" t="s">
        <v>606</v>
      </c>
      <c r="E1453" s="3" t="s">
        <v>40</v>
      </c>
      <c r="F1453" s="3">
        <v>1993</v>
      </c>
      <c r="G1453" s="3" t="s">
        <v>110</v>
      </c>
      <c r="H1453" s="3" t="s">
        <v>137</v>
      </c>
      <c r="I1453" s="3" t="s">
        <v>138</v>
      </c>
      <c r="J1453" s="3" t="s">
        <v>139</v>
      </c>
      <c r="K1453" s="3" t="s">
        <v>45</v>
      </c>
      <c r="L1453" s="3" t="s">
        <v>46</v>
      </c>
      <c r="M1453" s="1" t="s">
        <v>115</v>
      </c>
      <c r="N1453" s="1" t="s">
        <v>116</v>
      </c>
      <c r="O1453" s="1">
        <v>1</v>
      </c>
      <c r="P1453" s="1">
        <v>1</v>
      </c>
      <c r="Q1453" s="1" t="s">
        <v>49</v>
      </c>
      <c r="R1453" s="1">
        <v>1</v>
      </c>
      <c r="S1453" s="1" t="s">
        <v>49</v>
      </c>
      <c r="T1453" s="1" t="s">
        <v>49</v>
      </c>
      <c r="U1453" s="1" t="s">
        <v>119</v>
      </c>
      <c r="V1453" s="1" t="s">
        <v>140</v>
      </c>
      <c r="W1453" s="1">
        <v>42.11</v>
      </c>
      <c r="X1453" s="1">
        <v>-75.91</v>
      </c>
      <c r="Y1453" s="3" t="s">
        <v>48</v>
      </c>
      <c r="Z1453" s="1" t="s">
        <v>49</v>
      </c>
      <c r="AA1453" s="1" t="s">
        <v>94</v>
      </c>
      <c r="AB1453" s="1" t="s">
        <v>607</v>
      </c>
      <c r="AC1453" s="1" t="s">
        <v>608</v>
      </c>
      <c r="AD1453" s="1" t="s">
        <v>608</v>
      </c>
      <c r="AE1453" s="1" t="s">
        <v>608</v>
      </c>
      <c r="AF1453" s="1" t="s">
        <v>484</v>
      </c>
      <c r="AG1453" s="1" t="s">
        <v>484</v>
      </c>
      <c r="AH1453" s="1" t="s">
        <v>123</v>
      </c>
      <c r="AI1453" s="1" t="s">
        <v>55</v>
      </c>
      <c r="AJ1453" s="1">
        <v>350</v>
      </c>
      <c r="AK1453" s="1">
        <v>1133</v>
      </c>
      <c r="AL1453" s="2">
        <v>0.25</v>
      </c>
      <c r="AM1453" s="3">
        <v>7.88</v>
      </c>
      <c r="AN1453" s="3">
        <f>4.14^2</f>
        <v>17.139599999999998</v>
      </c>
      <c r="AO1453" s="1">
        <v>37.200000000000003</v>
      </c>
      <c r="AP1453" s="6">
        <v>1</v>
      </c>
      <c r="AQ1453" s="6" t="s">
        <v>49</v>
      </c>
      <c r="AR1453" s="6" t="s">
        <v>49</v>
      </c>
      <c r="AS1453" s="1">
        <f>6.4*4</f>
        <v>25.6</v>
      </c>
      <c r="AT1453" s="4">
        <f>AS1453/(AM1453^2)*100</f>
        <v>41.227550310494991</v>
      </c>
      <c r="AU1453" s="5">
        <v>0</v>
      </c>
      <c r="AV1453" s="4">
        <f>AT1453*(1-AL1453)/AL1453</f>
        <v>123.68265093148497</v>
      </c>
      <c r="AW1453" s="9" t="s">
        <v>609</v>
      </c>
    </row>
    <row r="1454" spans="1:49">
      <c r="A1454" s="1">
        <v>6</v>
      </c>
      <c r="B1454" s="1" t="s">
        <v>38</v>
      </c>
      <c r="C1454" s="1" t="s">
        <v>38</v>
      </c>
      <c r="D1454" s="3" t="s">
        <v>606</v>
      </c>
      <c r="E1454" s="3" t="s">
        <v>40</v>
      </c>
      <c r="F1454" s="3">
        <v>1993</v>
      </c>
      <c r="G1454" s="3" t="s">
        <v>110</v>
      </c>
      <c r="H1454" s="3" t="s">
        <v>137</v>
      </c>
      <c r="I1454" s="3" t="s">
        <v>138</v>
      </c>
      <c r="J1454" s="3" t="s">
        <v>139</v>
      </c>
      <c r="K1454" s="3" t="s">
        <v>45</v>
      </c>
      <c r="L1454" s="3" t="s">
        <v>46</v>
      </c>
      <c r="M1454" s="1" t="s">
        <v>115</v>
      </c>
      <c r="N1454" s="1" t="s">
        <v>116</v>
      </c>
      <c r="O1454" s="1">
        <v>1</v>
      </c>
      <c r="P1454" s="1">
        <v>1</v>
      </c>
      <c r="Q1454" s="1" t="s">
        <v>49</v>
      </c>
      <c r="R1454" s="1">
        <v>1</v>
      </c>
      <c r="S1454" s="1" t="s">
        <v>49</v>
      </c>
      <c r="T1454" s="1" t="s">
        <v>49</v>
      </c>
      <c r="U1454" s="1" t="s">
        <v>119</v>
      </c>
      <c r="V1454" s="1" t="s">
        <v>140</v>
      </c>
      <c r="W1454" s="1">
        <v>42.11</v>
      </c>
      <c r="X1454" s="1">
        <v>-75.91</v>
      </c>
      <c r="Y1454" s="3" t="s">
        <v>48</v>
      </c>
      <c r="Z1454" s="1" t="s">
        <v>49</v>
      </c>
      <c r="AA1454" s="1" t="s">
        <v>94</v>
      </c>
      <c r="AB1454" s="1" t="s">
        <v>578</v>
      </c>
      <c r="AC1454" s="1" t="s">
        <v>349</v>
      </c>
      <c r="AD1454" s="1" t="s">
        <v>347</v>
      </c>
      <c r="AE1454" s="1" t="s">
        <v>347</v>
      </c>
      <c r="AF1454" s="1" t="s">
        <v>484</v>
      </c>
      <c r="AG1454" s="1" t="s">
        <v>484</v>
      </c>
      <c r="AH1454" s="1" t="s">
        <v>123</v>
      </c>
      <c r="AI1454" s="1" t="s">
        <v>55</v>
      </c>
      <c r="AJ1454" s="1">
        <v>350</v>
      </c>
      <c r="AK1454" s="1">
        <v>1133</v>
      </c>
      <c r="AL1454" s="2">
        <v>0.63</v>
      </c>
      <c r="AM1454" s="3">
        <v>24.96</v>
      </c>
      <c r="AN1454" s="3">
        <f>4.49^2</f>
        <v>20.160100000000003</v>
      </c>
      <c r="AO1454" s="1">
        <v>11.4</v>
      </c>
      <c r="AP1454" s="6">
        <v>1</v>
      </c>
      <c r="AQ1454" s="6" t="s">
        <v>49</v>
      </c>
      <c r="AR1454" s="6" t="s">
        <v>49</v>
      </c>
      <c r="AS1454" s="1">
        <f>2.02*4</f>
        <v>8.08</v>
      </c>
      <c r="AT1454" s="4">
        <f>AS1454/(AM1454^2)*100</f>
        <v>1.2969469099276791</v>
      </c>
      <c r="AU1454" s="5">
        <v>0</v>
      </c>
      <c r="AV1454" s="4">
        <f>AT1454*(1-AL1454)/AL1454</f>
        <v>0.7616989788464148</v>
      </c>
      <c r="AW1454" s="9" t="s">
        <v>609</v>
      </c>
    </row>
    <row r="1455" spans="1:49">
      <c r="A1455" s="1">
        <v>6</v>
      </c>
      <c r="B1455" s="1" t="s">
        <v>38</v>
      </c>
      <c r="C1455" s="1" t="s">
        <v>38</v>
      </c>
      <c r="D1455" s="3" t="s">
        <v>606</v>
      </c>
      <c r="E1455" s="3" t="s">
        <v>40</v>
      </c>
      <c r="F1455" s="3">
        <v>1993</v>
      </c>
      <c r="G1455" s="3" t="s">
        <v>110</v>
      </c>
      <c r="H1455" s="3" t="s">
        <v>137</v>
      </c>
      <c r="I1455" s="3" t="s">
        <v>138</v>
      </c>
      <c r="J1455" s="3" t="s">
        <v>139</v>
      </c>
      <c r="K1455" s="3" t="s">
        <v>45</v>
      </c>
      <c r="L1455" s="3" t="s">
        <v>46</v>
      </c>
      <c r="M1455" s="1" t="s">
        <v>115</v>
      </c>
      <c r="N1455" s="1" t="s">
        <v>116</v>
      </c>
      <c r="O1455" s="1">
        <v>1</v>
      </c>
      <c r="P1455" s="1">
        <v>1</v>
      </c>
      <c r="Q1455" s="1" t="s">
        <v>49</v>
      </c>
      <c r="R1455" s="1">
        <v>1</v>
      </c>
      <c r="S1455" s="1" t="s">
        <v>49</v>
      </c>
      <c r="T1455" s="1" t="s">
        <v>49</v>
      </c>
      <c r="U1455" s="1" t="s">
        <v>119</v>
      </c>
      <c r="V1455" s="1" t="s">
        <v>140</v>
      </c>
      <c r="W1455" s="1">
        <v>42.11</v>
      </c>
      <c r="X1455" s="1">
        <v>-75.91</v>
      </c>
      <c r="Y1455" s="3" t="s">
        <v>48</v>
      </c>
      <c r="Z1455" s="1" t="s">
        <v>49</v>
      </c>
      <c r="AA1455" s="6" t="s">
        <v>49</v>
      </c>
      <c r="AB1455" s="6" t="s">
        <v>49</v>
      </c>
      <c r="AC1455" s="6" t="s">
        <v>49</v>
      </c>
      <c r="AD1455" s="6" t="s">
        <v>126</v>
      </c>
      <c r="AE1455" s="6" t="s">
        <v>125</v>
      </c>
      <c r="AF1455" s="6" t="s">
        <v>49</v>
      </c>
      <c r="AG1455" s="6" t="s">
        <v>49</v>
      </c>
      <c r="AH1455" s="1" t="s">
        <v>123</v>
      </c>
      <c r="AI1455" s="1" t="s">
        <v>55</v>
      </c>
      <c r="AJ1455" s="20" t="s">
        <v>49</v>
      </c>
      <c r="AK1455" s="20" t="s">
        <v>49</v>
      </c>
      <c r="AL1455" s="20" t="s">
        <v>49</v>
      </c>
      <c r="AM1455" s="20" t="s">
        <v>49</v>
      </c>
      <c r="AN1455" s="1" t="s">
        <v>49</v>
      </c>
      <c r="AO1455" s="1" t="s">
        <v>49</v>
      </c>
      <c r="AP1455" s="6">
        <v>1</v>
      </c>
      <c r="AQ1455" s="6">
        <v>0.53</v>
      </c>
      <c r="AR1455" s="6" t="s">
        <v>49</v>
      </c>
      <c r="AS1455" s="6" t="s">
        <v>49</v>
      </c>
      <c r="AT1455" s="6" t="s">
        <v>49</v>
      </c>
      <c r="AU1455" s="6" t="s">
        <v>49</v>
      </c>
      <c r="AV1455" s="6" t="s">
        <v>49</v>
      </c>
      <c r="AW1455" s="9" t="s">
        <v>565</v>
      </c>
    </row>
    <row r="1456" spans="1:49">
      <c r="A1456" s="1">
        <v>6</v>
      </c>
      <c r="B1456" s="1" t="s">
        <v>38</v>
      </c>
      <c r="C1456" s="1" t="s">
        <v>38</v>
      </c>
      <c r="D1456" s="3" t="s">
        <v>606</v>
      </c>
      <c r="E1456" s="3" t="s">
        <v>40</v>
      </c>
      <c r="F1456" s="3">
        <v>1993</v>
      </c>
      <c r="G1456" s="3" t="s">
        <v>110</v>
      </c>
      <c r="H1456" s="3" t="s">
        <v>137</v>
      </c>
      <c r="I1456" s="3" t="s">
        <v>138</v>
      </c>
      <c r="J1456" s="3" t="s">
        <v>139</v>
      </c>
      <c r="K1456" s="3" t="s">
        <v>45</v>
      </c>
      <c r="L1456" s="3" t="s">
        <v>46</v>
      </c>
      <c r="M1456" s="1" t="s">
        <v>115</v>
      </c>
      <c r="N1456" s="1" t="s">
        <v>116</v>
      </c>
      <c r="O1456" s="1">
        <v>1</v>
      </c>
      <c r="P1456" s="1">
        <v>1</v>
      </c>
      <c r="Q1456" s="1" t="s">
        <v>49</v>
      </c>
      <c r="R1456" s="1">
        <v>1</v>
      </c>
      <c r="S1456" s="1" t="s">
        <v>49</v>
      </c>
      <c r="T1456" s="1" t="s">
        <v>49</v>
      </c>
      <c r="U1456" s="1" t="s">
        <v>119</v>
      </c>
      <c r="V1456" s="1" t="s">
        <v>140</v>
      </c>
      <c r="W1456" s="1">
        <v>42.11</v>
      </c>
      <c r="X1456" s="1">
        <v>-75.91</v>
      </c>
      <c r="Y1456" s="3" t="s">
        <v>48</v>
      </c>
      <c r="Z1456" s="1" t="s">
        <v>49</v>
      </c>
      <c r="AA1456" s="6" t="s">
        <v>49</v>
      </c>
      <c r="AB1456" s="6" t="s">
        <v>49</v>
      </c>
      <c r="AC1456" s="6" t="s">
        <v>49</v>
      </c>
      <c r="AD1456" s="6" t="s">
        <v>126</v>
      </c>
      <c r="AE1456" s="6" t="s">
        <v>62</v>
      </c>
      <c r="AF1456" s="6" t="s">
        <v>49</v>
      </c>
      <c r="AG1456" s="6" t="s">
        <v>49</v>
      </c>
      <c r="AH1456" s="1" t="s">
        <v>123</v>
      </c>
      <c r="AI1456" s="1" t="s">
        <v>55</v>
      </c>
      <c r="AJ1456" s="20" t="s">
        <v>49</v>
      </c>
      <c r="AK1456" s="20" t="s">
        <v>49</v>
      </c>
      <c r="AL1456" s="20" t="s">
        <v>49</v>
      </c>
      <c r="AM1456" s="20" t="s">
        <v>49</v>
      </c>
      <c r="AN1456" s="1" t="s">
        <v>49</v>
      </c>
      <c r="AO1456" s="1" t="s">
        <v>49</v>
      </c>
      <c r="AP1456" s="6">
        <v>1</v>
      </c>
      <c r="AQ1456" s="6">
        <v>0.25</v>
      </c>
      <c r="AR1456" s="6" t="s">
        <v>49</v>
      </c>
      <c r="AS1456" s="6" t="s">
        <v>49</v>
      </c>
      <c r="AT1456" s="6" t="s">
        <v>49</v>
      </c>
      <c r="AU1456" s="6" t="s">
        <v>49</v>
      </c>
      <c r="AV1456" s="6" t="s">
        <v>49</v>
      </c>
      <c r="AW1456" s="9" t="s">
        <v>565</v>
      </c>
    </row>
    <row r="1457" spans="1:49">
      <c r="A1457" s="1">
        <v>6</v>
      </c>
      <c r="B1457" s="1" t="s">
        <v>38</v>
      </c>
      <c r="C1457" s="1" t="s">
        <v>38</v>
      </c>
      <c r="D1457" s="3" t="s">
        <v>606</v>
      </c>
      <c r="E1457" s="3" t="s">
        <v>40</v>
      </c>
      <c r="F1457" s="3">
        <v>1993</v>
      </c>
      <c r="G1457" s="3" t="s">
        <v>110</v>
      </c>
      <c r="H1457" s="3" t="s">
        <v>137</v>
      </c>
      <c r="I1457" s="3" t="s">
        <v>138</v>
      </c>
      <c r="J1457" s="3" t="s">
        <v>139</v>
      </c>
      <c r="K1457" s="3" t="s">
        <v>45</v>
      </c>
      <c r="L1457" s="3" t="s">
        <v>46</v>
      </c>
      <c r="M1457" s="1" t="s">
        <v>115</v>
      </c>
      <c r="N1457" s="1" t="s">
        <v>116</v>
      </c>
      <c r="O1457" s="1">
        <v>1</v>
      </c>
      <c r="P1457" s="1">
        <v>1</v>
      </c>
      <c r="Q1457" s="1" t="s">
        <v>49</v>
      </c>
      <c r="R1457" s="1">
        <v>1</v>
      </c>
      <c r="S1457" s="1" t="s">
        <v>49</v>
      </c>
      <c r="T1457" s="1" t="s">
        <v>49</v>
      </c>
      <c r="U1457" s="1" t="s">
        <v>119</v>
      </c>
      <c r="V1457" s="1" t="s">
        <v>140</v>
      </c>
      <c r="W1457" s="1">
        <v>42.11</v>
      </c>
      <c r="X1457" s="1">
        <v>-75.91</v>
      </c>
      <c r="Y1457" s="3" t="s">
        <v>48</v>
      </c>
      <c r="Z1457" s="1" t="s">
        <v>49</v>
      </c>
      <c r="AA1457" s="6" t="s">
        <v>49</v>
      </c>
      <c r="AB1457" s="6" t="s">
        <v>49</v>
      </c>
      <c r="AC1457" s="6" t="s">
        <v>49</v>
      </c>
      <c r="AD1457" s="6" t="s">
        <v>126</v>
      </c>
      <c r="AE1457" s="6" t="s">
        <v>143</v>
      </c>
      <c r="AF1457" s="6" t="s">
        <v>49</v>
      </c>
      <c r="AG1457" s="6" t="s">
        <v>49</v>
      </c>
      <c r="AH1457" s="1" t="s">
        <v>123</v>
      </c>
      <c r="AI1457" s="1" t="s">
        <v>55</v>
      </c>
      <c r="AJ1457" s="20" t="s">
        <v>49</v>
      </c>
      <c r="AK1457" s="20" t="s">
        <v>49</v>
      </c>
      <c r="AL1457" s="20" t="s">
        <v>49</v>
      </c>
      <c r="AM1457" s="20" t="s">
        <v>49</v>
      </c>
      <c r="AN1457" s="1" t="s">
        <v>49</v>
      </c>
      <c r="AO1457" s="1" t="s">
        <v>49</v>
      </c>
      <c r="AP1457" s="6">
        <v>1</v>
      </c>
      <c r="AQ1457" s="6">
        <v>0.31</v>
      </c>
      <c r="AR1457" s="6" t="s">
        <v>49</v>
      </c>
      <c r="AS1457" s="6" t="s">
        <v>49</v>
      </c>
      <c r="AT1457" s="6" t="s">
        <v>49</v>
      </c>
      <c r="AU1457" s="6" t="s">
        <v>49</v>
      </c>
      <c r="AV1457" s="6" t="s">
        <v>49</v>
      </c>
      <c r="AW1457" s="9" t="s">
        <v>565</v>
      </c>
    </row>
    <row r="1458" spans="1:49">
      <c r="A1458" s="1">
        <v>6</v>
      </c>
      <c r="B1458" s="1" t="s">
        <v>38</v>
      </c>
      <c r="C1458" s="1" t="s">
        <v>38</v>
      </c>
      <c r="D1458" s="3" t="s">
        <v>606</v>
      </c>
      <c r="E1458" s="3" t="s">
        <v>40</v>
      </c>
      <c r="F1458" s="3">
        <v>1993</v>
      </c>
      <c r="G1458" s="3" t="s">
        <v>110</v>
      </c>
      <c r="H1458" s="3" t="s">
        <v>137</v>
      </c>
      <c r="I1458" s="3" t="s">
        <v>138</v>
      </c>
      <c r="J1458" s="3" t="s">
        <v>139</v>
      </c>
      <c r="K1458" s="3" t="s">
        <v>45</v>
      </c>
      <c r="L1458" s="3" t="s">
        <v>46</v>
      </c>
      <c r="M1458" s="1" t="s">
        <v>115</v>
      </c>
      <c r="N1458" s="1" t="s">
        <v>116</v>
      </c>
      <c r="O1458" s="1">
        <v>1</v>
      </c>
      <c r="P1458" s="1">
        <v>1</v>
      </c>
      <c r="Q1458" s="1" t="s">
        <v>49</v>
      </c>
      <c r="R1458" s="1">
        <v>1</v>
      </c>
      <c r="S1458" s="1" t="s">
        <v>49</v>
      </c>
      <c r="T1458" s="1" t="s">
        <v>49</v>
      </c>
      <c r="U1458" s="1" t="s">
        <v>119</v>
      </c>
      <c r="V1458" s="1" t="s">
        <v>140</v>
      </c>
      <c r="W1458" s="1">
        <v>42.11</v>
      </c>
      <c r="X1458" s="1">
        <v>-75.91</v>
      </c>
      <c r="Y1458" s="3" t="s">
        <v>48</v>
      </c>
      <c r="Z1458" s="1" t="s">
        <v>49</v>
      </c>
      <c r="AA1458" s="6" t="s">
        <v>49</v>
      </c>
      <c r="AB1458" s="6" t="s">
        <v>49</v>
      </c>
      <c r="AC1458" s="6" t="s">
        <v>49</v>
      </c>
      <c r="AD1458" s="6" t="s">
        <v>126</v>
      </c>
      <c r="AE1458" s="6" t="s">
        <v>142</v>
      </c>
      <c r="AF1458" s="6" t="s">
        <v>49</v>
      </c>
      <c r="AG1458" s="6" t="s">
        <v>49</v>
      </c>
      <c r="AH1458" s="1" t="s">
        <v>123</v>
      </c>
      <c r="AI1458" s="1" t="s">
        <v>55</v>
      </c>
      <c r="AJ1458" s="20" t="s">
        <v>49</v>
      </c>
      <c r="AK1458" s="20" t="s">
        <v>49</v>
      </c>
      <c r="AL1458" s="20" t="s">
        <v>49</v>
      </c>
      <c r="AM1458" s="20" t="s">
        <v>49</v>
      </c>
      <c r="AN1458" s="1" t="s">
        <v>49</v>
      </c>
      <c r="AO1458" s="1" t="s">
        <v>49</v>
      </c>
      <c r="AP1458" s="6">
        <v>1</v>
      </c>
      <c r="AQ1458" s="6">
        <v>0.39</v>
      </c>
      <c r="AR1458" s="6" t="s">
        <v>49</v>
      </c>
      <c r="AS1458" s="6" t="s">
        <v>49</v>
      </c>
      <c r="AT1458" s="6" t="s">
        <v>49</v>
      </c>
      <c r="AU1458" s="6" t="s">
        <v>49</v>
      </c>
      <c r="AV1458" s="6" t="s">
        <v>49</v>
      </c>
      <c r="AW1458" s="9" t="s">
        <v>565</v>
      </c>
    </row>
    <row r="1459" spans="1:49">
      <c r="A1459" s="1">
        <v>6</v>
      </c>
      <c r="B1459" s="1" t="s">
        <v>38</v>
      </c>
      <c r="C1459" s="1" t="s">
        <v>38</v>
      </c>
      <c r="D1459" s="3" t="s">
        <v>606</v>
      </c>
      <c r="E1459" s="3" t="s">
        <v>40</v>
      </c>
      <c r="F1459" s="3">
        <v>1993</v>
      </c>
      <c r="G1459" s="3" t="s">
        <v>110</v>
      </c>
      <c r="H1459" s="3" t="s">
        <v>137</v>
      </c>
      <c r="I1459" s="3" t="s">
        <v>138</v>
      </c>
      <c r="J1459" s="3" t="s">
        <v>139</v>
      </c>
      <c r="K1459" s="3" t="s">
        <v>45</v>
      </c>
      <c r="L1459" s="3" t="s">
        <v>46</v>
      </c>
      <c r="M1459" s="1" t="s">
        <v>115</v>
      </c>
      <c r="N1459" s="1" t="s">
        <v>116</v>
      </c>
      <c r="O1459" s="1">
        <v>1</v>
      </c>
      <c r="P1459" s="1">
        <v>1</v>
      </c>
      <c r="Q1459" s="1" t="s">
        <v>49</v>
      </c>
      <c r="R1459" s="1">
        <v>1</v>
      </c>
      <c r="S1459" s="1" t="s">
        <v>49</v>
      </c>
      <c r="T1459" s="1" t="s">
        <v>49</v>
      </c>
      <c r="U1459" s="1" t="s">
        <v>119</v>
      </c>
      <c r="V1459" s="1" t="s">
        <v>140</v>
      </c>
      <c r="W1459" s="1">
        <v>42.11</v>
      </c>
      <c r="X1459" s="1">
        <v>-75.91</v>
      </c>
      <c r="Y1459" s="3" t="s">
        <v>48</v>
      </c>
      <c r="Z1459" s="1" t="s">
        <v>49</v>
      </c>
      <c r="AA1459" s="6" t="s">
        <v>49</v>
      </c>
      <c r="AB1459" s="6" t="s">
        <v>49</v>
      </c>
      <c r="AC1459" s="6" t="s">
        <v>49</v>
      </c>
      <c r="AD1459" s="6" t="s">
        <v>126</v>
      </c>
      <c r="AE1459" s="6" t="s">
        <v>84</v>
      </c>
      <c r="AF1459" s="6" t="s">
        <v>49</v>
      </c>
      <c r="AG1459" s="6" t="s">
        <v>49</v>
      </c>
      <c r="AH1459" s="1" t="s">
        <v>123</v>
      </c>
      <c r="AI1459" s="1" t="s">
        <v>55</v>
      </c>
      <c r="AJ1459" s="20" t="s">
        <v>49</v>
      </c>
      <c r="AK1459" s="20" t="s">
        <v>49</v>
      </c>
      <c r="AL1459" s="20" t="s">
        <v>49</v>
      </c>
      <c r="AM1459" s="20" t="s">
        <v>49</v>
      </c>
      <c r="AN1459" s="1" t="s">
        <v>49</v>
      </c>
      <c r="AO1459" s="1" t="s">
        <v>49</v>
      </c>
      <c r="AP1459" s="6">
        <v>1</v>
      </c>
      <c r="AQ1459" s="6">
        <v>0.35</v>
      </c>
      <c r="AR1459" s="6" t="s">
        <v>49</v>
      </c>
      <c r="AS1459" s="6" t="s">
        <v>49</v>
      </c>
      <c r="AT1459" s="6" t="s">
        <v>49</v>
      </c>
      <c r="AU1459" s="6" t="s">
        <v>49</v>
      </c>
      <c r="AV1459" s="6" t="s">
        <v>49</v>
      </c>
      <c r="AW1459" s="9" t="s">
        <v>565</v>
      </c>
    </row>
    <row r="1460" spans="1:49">
      <c r="A1460" s="1">
        <v>6</v>
      </c>
      <c r="B1460" s="1" t="s">
        <v>38</v>
      </c>
      <c r="C1460" s="1" t="s">
        <v>38</v>
      </c>
      <c r="D1460" s="3" t="s">
        <v>606</v>
      </c>
      <c r="E1460" s="3" t="s">
        <v>40</v>
      </c>
      <c r="F1460" s="3">
        <v>1993</v>
      </c>
      <c r="G1460" s="3" t="s">
        <v>110</v>
      </c>
      <c r="H1460" s="3" t="s">
        <v>137</v>
      </c>
      <c r="I1460" s="3" t="s">
        <v>138</v>
      </c>
      <c r="J1460" s="3" t="s">
        <v>139</v>
      </c>
      <c r="K1460" s="3" t="s">
        <v>45</v>
      </c>
      <c r="L1460" s="3" t="s">
        <v>46</v>
      </c>
      <c r="M1460" s="1" t="s">
        <v>115</v>
      </c>
      <c r="N1460" s="1" t="s">
        <v>116</v>
      </c>
      <c r="O1460" s="1">
        <v>1</v>
      </c>
      <c r="P1460" s="1">
        <v>1</v>
      </c>
      <c r="Q1460" s="1" t="s">
        <v>49</v>
      </c>
      <c r="R1460" s="1">
        <v>1</v>
      </c>
      <c r="S1460" s="1" t="s">
        <v>49</v>
      </c>
      <c r="T1460" s="1" t="s">
        <v>49</v>
      </c>
      <c r="U1460" s="1" t="s">
        <v>119</v>
      </c>
      <c r="V1460" s="1" t="s">
        <v>140</v>
      </c>
      <c r="W1460" s="1">
        <v>42.11</v>
      </c>
      <c r="X1460" s="1">
        <v>-75.91</v>
      </c>
      <c r="Y1460" s="3" t="s">
        <v>48</v>
      </c>
      <c r="Z1460" s="1" t="s">
        <v>49</v>
      </c>
      <c r="AA1460" s="6" t="s">
        <v>49</v>
      </c>
      <c r="AB1460" s="6" t="s">
        <v>49</v>
      </c>
      <c r="AC1460" s="6" t="s">
        <v>49</v>
      </c>
      <c r="AD1460" s="6" t="s">
        <v>126</v>
      </c>
      <c r="AE1460" s="1" t="s">
        <v>240</v>
      </c>
      <c r="AF1460" s="6" t="s">
        <v>49</v>
      </c>
      <c r="AG1460" s="6" t="s">
        <v>49</v>
      </c>
      <c r="AH1460" s="1" t="s">
        <v>123</v>
      </c>
      <c r="AI1460" s="1" t="s">
        <v>55</v>
      </c>
      <c r="AJ1460" s="20" t="s">
        <v>49</v>
      </c>
      <c r="AK1460" s="20" t="s">
        <v>49</v>
      </c>
      <c r="AL1460" s="20" t="s">
        <v>49</v>
      </c>
      <c r="AM1460" s="20" t="s">
        <v>49</v>
      </c>
      <c r="AN1460" s="1" t="s">
        <v>49</v>
      </c>
      <c r="AO1460" s="1" t="s">
        <v>49</v>
      </c>
      <c r="AP1460" s="6">
        <v>1</v>
      </c>
      <c r="AQ1460" s="6">
        <v>0.28999999999999998</v>
      </c>
      <c r="AR1460" s="6" t="s">
        <v>49</v>
      </c>
      <c r="AS1460" s="6" t="s">
        <v>49</v>
      </c>
      <c r="AT1460" s="6" t="s">
        <v>49</v>
      </c>
      <c r="AU1460" s="6" t="s">
        <v>49</v>
      </c>
      <c r="AV1460" s="6" t="s">
        <v>49</v>
      </c>
      <c r="AW1460" s="9" t="s">
        <v>565</v>
      </c>
    </row>
    <row r="1461" spans="1:49">
      <c r="A1461" s="1">
        <v>6</v>
      </c>
      <c r="B1461" s="1" t="s">
        <v>38</v>
      </c>
      <c r="C1461" s="1" t="s">
        <v>38</v>
      </c>
      <c r="D1461" s="3" t="s">
        <v>606</v>
      </c>
      <c r="E1461" s="3" t="s">
        <v>40</v>
      </c>
      <c r="F1461" s="3">
        <v>1993</v>
      </c>
      <c r="G1461" s="3" t="s">
        <v>110</v>
      </c>
      <c r="H1461" s="3" t="s">
        <v>137</v>
      </c>
      <c r="I1461" s="3" t="s">
        <v>138</v>
      </c>
      <c r="J1461" s="3" t="s">
        <v>139</v>
      </c>
      <c r="K1461" s="3" t="s">
        <v>45</v>
      </c>
      <c r="L1461" s="3" t="s">
        <v>46</v>
      </c>
      <c r="M1461" s="1" t="s">
        <v>115</v>
      </c>
      <c r="N1461" s="1" t="s">
        <v>116</v>
      </c>
      <c r="O1461" s="1">
        <v>1</v>
      </c>
      <c r="P1461" s="1">
        <v>1</v>
      </c>
      <c r="Q1461" s="1" t="s">
        <v>49</v>
      </c>
      <c r="R1461" s="1">
        <v>1</v>
      </c>
      <c r="S1461" s="1" t="s">
        <v>49</v>
      </c>
      <c r="T1461" s="1" t="s">
        <v>49</v>
      </c>
      <c r="U1461" s="1" t="s">
        <v>119</v>
      </c>
      <c r="V1461" s="1" t="s">
        <v>140</v>
      </c>
      <c r="W1461" s="1">
        <v>42.11</v>
      </c>
      <c r="X1461" s="1">
        <v>-75.91</v>
      </c>
      <c r="Y1461" s="3" t="s">
        <v>48</v>
      </c>
      <c r="Z1461" s="1" t="s">
        <v>49</v>
      </c>
      <c r="AA1461" s="6" t="s">
        <v>49</v>
      </c>
      <c r="AB1461" s="6" t="s">
        <v>49</v>
      </c>
      <c r="AC1461" s="6" t="s">
        <v>49</v>
      </c>
      <c r="AD1461" s="6" t="s">
        <v>126</v>
      </c>
      <c r="AE1461" s="1" t="s">
        <v>346</v>
      </c>
      <c r="AF1461" s="6" t="s">
        <v>49</v>
      </c>
      <c r="AG1461" s="6" t="s">
        <v>49</v>
      </c>
      <c r="AH1461" s="1" t="s">
        <v>123</v>
      </c>
      <c r="AI1461" s="1" t="s">
        <v>55</v>
      </c>
      <c r="AJ1461" s="20" t="s">
        <v>49</v>
      </c>
      <c r="AK1461" s="20" t="s">
        <v>49</v>
      </c>
      <c r="AL1461" s="20" t="s">
        <v>49</v>
      </c>
      <c r="AM1461" s="20" t="s">
        <v>49</v>
      </c>
      <c r="AN1461" s="1" t="s">
        <v>49</v>
      </c>
      <c r="AO1461" s="1" t="s">
        <v>49</v>
      </c>
      <c r="AP1461" s="6">
        <v>1</v>
      </c>
      <c r="AQ1461" s="6">
        <v>0.26</v>
      </c>
      <c r="AR1461" s="6" t="s">
        <v>49</v>
      </c>
      <c r="AS1461" s="6" t="s">
        <v>49</v>
      </c>
      <c r="AT1461" s="6" t="s">
        <v>49</v>
      </c>
      <c r="AU1461" s="6" t="s">
        <v>49</v>
      </c>
      <c r="AV1461" s="6" t="s">
        <v>49</v>
      </c>
      <c r="AW1461" s="9" t="s">
        <v>565</v>
      </c>
    </row>
    <row r="1462" spans="1:49">
      <c r="A1462" s="1">
        <v>6</v>
      </c>
      <c r="B1462" s="1" t="s">
        <v>38</v>
      </c>
      <c r="C1462" s="1" t="s">
        <v>38</v>
      </c>
      <c r="D1462" s="3" t="s">
        <v>606</v>
      </c>
      <c r="E1462" s="3" t="s">
        <v>40</v>
      </c>
      <c r="F1462" s="3">
        <v>1993</v>
      </c>
      <c r="G1462" s="3" t="s">
        <v>110</v>
      </c>
      <c r="H1462" s="3" t="s">
        <v>137</v>
      </c>
      <c r="I1462" s="3" t="s">
        <v>138</v>
      </c>
      <c r="J1462" s="3" t="s">
        <v>139</v>
      </c>
      <c r="K1462" s="3" t="s">
        <v>45</v>
      </c>
      <c r="L1462" s="3" t="s">
        <v>46</v>
      </c>
      <c r="M1462" s="1" t="s">
        <v>115</v>
      </c>
      <c r="N1462" s="1" t="s">
        <v>116</v>
      </c>
      <c r="O1462" s="1">
        <v>1</v>
      </c>
      <c r="P1462" s="1">
        <v>1</v>
      </c>
      <c r="Q1462" s="1" t="s">
        <v>49</v>
      </c>
      <c r="R1462" s="1">
        <v>1</v>
      </c>
      <c r="S1462" s="1" t="s">
        <v>49</v>
      </c>
      <c r="T1462" s="1" t="s">
        <v>49</v>
      </c>
      <c r="U1462" s="1" t="s">
        <v>119</v>
      </c>
      <c r="V1462" s="1" t="s">
        <v>140</v>
      </c>
      <c r="W1462" s="1">
        <v>42.11</v>
      </c>
      <c r="X1462" s="1">
        <v>-75.91</v>
      </c>
      <c r="Y1462" s="3" t="s">
        <v>48</v>
      </c>
      <c r="Z1462" s="1" t="s">
        <v>49</v>
      </c>
      <c r="AA1462" s="6" t="s">
        <v>49</v>
      </c>
      <c r="AB1462" s="6" t="s">
        <v>49</v>
      </c>
      <c r="AC1462" s="6" t="s">
        <v>49</v>
      </c>
      <c r="AD1462" s="6" t="s">
        <v>126</v>
      </c>
      <c r="AE1462" s="1" t="s">
        <v>608</v>
      </c>
      <c r="AF1462" s="6" t="s">
        <v>49</v>
      </c>
      <c r="AG1462" s="6" t="s">
        <v>49</v>
      </c>
      <c r="AH1462" s="1" t="s">
        <v>123</v>
      </c>
      <c r="AI1462" s="1" t="s">
        <v>55</v>
      </c>
      <c r="AJ1462" s="20" t="s">
        <v>49</v>
      </c>
      <c r="AK1462" s="20" t="s">
        <v>49</v>
      </c>
      <c r="AL1462" s="20" t="s">
        <v>49</v>
      </c>
      <c r="AM1462" s="20" t="s">
        <v>49</v>
      </c>
      <c r="AN1462" s="1" t="s">
        <v>49</v>
      </c>
      <c r="AO1462" s="1" t="s">
        <v>49</v>
      </c>
      <c r="AP1462" s="6">
        <v>1</v>
      </c>
      <c r="AQ1462" s="6">
        <v>-0.18</v>
      </c>
      <c r="AR1462" s="6" t="s">
        <v>49</v>
      </c>
      <c r="AS1462" s="6" t="s">
        <v>49</v>
      </c>
      <c r="AT1462" s="6" t="s">
        <v>49</v>
      </c>
      <c r="AU1462" s="6" t="s">
        <v>49</v>
      </c>
      <c r="AV1462" s="6" t="s">
        <v>49</v>
      </c>
      <c r="AW1462" s="9" t="s">
        <v>565</v>
      </c>
    </row>
    <row r="1463" spans="1:49">
      <c r="A1463" s="1">
        <v>6</v>
      </c>
      <c r="B1463" s="1" t="s">
        <v>38</v>
      </c>
      <c r="C1463" s="1" t="s">
        <v>38</v>
      </c>
      <c r="D1463" s="3" t="s">
        <v>606</v>
      </c>
      <c r="E1463" s="3" t="s">
        <v>40</v>
      </c>
      <c r="F1463" s="3">
        <v>1993</v>
      </c>
      <c r="G1463" s="3" t="s">
        <v>110</v>
      </c>
      <c r="H1463" s="3" t="s">
        <v>137</v>
      </c>
      <c r="I1463" s="3" t="s">
        <v>138</v>
      </c>
      <c r="J1463" s="3" t="s">
        <v>139</v>
      </c>
      <c r="K1463" s="3" t="s">
        <v>45</v>
      </c>
      <c r="L1463" s="3" t="s">
        <v>46</v>
      </c>
      <c r="M1463" s="1" t="s">
        <v>115</v>
      </c>
      <c r="N1463" s="1" t="s">
        <v>116</v>
      </c>
      <c r="O1463" s="1">
        <v>1</v>
      </c>
      <c r="P1463" s="1">
        <v>1</v>
      </c>
      <c r="Q1463" s="1" t="s">
        <v>49</v>
      </c>
      <c r="R1463" s="1">
        <v>1</v>
      </c>
      <c r="S1463" s="1" t="s">
        <v>49</v>
      </c>
      <c r="T1463" s="1" t="s">
        <v>49</v>
      </c>
      <c r="U1463" s="1" t="s">
        <v>119</v>
      </c>
      <c r="V1463" s="1" t="s">
        <v>140</v>
      </c>
      <c r="W1463" s="1">
        <v>42.11</v>
      </c>
      <c r="X1463" s="1">
        <v>-75.91</v>
      </c>
      <c r="Y1463" s="3" t="s">
        <v>48</v>
      </c>
      <c r="Z1463" s="1" t="s">
        <v>49</v>
      </c>
      <c r="AA1463" s="6" t="s">
        <v>49</v>
      </c>
      <c r="AB1463" s="6" t="s">
        <v>49</v>
      </c>
      <c r="AC1463" s="6" t="s">
        <v>49</v>
      </c>
      <c r="AD1463" s="6" t="s">
        <v>126</v>
      </c>
      <c r="AE1463" s="1" t="s">
        <v>347</v>
      </c>
      <c r="AF1463" s="6" t="s">
        <v>49</v>
      </c>
      <c r="AG1463" s="6" t="s">
        <v>49</v>
      </c>
      <c r="AH1463" s="1" t="s">
        <v>123</v>
      </c>
      <c r="AI1463" s="1" t="s">
        <v>55</v>
      </c>
      <c r="AJ1463" s="20" t="s">
        <v>49</v>
      </c>
      <c r="AK1463" s="20" t="s">
        <v>49</v>
      </c>
      <c r="AL1463" s="20" t="s">
        <v>49</v>
      </c>
      <c r="AM1463" s="20" t="s">
        <v>49</v>
      </c>
      <c r="AN1463" s="1" t="s">
        <v>49</v>
      </c>
      <c r="AO1463" s="1" t="s">
        <v>49</v>
      </c>
      <c r="AP1463" s="6">
        <v>1</v>
      </c>
      <c r="AQ1463" s="6">
        <v>0.18</v>
      </c>
      <c r="AR1463" s="6" t="s">
        <v>49</v>
      </c>
      <c r="AS1463" s="6" t="s">
        <v>49</v>
      </c>
      <c r="AT1463" s="6" t="s">
        <v>49</v>
      </c>
      <c r="AU1463" s="6" t="s">
        <v>49</v>
      </c>
      <c r="AV1463" s="6" t="s">
        <v>49</v>
      </c>
      <c r="AW1463" s="9" t="s">
        <v>565</v>
      </c>
    </row>
    <row r="1464" spans="1:49">
      <c r="A1464" s="1">
        <v>6</v>
      </c>
      <c r="B1464" s="1" t="s">
        <v>38</v>
      </c>
      <c r="C1464" s="1" t="s">
        <v>38</v>
      </c>
      <c r="D1464" s="3" t="s">
        <v>606</v>
      </c>
      <c r="E1464" s="3" t="s">
        <v>40</v>
      </c>
      <c r="F1464" s="3">
        <v>1993</v>
      </c>
      <c r="G1464" s="3" t="s">
        <v>110</v>
      </c>
      <c r="H1464" s="3" t="s">
        <v>137</v>
      </c>
      <c r="I1464" s="3" t="s">
        <v>138</v>
      </c>
      <c r="J1464" s="3" t="s">
        <v>139</v>
      </c>
      <c r="K1464" s="3" t="s">
        <v>45</v>
      </c>
      <c r="L1464" s="3" t="s">
        <v>46</v>
      </c>
      <c r="M1464" s="1" t="s">
        <v>115</v>
      </c>
      <c r="N1464" s="1" t="s">
        <v>116</v>
      </c>
      <c r="O1464" s="1">
        <v>1</v>
      </c>
      <c r="P1464" s="1">
        <v>1</v>
      </c>
      <c r="Q1464" s="1" t="s">
        <v>49</v>
      </c>
      <c r="R1464" s="1">
        <v>1</v>
      </c>
      <c r="S1464" s="1" t="s">
        <v>49</v>
      </c>
      <c r="T1464" s="1" t="s">
        <v>49</v>
      </c>
      <c r="U1464" s="1" t="s">
        <v>119</v>
      </c>
      <c r="V1464" s="1" t="s">
        <v>140</v>
      </c>
      <c r="W1464" s="1">
        <v>42.11</v>
      </c>
      <c r="X1464" s="1">
        <v>-75.91</v>
      </c>
      <c r="Y1464" s="3" t="s">
        <v>48</v>
      </c>
      <c r="Z1464" s="1" t="s">
        <v>49</v>
      </c>
      <c r="AA1464" s="6" t="s">
        <v>49</v>
      </c>
      <c r="AB1464" s="6" t="s">
        <v>49</v>
      </c>
      <c r="AC1464" s="6" t="s">
        <v>49</v>
      </c>
      <c r="AD1464" s="6" t="s">
        <v>125</v>
      </c>
      <c r="AE1464" s="6" t="s">
        <v>62</v>
      </c>
      <c r="AF1464" s="6" t="s">
        <v>49</v>
      </c>
      <c r="AG1464" s="6" t="s">
        <v>49</v>
      </c>
      <c r="AH1464" s="1" t="s">
        <v>123</v>
      </c>
      <c r="AI1464" s="1" t="s">
        <v>55</v>
      </c>
      <c r="AJ1464" s="20" t="s">
        <v>49</v>
      </c>
      <c r="AK1464" s="20" t="s">
        <v>49</v>
      </c>
      <c r="AL1464" s="20" t="s">
        <v>49</v>
      </c>
      <c r="AM1464" s="20" t="s">
        <v>49</v>
      </c>
      <c r="AN1464" s="1" t="s">
        <v>49</v>
      </c>
      <c r="AO1464" s="1" t="s">
        <v>49</v>
      </c>
      <c r="AP1464" s="6">
        <v>1</v>
      </c>
      <c r="AQ1464" s="6">
        <v>0.23</v>
      </c>
      <c r="AR1464" s="6" t="s">
        <v>49</v>
      </c>
      <c r="AS1464" s="6" t="s">
        <v>49</v>
      </c>
      <c r="AT1464" s="6" t="s">
        <v>49</v>
      </c>
      <c r="AU1464" s="6" t="s">
        <v>49</v>
      </c>
      <c r="AV1464" s="6" t="s">
        <v>49</v>
      </c>
      <c r="AW1464" s="9" t="s">
        <v>565</v>
      </c>
    </row>
    <row r="1465" spans="1:49">
      <c r="A1465" s="1">
        <v>6</v>
      </c>
      <c r="B1465" s="1" t="s">
        <v>38</v>
      </c>
      <c r="C1465" s="1" t="s">
        <v>38</v>
      </c>
      <c r="D1465" s="3" t="s">
        <v>606</v>
      </c>
      <c r="E1465" s="3" t="s">
        <v>40</v>
      </c>
      <c r="F1465" s="3">
        <v>1993</v>
      </c>
      <c r="G1465" s="3" t="s">
        <v>110</v>
      </c>
      <c r="H1465" s="3" t="s">
        <v>137</v>
      </c>
      <c r="I1465" s="3" t="s">
        <v>138</v>
      </c>
      <c r="J1465" s="3" t="s">
        <v>139</v>
      </c>
      <c r="K1465" s="3" t="s">
        <v>45</v>
      </c>
      <c r="L1465" s="3" t="s">
        <v>46</v>
      </c>
      <c r="M1465" s="1" t="s">
        <v>115</v>
      </c>
      <c r="N1465" s="1" t="s">
        <v>116</v>
      </c>
      <c r="O1465" s="1">
        <v>1</v>
      </c>
      <c r="P1465" s="1">
        <v>1</v>
      </c>
      <c r="Q1465" s="1" t="s">
        <v>49</v>
      </c>
      <c r="R1465" s="1">
        <v>1</v>
      </c>
      <c r="S1465" s="1" t="s">
        <v>49</v>
      </c>
      <c r="T1465" s="1" t="s">
        <v>49</v>
      </c>
      <c r="U1465" s="1" t="s">
        <v>119</v>
      </c>
      <c r="V1465" s="1" t="s">
        <v>140</v>
      </c>
      <c r="W1465" s="1">
        <v>42.11</v>
      </c>
      <c r="X1465" s="1">
        <v>-75.91</v>
      </c>
      <c r="Y1465" s="3" t="s">
        <v>48</v>
      </c>
      <c r="Z1465" s="1" t="s">
        <v>49</v>
      </c>
      <c r="AA1465" s="6" t="s">
        <v>49</v>
      </c>
      <c r="AB1465" s="6" t="s">
        <v>49</v>
      </c>
      <c r="AC1465" s="6" t="s">
        <v>49</v>
      </c>
      <c r="AD1465" s="6" t="s">
        <v>125</v>
      </c>
      <c r="AE1465" s="6" t="s">
        <v>143</v>
      </c>
      <c r="AF1465" s="6" t="s">
        <v>49</v>
      </c>
      <c r="AG1465" s="6" t="s">
        <v>49</v>
      </c>
      <c r="AH1465" s="1" t="s">
        <v>123</v>
      </c>
      <c r="AI1465" s="1" t="s">
        <v>55</v>
      </c>
      <c r="AJ1465" s="20" t="s">
        <v>49</v>
      </c>
      <c r="AK1465" s="20" t="s">
        <v>49</v>
      </c>
      <c r="AL1465" s="20" t="s">
        <v>49</v>
      </c>
      <c r="AM1465" s="20" t="s">
        <v>49</v>
      </c>
      <c r="AN1465" s="1" t="s">
        <v>49</v>
      </c>
      <c r="AO1465" s="1" t="s">
        <v>49</v>
      </c>
      <c r="AP1465" s="6">
        <v>1</v>
      </c>
      <c r="AQ1465" s="6">
        <v>0.13</v>
      </c>
      <c r="AR1465" s="6" t="s">
        <v>49</v>
      </c>
      <c r="AS1465" s="6" t="s">
        <v>49</v>
      </c>
      <c r="AT1465" s="6" t="s">
        <v>49</v>
      </c>
      <c r="AU1465" s="6" t="s">
        <v>49</v>
      </c>
      <c r="AV1465" s="6" t="s">
        <v>49</v>
      </c>
      <c r="AW1465" s="9" t="s">
        <v>565</v>
      </c>
    </row>
    <row r="1466" spans="1:49">
      <c r="A1466" s="1">
        <v>6</v>
      </c>
      <c r="B1466" s="1" t="s">
        <v>38</v>
      </c>
      <c r="C1466" s="1" t="s">
        <v>38</v>
      </c>
      <c r="D1466" s="3" t="s">
        <v>606</v>
      </c>
      <c r="E1466" s="3" t="s">
        <v>40</v>
      </c>
      <c r="F1466" s="3">
        <v>1993</v>
      </c>
      <c r="G1466" s="3" t="s">
        <v>110</v>
      </c>
      <c r="H1466" s="3" t="s">
        <v>137</v>
      </c>
      <c r="I1466" s="3" t="s">
        <v>138</v>
      </c>
      <c r="J1466" s="3" t="s">
        <v>139</v>
      </c>
      <c r="K1466" s="3" t="s">
        <v>45</v>
      </c>
      <c r="L1466" s="3" t="s">
        <v>46</v>
      </c>
      <c r="M1466" s="1" t="s">
        <v>115</v>
      </c>
      <c r="N1466" s="1" t="s">
        <v>116</v>
      </c>
      <c r="O1466" s="1">
        <v>1</v>
      </c>
      <c r="P1466" s="1">
        <v>1</v>
      </c>
      <c r="Q1466" s="1" t="s">
        <v>49</v>
      </c>
      <c r="R1466" s="1">
        <v>1</v>
      </c>
      <c r="S1466" s="1" t="s">
        <v>49</v>
      </c>
      <c r="T1466" s="1" t="s">
        <v>49</v>
      </c>
      <c r="U1466" s="1" t="s">
        <v>119</v>
      </c>
      <c r="V1466" s="1" t="s">
        <v>140</v>
      </c>
      <c r="W1466" s="1">
        <v>42.11</v>
      </c>
      <c r="X1466" s="1">
        <v>-75.91</v>
      </c>
      <c r="Y1466" s="3" t="s">
        <v>48</v>
      </c>
      <c r="Z1466" s="1" t="s">
        <v>49</v>
      </c>
      <c r="AA1466" s="6" t="s">
        <v>49</v>
      </c>
      <c r="AB1466" s="6" t="s">
        <v>49</v>
      </c>
      <c r="AC1466" s="6" t="s">
        <v>49</v>
      </c>
      <c r="AD1466" s="6" t="s">
        <v>125</v>
      </c>
      <c r="AE1466" s="6" t="s">
        <v>142</v>
      </c>
      <c r="AF1466" s="6" t="s">
        <v>49</v>
      </c>
      <c r="AG1466" s="6" t="s">
        <v>49</v>
      </c>
      <c r="AH1466" s="1" t="s">
        <v>123</v>
      </c>
      <c r="AI1466" s="1" t="s">
        <v>55</v>
      </c>
      <c r="AJ1466" s="20" t="s">
        <v>49</v>
      </c>
      <c r="AK1466" s="20" t="s">
        <v>49</v>
      </c>
      <c r="AL1466" s="20" t="s">
        <v>49</v>
      </c>
      <c r="AM1466" s="20" t="s">
        <v>49</v>
      </c>
      <c r="AN1466" s="1" t="s">
        <v>49</v>
      </c>
      <c r="AO1466" s="1" t="s">
        <v>49</v>
      </c>
      <c r="AP1466" s="6">
        <v>1</v>
      </c>
      <c r="AQ1466" s="6">
        <v>0.17</v>
      </c>
      <c r="AR1466" s="6" t="s">
        <v>49</v>
      </c>
      <c r="AS1466" s="6" t="s">
        <v>49</v>
      </c>
      <c r="AT1466" s="6" t="s">
        <v>49</v>
      </c>
      <c r="AU1466" s="6" t="s">
        <v>49</v>
      </c>
      <c r="AV1466" s="6" t="s">
        <v>49</v>
      </c>
      <c r="AW1466" s="9" t="s">
        <v>565</v>
      </c>
    </row>
    <row r="1467" spans="1:49">
      <c r="A1467" s="1">
        <v>6</v>
      </c>
      <c r="B1467" s="1" t="s">
        <v>38</v>
      </c>
      <c r="C1467" s="1" t="s">
        <v>38</v>
      </c>
      <c r="D1467" s="3" t="s">
        <v>606</v>
      </c>
      <c r="E1467" s="3" t="s">
        <v>40</v>
      </c>
      <c r="F1467" s="3">
        <v>1993</v>
      </c>
      <c r="G1467" s="3" t="s">
        <v>110</v>
      </c>
      <c r="H1467" s="3" t="s">
        <v>137</v>
      </c>
      <c r="I1467" s="3" t="s">
        <v>138</v>
      </c>
      <c r="J1467" s="3" t="s">
        <v>139</v>
      </c>
      <c r="K1467" s="3" t="s">
        <v>45</v>
      </c>
      <c r="L1467" s="3" t="s">
        <v>46</v>
      </c>
      <c r="M1467" s="1" t="s">
        <v>115</v>
      </c>
      <c r="N1467" s="1" t="s">
        <v>116</v>
      </c>
      <c r="O1467" s="1">
        <v>1</v>
      </c>
      <c r="P1467" s="1">
        <v>1</v>
      </c>
      <c r="Q1467" s="1" t="s">
        <v>49</v>
      </c>
      <c r="R1467" s="1">
        <v>1</v>
      </c>
      <c r="S1467" s="1" t="s">
        <v>49</v>
      </c>
      <c r="T1467" s="1" t="s">
        <v>49</v>
      </c>
      <c r="U1467" s="1" t="s">
        <v>119</v>
      </c>
      <c r="V1467" s="1" t="s">
        <v>140</v>
      </c>
      <c r="W1467" s="1">
        <v>42.11</v>
      </c>
      <c r="X1467" s="1">
        <v>-75.91</v>
      </c>
      <c r="Y1467" s="3" t="s">
        <v>48</v>
      </c>
      <c r="Z1467" s="1" t="s">
        <v>49</v>
      </c>
      <c r="AA1467" s="6" t="s">
        <v>49</v>
      </c>
      <c r="AB1467" s="6" t="s">
        <v>49</v>
      </c>
      <c r="AC1467" s="6" t="s">
        <v>49</v>
      </c>
      <c r="AD1467" s="6" t="s">
        <v>125</v>
      </c>
      <c r="AE1467" s="6" t="s">
        <v>84</v>
      </c>
      <c r="AF1467" s="6" t="s">
        <v>49</v>
      </c>
      <c r="AG1467" s="6" t="s">
        <v>49</v>
      </c>
      <c r="AH1467" s="1" t="s">
        <v>123</v>
      </c>
      <c r="AI1467" s="1" t="s">
        <v>55</v>
      </c>
      <c r="AJ1467" s="20" t="s">
        <v>49</v>
      </c>
      <c r="AK1467" s="20" t="s">
        <v>49</v>
      </c>
      <c r="AL1467" s="20" t="s">
        <v>49</v>
      </c>
      <c r="AM1467" s="20" t="s">
        <v>49</v>
      </c>
      <c r="AN1467" s="1" t="s">
        <v>49</v>
      </c>
      <c r="AO1467" s="1" t="s">
        <v>49</v>
      </c>
      <c r="AP1467" s="6">
        <v>1</v>
      </c>
      <c r="AQ1467" s="6">
        <v>0.31</v>
      </c>
      <c r="AR1467" s="6" t="s">
        <v>49</v>
      </c>
      <c r="AS1467" s="6" t="s">
        <v>49</v>
      </c>
      <c r="AT1467" s="6" t="s">
        <v>49</v>
      </c>
      <c r="AU1467" s="6" t="s">
        <v>49</v>
      </c>
      <c r="AV1467" s="6" t="s">
        <v>49</v>
      </c>
      <c r="AW1467" s="9" t="s">
        <v>565</v>
      </c>
    </row>
    <row r="1468" spans="1:49">
      <c r="A1468" s="1">
        <v>6</v>
      </c>
      <c r="B1468" s="1" t="s">
        <v>38</v>
      </c>
      <c r="C1468" s="1" t="s">
        <v>38</v>
      </c>
      <c r="D1468" s="3" t="s">
        <v>606</v>
      </c>
      <c r="E1468" s="3" t="s">
        <v>40</v>
      </c>
      <c r="F1468" s="3">
        <v>1993</v>
      </c>
      <c r="G1468" s="3" t="s">
        <v>110</v>
      </c>
      <c r="H1468" s="3" t="s">
        <v>137</v>
      </c>
      <c r="I1468" s="3" t="s">
        <v>138</v>
      </c>
      <c r="J1468" s="3" t="s">
        <v>139</v>
      </c>
      <c r="K1468" s="3" t="s">
        <v>45</v>
      </c>
      <c r="L1468" s="3" t="s">
        <v>46</v>
      </c>
      <c r="M1468" s="1" t="s">
        <v>115</v>
      </c>
      <c r="N1468" s="1" t="s">
        <v>116</v>
      </c>
      <c r="O1468" s="1">
        <v>1</v>
      </c>
      <c r="P1468" s="1">
        <v>1</v>
      </c>
      <c r="Q1468" s="1" t="s">
        <v>49</v>
      </c>
      <c r="R1468" s="1">
        <v>1</v>
      </c>
      <c r="S1468" s="1" t="s">
        <v>49</v>
      </c>
      <c r="T1468" s="1" t="s">
        <v>49</v>
      </c>
      <c r="U1468" s="1" t="s">
        <v>119</v>
      </c>
      <c r="V1468" s="1" t="s">
        <v>140</v>
      </c>
      <c r="W1468" s="1">
        <v>42.11</v>
      </c>
      <c r="X1468" s="1">
        <v>-75.91</v>
      </c>
      <c r="Y1468" s="3" t="s">
        <v>48</v>
      </c>
      <c r="Z1468" s="1" t="s">
        <v>49</v>
      </c>
      <c r="AA1468" s="6" t="s">
        <v>49</v>
      </c>
      <c r="AB1468" s="6" t="s">
        <v>49</v>
      </c>
      <c r="AC1468" s="6" t="s">
        <v>49</v>
      </c>
      <c r="AD1468" s="6" t="s">
        <v>125</v>
      </c>
      <c r="AE1468" s="1" t="s">
        <v>240</v>
      </c>
      <c r="AF1468" s="6" t="s">
        <v>49</v>
      </c>
      <c r="AG1468" s="6" t="s">
        <v>49</v>
      </c>
      <c r="AH1468" s="1" t="s">
        <v>123</v>
      </c>
      <c r="AI1468" s="1" t="s">
        <v>55</v>
      </c>
      <c r="AJ1468" s="20" t="s">
        <v>49</v>
      </c>
      <c r="AK1468" s="20" t="s">
        <v>49</v>
      </c>
      <c r="AL1468" s="20" t="s">
        <v>49</v>
      </c>
      <c r="AM1468" s="20" t="s">
        <v>49</v>
      </c>
      <c r="AN1468" s="1" t="s">
        <v>49</v>
      </c>
      <c r="AO1468" s="1" t="s">
        <v>49</v>
      </c>
      <c r="AP1468" s="6">
        <v>1</v>
      </c>
      <c r="AQ1468" s="6">
        <v>0.15</v>
      </c>
      <c r="AR1468" s="6" t="s">
        <v>49</v>
      </c>
      <c r="AS1468" s="6" t="s">
        <v>49</v>
      </c>
      <c r="AT1468" s="6" t="s">
        <v>49</v>
      </c>
      <c r="AU1468" s="6" t="s">
        <v>49</v>
      </c>
      <c r="AV1468" s="6" t="s">
        <v>49</v>
      </c>
      <c r="AW1468" s="9" t="s">
        <v>565</v>
      </c>
    </row>
    <row r="1469" spans="1:49">
      <c r="A1469" s="1">
        <v>6</v>
      </c>
      <c r="B1469" s="1" t="s">
        <v>38</v>
      </c>
      <c r="C1469" s="1" t="s">
        <v>38</v>
      </c>
      <c r="D1469" s="3" t="s">
        <v>606</v>
      </c>
      <c r="E1469" s="3" t="s">
        <v>40</v>
      </c>
      <c r="F1469" s="3">
        <v>1993</v>
      </c>
      <c r="G1469" s="3" t="s">
        <v>110</v>
      </c>
      <c r="H1469" s="3" t="s">
        <v>137</v>
      </c>
      <c r="I1469" s="3" t="s">
        <v>138</v>
      </c>
      <c r="J1469" s="3" t="s">
        <v>139</v>
      </c>
      <c r="K1469" s="3" t="s">
        <v>45</v>
      </c>
      <c r="L1469" s="3" t="s">
        <v>46</v>
      </c>
      <c r="M1469" s="1" t="s">
        <v>115</v>
      </c>
      <c r="N1469" s="1" t="s">
        <v>116</v>
      </c>
      <c r="O1469" s="1">
        <v>1</v>
      </c>
      <c r="P1469" s="1">
        <v>1</v>
      </c>
      <c r="Q1469" s="1" t="s">
        <v>49</v>
      </c>
      <c r="R1469" s="1">
        <v>1</v>
      </c>
      <c r="S1469" s="1" t="s">
        <v>49</v>
      </c>
      <c r="T1469" s="1" t="s">
        <v>49</v>
      </c>
      <c r="U1469" s="1" t="s">
        <v>119</v>
      </c>
      <c r="V1469" s="1" t="s">
        <v>140</v>
      </c>
      <c r="W1469" s="1">
        <v>42.11</v>
      </c>
      <c r="X1469" s="1">
        <v>-75.91</v>
      </c>
      <c r="Y1469" s="3" t="s">
        <v>48</v>
      </c>
      <c r="Z1469" s="1" t="s">
        <v>49</v>
      </c>
      <c r="AA1469" s="6" t="s">
        <v>49</v>
      </c>
      <c r="AB1469" s="6" t="s">
        <v>49</v>
      </c>
      <c r="AC1469" s="6" t="s">
        <v>49</v>
      </c>
      <c r="AD1469" s="6" t="s">
        <v>125</v>
      </c>
      <c r="AE1469" s="1" t="s">
        <v>346</v>
      </c>
      <c r="AF1469" s="6" t="s">
        <v>49</v>
      </c>
      <c r="AG1469" s="6" t="s">
        <v>49</v>
      </c>
      <c r="AH1469" s="1" t="s">
        <v>123</v>
      </c>
      <c r="AI1469" s="1" t="s">
        <v>55</v>
      </c>
      <c r="AJ1469" s="20" t="s">
        <v>49</v>
      </c>
      <c r="AK1469" s="20" t="s">
        <v>49</v>
      </c>
      <c r="AL1469" s="20" t="s">
        <v>49</v>
      </c>
      <c r="AM1469" s="20" t="s">
        <v>49</v>
      </c>
      <c r="AN1469" s="1" t="s">
        <v>49</v>
      </c>
      <c r="AO1469" s="1" t="s">
        <v>49</v>
      </c>
      <c r="AP1469" s="6">
        <v>1</v>
      </c>
      <c r="AQ1469" s="6">
        <v>0.22</v>
      </c>
      <c r="AR1469" s="6" t="s">
        <v>49</v>
      </c>
      <c r="AS1469" s="6" t="s">
        <v>49</v>
      </c>
      <c r="AT1469" s="6" t="s">
        <v>49</v>
      </c>
      <c r="AU1469" s="6" t="s">
        <v>49</v>
      </c>
      <c r="AV1469" s="6" t="s">
        <v>49</v>
      </c>
      <c r="AW1469" s="9" t="s">
        <v>565</v>
      </c>
    </row>
    <row r="1470" spans="1:49">
      <c r="A1470" s="1">
        <v>6</v>
      </c>
      <c r="B1470" s="1" t="s">
        <v>38</v>
      </c>
      <c r="C1470" s="1" t="s">
        <v>38</v>
      </c>
      <c r="D1470" s="3" t="s">
        <v>606</v>
      </c>
      <c r="E1470" s="3" t="s">
        <v>40</v>
      </c>
      <c r="F1470" s="3">
        <v>1993</v>
      </c>
      <c r="G1470" s="3" t="s">
        <v>110</v>
      </c>
      <c r="H1470" s="3" t="s">
        <v>137</v>
      </c>
      <c r="I1470" s="3" t="s">
        <v>138</v>
      </c>
      <c r="J1470" s="3" t="s">
        <v>139</v>
      </c>
      <c r="K1470" s="3" t="s">
        <v>45</v>
      </c>
      <c r="L1470" s="3" t="s">
        <v>46</v>
      </c>
      <c r="M1470" s="1" t="s">
        <v>115</v>
      </c>
      <c r="N1470" s="1" t="s">
        <v>116</v>
      </c>
      <c r="O1470" s="1">
        <v>1</v>
      </c>
      <c r="P1470" s="1">
        <v>1</v>
      </c>
      <c r="Q1470" s="1" t="s">
        <v>49</v>
      </c>
      <c r="R1470" s="1">
        <v>1</v>
      </c>
      <c r="S1470" s="1" t="s">
        <v>49</v>
      </c>
      <c r="T1470" s="1" t="s">
        <v>49</v>
      </c>
      <c r="U1470" s="1" t="s">
        <v>119</v>
      </c>
      <c r="V1470" s="1" t="s">
        <v>140</v>
      </c>
      <c r="W1470" s="1">
        <v>42.11</v>
      </c>
      <c r="X1470" s="1">
        <v>-75.91</v>
      </c>
      <c r="Y1470" s="3" t="s">
        <v>48</v>
      </c>
      <c r="Z1470" s="1" t="s">
        <v>49</v>
      </c>
      <c r="AA1470" s="6" t="s">
        <v>49</v>
      </c>
      <c r="AB1470" s="6" t="s">
        <v>49</v>
      </c>
      <c r="AC1470" s="6" t="s">
        <v>49</v>
      </c>
      <c r="AD1470" s="6" t="s">
        <v>125</v>
      </c>
      <c r="AE1470" s="1" t="s">
        <v>608</v>
      </c>
      <c r="AF1470" s="6" t="s">
        <v>49</v>
      </c>
      <c r="AG1470" s="6" t="s">
        <v>49</v>
      </c>
      <c r="AH1470" s="1" t="s">
        <v>123</v>
      </c>
      <c r="AI1470" s="1" t="s">
        <v>55</v>
      </c>
      <c r="AJ1470" s="20" t="s">
        <v>49</v>
      </c>
      <c r="AK1470" s="20" t="s">
        <v>49</v>
      </c>
      <c r="AL1470" s="20" t="s">
        <v>49</v>
      </c>
      <c r="AM1470" s="20" t="s">
        <v>49</v>
      </c>
      <c r="AN1470" s="1" t="s">
        <v>49</v>
      </c>
      <c r="AO1470" s="1" t="s">
        <v>49</v>
      </c>
      <c r="AP1470" s="6">
        <v>1</v>
      </c>
      <c r="AQ1470" s="6">
        <v>-0.08</v>
      </c>
      <c r="AR1470" s="6" t="s">
        <v>49</v>
      </c>
      <c r="AS1470" s="6" t="s">
        <v>49</v>
      </c>
      <c r="AT1470" s="6" t="s">
        <v>49</v>
      </c>
      <c r="AU1470" s="6" t="s">
        <v>49</v>
      </c>
      <c r="AV1470" s="6" t="s">
        <v>49</v>
      </c>
      <c r="AW1470" s="9" t="s">
        <v>565</v>
      </c>
    </row>
    <row r="1471" spans="1:49">
      <c r="A1471" s="1">
        <v>6</v>
      </c>
      <c r="B1471" s="1" t="s">
        <v>38</v>
      </c>
      <c r="C1471" s="1" t="s">
        <v>38</v>
      </c>
      <c r="D1471" s="3" t="s">
        <v>606</v>
      </c>
      <c r="E1471" s="3" t="s">
        <v>40</v>
      </c>
      <c r="F1471" s="3">
        <v>1993</v>
      </c>
      <c r="G1471" s="3" t="s">
        <v>110</v>
      </c>
      <c r="H1471" s="3" t="s">
        <v>137</v>
      </c>
      <c r="I1471" s="3" t="s">
        <v>138</v>
      </c>
      <c r="J1471" s="3" t="s">
        <v>139</v>
      </c>
      <c r="K1471" s="3" t="s">
        <v>45</v>
      </c>
      <c r="L1471" s="3" t="s">
        <v>46</v>
      </c>
      <c r="M1471" s="1" t="s">
        <v>115</v>
      </c>
      <c r="N1471" s="1" t="s">
        <v>116</v>
      </c>
      <c r="O1471" s="1">
        <v>1</v>
      </c>
      <c r="P1471" s="1">
        <v>1</v>
      </c>
      <c r="Q1471" s="1" t="s">
        <v>49</v>
      </c>
      <c r="R1471" s="1">
        <v>1</v>
      </c>
      <c r="S1471" s="1" t="s">
        <v>49</v>
      </c>
      <c r="T1471" s="1" t="s">
        <v>49</v>
      </c>
      <c r="U1471" s="1" t="s">
        <v>119</v>
      </c>
      <c r="V1471" s="1" t="s">
        <v>140</v>
      </c>
      <c r="W1471" s="1">
        <v>42.11</v>
      </c>
      <c r="X1471" s="1">
        <v>-75.91</v>
      </c>
      <c r="Y1471" s="3" t="s">
        <v>48</v>
      </c>
      <c r="Z1471" s="1" t="s">
        <v>49</v>
      </c>
      <c r="AA1471" s="6" t="s">
        <v>49</v>
      </c>
      <c r="AB1471" s="6" t="s">
        <v>49</v>
      </c>
      <c r="AC1471" s="6" t="s">
        <v>49</v>
      </c>
      <c r="AD1471" s="6" t="s">
        <v>125</v>
      </c>
      <c r="AE1471" s="1" t="s">
        <v>347</v>
      </c>
      <c r="AF1471" s="6" t="s">
        <v>49</v>
      </c>
      <c r="AG1471" s="6" t="s">
        <v>49</v>
      </c>
      <c r="AH1471" s="1" t="s">
        <v>123</v>
      </c>
      <c r="AI1471" s="1" t="s">
        <v>55</v>
      </c>
      <c r="AJ1471" s="20" t="s">
        <v>49</v>
      </c>
      <c r="AK1471" s="20" t="s">
        <v>49</v>
      </c>
      <c r="AL1471" s="20" t="s">
        <v>49</v>
      </c>
      <c r="AM1471" s="20" t="s">
        <v>49</v>
      </c>
      <c r="AN1471" s="1" t="s">
        <v>49</v>
      </c>
      <c r="AO1471" s="1" t="s">
        <v>49</v>
      </c>
      <c r="AP1471" s="6">
        <v>1</v>
      </c>
      <c r="AQ1471" s="6">
        <v>0.21</v>
      </c>
      <c r="AR1471" s="6" t="s">
        <v>49</v>
      </c>
      <c r="AS1471" s="6" t="s">
        <v>49</v>
      </c>
      <c r="AT1471" s="6" t="s">
        <v>49</v>
      </c>
      <c r="AU1471" s="6" t="s">
        <v>49</v>
      </c>
      <c r="AV1471" s="6" t="s">
        <v>49</v>
      </c>
      <c r="AW1471" s="9" t="s">
        <v>565</v>
      </c>
    </row>
    <row r="1472" spans="1:49">
      <c r="A1472" s="1">
        <v>6</v>
      </c>
      <c r="B1472" s="1" t="s">
        <v>38</v>
      </c>
      <c r="C1472" s="1" t="s">
        <v>38</v>
      </c>
      <c r="D1472" s="3" t="s">
        <v>606</v>
      </c>
      <c r="E1472" s="3" t="s">
        <v>40</v>
      </c>
      <c r="F1472" s="3">
        <v>1993</v>
      </c>
      <c r="G1472" s="3" t="s">
        <v>110</v>
      </c>
      <c r="H1472" s="3" t="s">
        <v>137</v>
      </c>
      <c r="I1472" s="3" t="s">
        <v>138</v>
      </c>
      <c r="J1472" s="3" t="s">
        <v>139</v>
      </c>
      <c r="K1472" s="3" t="s">
        <v>45</v>
      </c>
      <c r="L1472" s="3" t="s">
        <v>46</v>
      </c>
      <c r="M1472" s="1" t="s">
        <v>115</v>
      </c>
      <c r="N1472" s="1" t="s">
        <v>116</v>
      </c>
      <c r="O1472" s="1">
        <v>1</v>
      </c>
      <c r="P1472" s="1">
        <v>1</v>
      </c>
      <c r="Q1472" s="1" t="s">
        <v>49</v>
      </c>
      <c r="R1472" s="1">
        <v>1</v>
      </c>
      <c r="S1472" s="1" t="s">
        <v>49</v>
      </c>
      <c r="T1472" s="1" t="s">
        <v>49</v>
      </c>
      <c r="U1472" s="1" t="s">
        <v>119</v>
      </c>
      <c r="V1472" s="1" t="s">
        <v>140</v>
      </c>
      <c r="W1472" s="1">
        <v>42.11</v>
      </c>
      <c r="X1472" s="1">
        <v>-75.91</v>
      </c>
      <c r="Y1472" s="3" t="s">
        <v>48</v>
      </c>
      <c r="Z1472" s="1" t="s">
        <v>49</v>
      </c>
      <c r="AA1472" s="6" t="s">
        <v>49</v>
      </c>
      <c r="AB1472" s="6" t="s">
        <v>49</v>
      </c>
      <c r="AC1472" s="6" t="s">
        <v>49</v>
      </c>
      <c r="AD1472" s="6" t="s">
        <v>62</v>
      </c>
      <c r="AE1472" s="6" t="s">
        <v>143</v>
      </c>
      <c r="AF1472" s="6" t="s">
        <v>49</v>
      </c>
      <c r="AG1472" s="6" t="s">
        <v>49</v>
      </c>
      <c r="AH1472" s="1" t="s">
        <v>123</v>
      </c>
      <c r="AI1472" s="1" t="s">
        <v>55</v>
      </c>
      <c r="AJ1472" s="20" t="s">
        <v>49</v>
      </c>
      <c r="AK1472" s="20" t="s">
        <v>49</v>
      </c>
      <c r="AL1472" s="20" t="s">
        <v>49</v>
      </c>
      <c r="AM1472" s="20" t="s">
        <v>49</v>
      </c>
      <c r="AN1472" s="1" t="s">
        <v>49</v>
      </c>
      <c r="AO1472" s="1" t="s">
        <v>49</v>
      </c>
      <c r="AP1472" s="6">
        <v>1</v>
      </c>
      <c r="AQ1472" s="6">
        <v>0.8</v>
      </c>
      <c r="AR1472" s="6" t="s">
        <v>49</v>
      </c>
      <c r="AS1472" s="6" t="s">
        <v>49</v>
      </c>
      <c r="AT1472" s="6" t="s">
        <v>49</v>
      </c>
      <c r="AU1472" s="6" t="s">
        <v>49</v>
      </c>
      <c r="AV1472" s="6" t="s">
        <v>49</v>
      </c>
      <c r="AW1472" s="9" t="s">
        <v>565</v>
      </c>
    </row>
    <row r="1473" spans="1:49">
      <c r="A1473" s="1">
        <v>6</v>
      </c>
      <c r="B1473" s="1" t="s">
        <v>38</v>
      </c>
      <c r="C1473" s="1" t="s">
        <v>38</v>
      </c>
      <c r="D1473" s="3" t="s">
        <v>606</v>
      </c>
      <c r="E1473" s="3" t="s">
        <v>40</v>
      </c>
      <c r="F1473" s="3">
        <v>1993</v>
      </c>
      <c r="G1473" s="3" t="s">
        <v>110</v>
      </c>
      <c r="H1473" s="3" t="s">
        <v>137</v>
      </c>
      <c r="I1473" s="3" t="s">
        <v>138</v>
      </c>
      <c r="J1473" s="3" t="s">
        <v>139</v>
      </c>
      <c r="K1473" s="3" t="s">
        <v>45</v>
      </c>
      <c r="L1473" s="3" t="s">
        <v>46</v>
      </c>
      <c r="M1473" s="1" t="s">
        <v>115</v>
      </c>
      <c r="N1473" s="1" t="s">
        <v>116</v>
      </c>
      <c r="O1473" s="1">
        <v>1</v>
      </c>
      <c r="P1473" s="1">
        <v>1</v>
      </c>
      <c r="Q1473" s="1" t="s">
        <v>49</v>
      </c>
      <c r="R1473" s="1">
        <v>1</v>
      </c>
      <c r="S1473" s="1" t="s">
        <v>49</v>
      </c>
      <c r="T1473" s="1" t="s">
        <v>49</v>
      </c>
      <c r="U1473" s="1" t="s">
        <v>119</v>
      </c>
      <c r="V1473" s="1" t="s">
        <v>140</v>
      </c>
      <c r="W1473" s="1">
        <v>42.11</v>
      </c>
      <c r="X1473" s="1">
        <v>-75.91</v>
      </c>
      <c r="Y1473" s="3" t="s">
        <v>48</v>
      </c>
      <c r="Z1473" s="1" t="s">
        <v>49</v>
      </c>
      <c r="AA1473" s="6" t="s">
        <v>49</v>
      </c>
      <c r="AB1473" s="6" t="s">
        <v>49</v>
      </c>
      <c r="AC1473" s="6" t="s">
        <v>49</v>
      </c>
      <c r="AD1473" s="6" t="s">
        <v>62</v>
      </c>
      <c r="AE1473" s="6" t="s">
        <v>142</v>
      </c>
      <c r="AF1473" s="6" t="s">
        <v>49</v>
      </c>
      <c r="AG1473" s="6" t="s">
        <v>49</v>
      </c>
      <c r="AH1473" s="1" t="s">
        <v>123</v>
      </c>
      <c r="AI1473" s="1" t="s">
        <v>55</v>
      </c>
      <c r="AJ1473" s="20" t="s">
        <v>49</v>
      </c>
      <c r="AK1473" s="20" t="s">
        <v>49</v>
      </c>
      <c r="AL1473" s="20" t="s">
        <v>49</v>
      </c>
      <c r="AM1473" s="20" t="s">
        <v>49</v>
      </c>
      <c r="AN1473" s="1" t="s">
        <v>49</v>
      </c>
      <c r="AO1473" s="1" t="s">
        <v>49</v>
      </c>
      <c r="AP1473" s="6">
        <v>1</v>
      </c>
      <c r="AQ1473" s="6">
        <v>0.85</v>
      </c>
      <c r="AR1473" s="6" t="s">
        <v>49</v>
      </c>
      <c r="AS1473" s="6" t="s">
        <v>49</v>
      </c>
      <c r="AT1473" s="6" t="s">
        <v>49</v>
      </c>
      <c r="AU1473" s="6" t="s">
        <v>49</v>
      </c>
      <c r="AV1473" s="6" t="s">
        <v>49</v>
      </c>
      <c r="AW1473" s="9" t="s">
        <v>565</v>
      </c>
    </row>
    <row r="1474" spans="1:49">
      <c r="A1474" s="1">
        <v>6</v>
      </c>
      <c r="B1474" s="1" t="s">
        <v>38</v>
      </c>
      <c r="C1474" s="1" t="s">
        <v>38</v>
      </c>
      <c r="D1474" s="3" t="s">
        <v>606</v>
      </c>
      <c r="E1474" s="3" t="s">
        <v>40</v>
      </c>
      <c r="F1474" s="3">
        <v>1993</v>
      </c>
      <c r="G1474" s="3" t="s">
        <v>110</v>
      </c>
      <c r="H1474" s="3" t="s">
        <v>137</v>
      </c>
      <c r="I1474" s="3" t="s">
        <v>138</v>
      </c>
      <c r="J1474" s="3" t="s">
        <v>139</v>
      </c>
      <c r="K1474" s="3" t="s">
        <v>45</v>
      </c>
      <c r="L1474" s="3" t="s">
        <v>46</v>
      </c>
      <c r="M1474" s="1" t="s">
        <v>115</v>
      </c>
      <c r="N1474" s="1" t="s">
        <v>116</v>
      </c>
      <c r="O1474" s="1">
        <v>1</v>
      </c>
      <c r="P1474" s="1">
        <v>1</v>
      </c>
      <c r="Q1474" s="1" t="s">
        <v>49</v>
      </c>
      <c r="R1474" s="1">
        <v>1</v>
      </c>
      <c r="S1474" s="1" t="s">
        <v>49</v>
      </c>
      <c r="T1474" s="1" t="s">
        <v>49</v>
      </c>
      <c r="U1474" s="1" t="s">
        <v>119</v>
      </c>
      <c r="V1474" s="1" t="s">
        <v>140</v>
      </c>
      <c r="W1474" s="1">
        <v>42.11</v>
      </c>
      <c r="X1474" s="1">
        <v>-75.91</v>
      </c>
      <c r="Y1474" s="3" t="s">
        <v>48</v>
      </c>
      <c r="Z1474" s="1" t="s">
        <v>49</v>
      </c>
      <c r="AA1474" s="6" t="s">
        <v>49</v>
      </c>
      <c r="AB1474" s="6" t="s">
        <v>49</v>
      </c>
      <c r="AC1474" s="6" t="s">
        <v>49</v>
      </c>
      <c r="AD1474" s="6" t="s">
        <v>62</v>
      </c>
      <c r="AE1474" s="6" t="s">
        <v>84</v>
      </c>
      <c r="AF1474" s="6" t="s">
        <v>49</v>
      </c>
      <c r="AG1474" s="6" t="s">
        <v>49</v>
      </c>
      <c r="AH1474" s="1" t="s">
        <v>123</v>
      </c>
      <c r="AI1474" s="1" t="s">
        <v>55</v>
      </c>
      <c r="AJ1474" s="20" t="s">
        <v>49</v>
      </c>
      <c r="AK1474" s="20" t="s">
        <v>49</v>
      </c>
      <c r="AL1474" s="20" t="s">
        <v>49</v>
      </c>
      <c r="AM1474" s="20" t="s">
        <v>49</v>
      </c>
      <c r="AN1474" s="1" t="s">
        <v>49</v>
      </c>
      <c r="AO1474" s="1" t="s">
        <v>49</v>
      </c>
      <c r="AP1474" s="6">
        <v>1</v>
      </c>
      <c r="AQ1474" s="6">
        <v>0.32</v>
      </c>
      <c r="AR1474" s="6" t="s">
        <v>49</v>
      </c>
      <c r="AS1474" s="6" t="s">
        <v>49</v>
      </c>
      <c r="AT1474" s="6" t="s">
        <v>49</v>
      </c>
      <c r="AU1474" s="6" t="s">
        <v>49</v>
      </c>
      <c r="AV1474" s="6" t="s">
        <v>49</v>
      </c>
      <c r="AW1474" s="9" t="s">
        <v>565</v>
      </c>
    </row>
    <row r="1475" spans="1:49">
      <c r="A1475" s="1">
        <v>6</v>
      </c>
      <c r="B1475" s="1" t="s">
        <v>38</v>
      </c>
      <c r="C1475" s="1" t="s">
        <v>38</v>
      </c>
      <c r="D1475" s="3" t="s">
        <v>606</v>
      </c>
      <c r="E1475" s="3" t="s">
        <v>40</v>
      </c>
      <c r="F1475" s="3">
        <v>1993</v>
      </c>
      <c r="G1475" s="3" t="s">
        <v>110</v>
      </c>
      <c r="H1475" s="3" t="s">
        <v>137</v>
      </c>
      <c r="I1475" s="3" t="s">
        <v>138</v>
      </c>
      <c r="J1475" s="3" t="s">
        <v>139</v>
      </c>
      <c r="K1475" s="3" t="s">
        <v>45</v>
      </c>
      <c r="L1475" s="3" t="s">
        <v>46</v>
      </c>
      <c r="M1475" s="1" t="s">
        <v>115</v>
      </c>
      <c r="N1475" s="1" t="s">
        <v>116</v>
      </c>
      <c r="O1475" s="1">
        <v>1</v>
      </c>
      <c r="P1475" s="1">
        <v>1</v>
      </c>
      <c r="Q1475" s="1" t="s">
        <v>49</v>
      </c>
      <c r="R1475" s="1">
        <v>1</v>
      </c>
      <c r="S1475" s="1" t="s">
        <v>49</v>
      </c>
      <c r="T1475" s="1" t="s">
        <v>49</v>
      </c>
      <c r="U1475" s="1" t="s">
        <v>119</v>
      </c>
      <c r="V1475" s="1" t="s">
        <v>140</v>
      </c>
      <c r="W1475" s="1">
        <v>42.11</v>
      </c>
      <c r="X1475" s="1">
        <v>-75.91</v>
      </c>
      <c r="Y1475" s="3" t="s">
        <v>48</v>
      </c>
      <c r="Z1475" s="1" t="s">
        <v>49</v>
      </c>
      <c r="AA1475" s="6" t="s">
        <v>49</v>
      </c>
      <c r="AB1475" s="6" t="s">
        <v>49</v>
      </c>
      <c r="AC1475" s="6" t="s">
        <v>49</v>
      </c>
      <c r="AD1475" s="6" t="s">
        <v>62</v>
      </c>
      <c r="AE1475" s="1" t="s">
        <v>240</v>
      </c>
      <c r="AF1475" s="6" t="s">
        <v>49</v>
      </c>
      <c r="AG1475" s="6" t="s">
        <v>49</v>
      </c>
      <c r="AH1475" s="1" t="s">
        <v>123</v>
      </c>
      <c r="AI1475" s="1" t="s">
        <v>55</v>
      </c>
      <c r="AJ1475" s="20" t="s">
        <v>49</v>
      </c>
      <c r="AK1475" s="20" t="s">
        <v>49</v>
      </c>
      <c r="AL1475" s="20" t="s">
        <v>49</v>
      </c>
      <c r="AM1475" s="20" t="s">
        <v>49</v>
      </c>
      <c r="AN1475" s="1" t="s">
        <v>49</v>
      </c>
      <c r="AO1475" s="1" t="s">
        <v>49</v>
      </c>
      <c r="AP1475" s="6">
        <v>1</v>
      </c>
      <c r="AQ1475" s="6">
        <v>0.03</v>
      </c>
      <c r="AR1475" s="6" t="s">
        <v>49</v>
      </c>
      <c r="AS1475" s="6" t="s">
        <v>49</v>
      </c>
      <c r="AT1475" s="6" t="s">
        <v>49</v>
      </c>
      <c r="AU1475" s="6" t="s">
        <v>49</v>
      </c>
      <c r="AV1475" s="6" t="s">
        <v>49</v>
      </c>
      <c r="AW1475" s="9" t="s">
        <v>565</v>
      </c>
    </row>
    <row r="1476" spans="1:49">
      <c r="A1476" s="1">
        <v>6</v>
      </c>
      <c r="B1476" s="1" t="s">
        <v>38</v>
      </c>
      <c r="C1476" s="1" t="s">
        <v>38</v>
      </c>
      <c r="D1476" s="3" t="s">
        <v>606</v>
      </c>
      <c r="E1476" s="3" t="s">
        <v>40</v>
      </c>
      <c r="F1476" s="3">
        <v>1993</v>
      </c>
      <c r="G1476" s="3" t="s">
        <v>110</v>
      </c>
      <c r="H1476" s="3" t="s">
        <v>137</v>
      </c>
      <c r="I1476" s="3" t="s">
        <v>138</v>
      </c>
      <c r="J1476" s="3" t="s">
        <v>139</v>
      </c>
      <c r="K1476" s="3" t="s">
        <v>45</v>
      </c>
      <c r="L1476" s="3" t="s">
        <v>46</v>
      </c>
      <c r="M1476" s="1" t="s">
        <v>115</v>
      </c>
      <c r="N1476" s="1" t="s">
        <v>116</v>
      </c>
      <c r="O1476" s="1">
        <v>1</v>
      </c>
      <c r="P1476" s="1">
        <v>1</v>
      </c>
      <c r="Q1476" s="1" t="s">
        <v>49</v>
      </c>
      <c r="R1476" s="1">
        <v>1</v>
      </c>
      <c r="S1476" s="1" t="s">
        <v>49</v>
      </c>
      <c r="T1476" s="1" t="s">
        <v>49</v>
      </c>
      <c r="U1476" s="1" t="s">
        <v>119</v>
      </c>
      <c r="V1476" s="1" t="s">
        <v>140</v>
      </c>
      <c r="W1476" s="1">
        <v>42.11</v>
      </c>
      <c r="X1476" s="1">
        <v>-75.91</v>
      </c>
      <c r="Y1476" s="3" t="s">
        <v>48</v>
      </c>
      <c r="Z1476" s="1" t="s">
        <v>49</v>
      </c>
      <c r="AA1476" s="6" t="s">
        <v>49</v>
      </c>
      <c r="AB1476" s="6" t="s">
        <v>49</v>
      </c>
      <c r="AC1476" s="6" t="s">
        <v>49</v>
      </c>
      <c r="AD1476" s="6" t="s">
        <v>62</v>
      </c>
      <c r="AE1476" s="1" t="s">
        <v>346</v>
      </c>
      <c r="AF1476" s="6" t="s">
        <v>49</v>
      </c>
      <c r="AG1476" s="6" t="s">
        <v>49</v>
      </c>
      <c r="AH1476" s="1" t="s">
        <v>123</v>
      </c>
      <c r="AI1476" s="1" t="s">
        <v>55</v>
      </c>
      <c r="AJ1476" s="20" t="s">
        <v>49</v>
      </c>
      <c r="AK1476" s="20" t="s">
        <v>49</v>
      </c>
      <c r="AL1476" s="20" t="s">
        <v>49</v>
      </c>
      <c r="AM1476" s="20" t="s">
        <v>49</v>
      </c>
      <c r="AN1476" s="1" t="s">
        <v>49</v>
      </c>
      <c r="AO1476" s="1" t="s">
        <v>49</v>
      </c>
      <c r="AP1476" s="6">
        <v>1</v>
      </c>
      <c r="AQ1476" s="6">
        <v>0.09</v>
      </c>
      <c r="AR1476" s="6" t="s">
        <v>49</v>
      </c>
      <c r="AS1476" s="6" t="s">
        <v>49</v>
      </c>
      <c r="AT1476" s="6" t="s">
        <v>49</v>
      </c>
      <c r="AU1476" s="6" t="s">
        <v>49</v>
      </c>
      <c r="AV1476" s="6" t="s">
        <v>49</v>
      </c>
      <c r="AW1476" s="9" t="s">
        <v>565</v>
      </c>
    </row>
    <row r="1477" spans="1:49">
      <c r="A1477" s="1">
        <v>6</v>
      </c>
      <c r="B1477" s="1" t="s">
        <v>38</v>
      </c>
      <c r="C1477" s="1" t="s">
        <v>38</v>
      </c>
      <c r="D1477" s="3" t="s">
        <v>606</v>
      </c>
      <c r="E1477" s="3" t="s">
        <v>40</v>
      </c>
      <c r="F1477" s="3">
        <v>1993</v>
      </c>
      <c r="G1477" s="3" t="s">
        <v>110</v>
      </c>
      <c r="H1477" s="3" t="s">
        <v>137</v>
      </c>
      <c r="I1477" s="3" t="s">
        <v>138</v>
      </c>
      <c r="J1477" s="3" t="s">
        <v>139</v>
      </c>
      <c r="K1477" s="3" t="s">
        <v>45</v>
      </c>
      <c r="L1477" s="3" t="s">
        <v>46</v>
      </c>
      <c r="M1477" s="1" t="s">
        <v>115</v>
      </c>
      <c r="N1477" s="1" t="s">
        <v>116</v>
      </c>
      <c r="O1477" s="1">
        <v>1</v>
      </c>
      <c r="P1477" s="1">
        <v>1</v>
      </c>
      <c r="Q1477" s="1" t="s">
        <v>49</v>
      </c>
      <c r="R1477" s="1">
        <v>1</v>
      </c>
      <c r="S1477" s="1" t="s">
        <v>49</v>
      </c>
      <c r="T1477" s="1" t="s">
        <v>49</v>
      </c>
      <c r="U1477" s="1" t="s">
        <v>119</v>
      </c>
      <c r="V1477" s="1" t="s">
        <v>140</v>
      </c>
      <c r="W1477" s="1">
        <v>42.11</v>
      </c>
      <c r="X1477" s="1">
        <v>-75.91</v>
      </c>
      <c r="Y1477" s="3" t="s">
        <v>48</v>
      </c>
      <c r="Z1477" s="1" t="s">
        <v>49</v>
      </c>
      <c r="AA1477" s="6" t="s">
        <v>49</v>
      </c>
      <c r="AB1477" s="6" t="s">
        <v>49</v>
      </c>
      <c r="AC1477" s="6" t="s">
        <v>49</v>
      </c>
      <c r="AD1477" s="6" t="s">
        <v>62</v>
      </c>
      <c r="AE1477" s="1" t="s">
        <v>608</v>
      </c>
      <c r="AF1477" s="6" t="s">
        <v>49</v>
      </c>
      <c r="AG1477" s="6" t="s">
        <v>49</v>
      </c>
      <c r="AH1477" s="1" t="s">
        <v>123</v>
      </c>
      <c r="AI1477" s="1" t="s">
        <v>55</v>
      </c>
      <c r="AJ1477" s="20" t="s">
        <v>49</v>
      </c>
      <c r="AK1477" s="20" t="s">
        <v>49</v>
      </c>
      <c r="AL1477" s="20" t="s">
        <v>49</v>
      </c>
      <c r="AM1477" s="20" t="s">
        <v>49</v>
      </c>
      <c r="AN1477" s="1" t="s">
        <v>49</v>
      </c>
      <c r="AO1477" s="1" t="s">
        <v>49</v>
      </c>
      <c r="AP1477" s="6">
        <v>1</v>
      </c>
      <c r="AQ1477" s="6">
        <v>-0.17</v>
      </c>
      <c r="AR1477" s="6" t="s">
        <v>49</v>
      </c>
      <c r="AS1477" s="6" t="s">
        <v>49</v>
      </c>
      <c r="AT1477" s="6" t="s">
        <v>49</v>
      </c>
      <c r="AU1477" s="6" t="s">
        <v>49</v>
      </c>
      <c r="AV1477" s="6" t="s">
        <v>49</v>
      </c>
      <c r="AW1477" s="9" t="s">
        <v>565</v>
      </c>
    </row>
    <row r="1478" spans="1:49">
      <c r="A1478" s="1">
        <v>6</v>
      </c>
      <c r="B1478" s="1" t="s">
        <v>38</v>
      </c>
      <c r="C1478" s="1" t="s">
        <v>38</v>
      </c>
      <c r="D1478" s="3" t="s">
        <v>606</v>
      </c>
      <c r="E1478" s="3" t="s">
        <v>40</v>
      </c>
      <c r="F1478" s="3">
        <v>1993</v>
      </c>
      <c r="G1478" s="3" t="s">
        <v>110</v>
      </c>
      <c r="H1478" s="3" t="s">
        <v>137</v>
      </c>
      <c r="I1478" s="3" t="s">
        <v>138</v>
      </c>
      <c r="J1478" s="3" t="s">
        <v>139</v>
      </c>
      <c r="K1478" s="3" t="s">
        <v>45</v>
      </c>
      <c r="L1478" s="3" t="s">
        <v>46</v>
      </c>
      <c r="M1478" s="1" t="s">
        <v>115</v>
      </c>
      <c r="N1478" s="1" t="s">
        <v>116</v>
      </c>
      <c r="O1478" s="1">
        <v>1</v>
      </c>
      <c r="P1478" s="1">
        <v>1</v>
      </c>
      <c r="Q1478" s="1" t="s">
        <v>49</v>
      </c>
      <c r="R1478" s="1">
        <v>1</v>
      </c>
      <c r="S1478" s="1" t="s">
        <v>49</v>
      </c>
      <c r="T1478" s="1" t="s">
        <v>49</v>
      </c>
      <c r="U1478" s="1" t="s">
        <v>119</v>
      </c>
      <c r="V1478" s="1" t="s">
        <v>140</v>
      </c>
      <c r="W1478" s="1">
        <v>42.11</v>
      </c>
      <c r="X1478" s="1">
        <v>-75.91</v>
      </c>
      <c r="Y1478" s="3" t="s">
        <v>48</v>
      </c>
      <c r="Z1478" s="1" t="s">
        <v>49</v>
      </c>
      <c r="AA1478" s="6" t="s">
        <v>49</v>
      </c>
      <c r="AB1478" s="6" t="s">
        <v>49</v>
      </c>
      <c r="AC1478" s="6" t="s">
        <v>49</v>
      </c>
      <c r="AD1478" s="6" t="s">
        <v>62</v>
      </c>
      <c r="AE1478" s="1" t="s">
        <v>347</v>
      </c>
      <c r="AF1478" s="6" t="s">
        <v>49</v>
      </c>
      <c r="AG1478" s="6" t="s">
        <v>49</v>
      </c>
      <c r="AH1478" s="1" t="s">
        <v>123</v>
      </c>
      <c r="AI1478" s="1" t="s">
        <v>55</v>
      </c>
      <c r="AJ1478" s="20" t="s">
        <v>49</v>
      </c>
      <c r="AK1478" s="20" t="s">
        <v>49</v>
      </c>
      <c r="AL1478" s="20" t="s">
        <v>49</v>
      </c>
      <c r="AM1478" s="20" t="s">
        <v>49</v>
      </c>
      <c r="AN1478" s="1" t="s">
        <v>49</v>
      </c>
      <c r="AO1478" s="1" t="s">
        <v>49</v>
      </c>
      <c r="AP1478" s="6">
        <v>1</v>
      </c>
      <c r="AQ1478" s="6">
        <v>-0.46</v>
      </c>
      <c r="AR1478" s="6" t="s">
        <v>49</v>
      </c>
      <c r="AS1478" s="6" t="s">
        <v>49</v>
      </c>
      <c r="AT1478" s="6" t="s">
        <v>49</v>
      </c>
      <c r="AU1478" s="6" t="s">
        <v>49</v>
      </c>
      <c r="AV1478" s="6" t="s">
        <v>49</v>
      </c>
      <c r="AW1478" s="9" t="s">
        <v>565</v>
      </c>
    </row>
    <row r="1479" spans="1:49">
      <c r="A1479" s="1">
        <v>6</v>
      </c>
      <c r="B1479" s="1" t="s">
        <v>38</v>
      </c>
      <c r="C1479" s="1" t="s">
        <v>38</v>
      </c>
      <c r="D1479" s="3" t="s">
        <v>606</v>
      </c>
      <c r="E1479" s="3" t="s">
        <v>40</v>
      </c>
      <c r="F1479" s="3">
        <v>1993</v>
      </c>
      <c r="G1479" s="3" t="s">
        <v>110</v>
      </c>
      <c r="H1479" s="3" t="s">
        <v>137</v>
      </c>
      <c r="I1479" s="3" t="s">
        <v>138</v>
      </c>
      <c r="J1479" s="3" t="s">
        <v>139</v>
      </c>
      <c r="K1479" s="3" t="s">
        <v>45</v>
      </c>
      <c r="L1479" s="3" t="s">
        <v>46</v>
      </c>
      <c r="M1479" s="1" t="s">
        <v>115</v>
      </c>
      <c r="N1479" s="1" t="s">
        <v>116</v>
      </c>
      <c r="O1479" s="1">
        <v>1</v>
      </c>
      <c r="P1479" s="1">
        <v>1</v>
      </c>
      <c r="Q1479" s="1" t="s">
        <v>49</v>
      </c>
      <c r="R1479" s="1">
        <v>1</v>
      </c>
      <c r="S1479" s="1" t="s">
        <v>49</v>
      </c>
      <c r="T1479" s="1" t="s">
        <v>49</v>
      </c>
      <c r="U1479" s="1" t="s">
        <v>119</v>
      </c>
      <c r="V1479" s="1" t="s">
        <v>140</v>
      </c>
      <c r="W1479" s="1">
        <v>42.11</v>
      </c>
      <c r="X1479" s="1">
        <v>-75.91</v>
      </c>
      <c r="Y1479" s="3" t="s">
        <v>48</v>
      </c>
      <c r="Z1479" s="1" t="s">
        <v>49</v>
      </c>
      <c r="AA1479" s="6" t="s">
        <v>49</v>
      </c>
      <c r="AB1479" s="6" t="s">
        <v>49</v>
      </c>
      <c r="AC1479" s="6" t="s">
        <v>49</v>
      </c>
      <c r="AD1479" s="6" t="s">
        <v>143</v>
      </c>
      <c r="AE1479" s="6" t="s">
        <v>142</v>
      </c>
      <c r="AF1479" s="6" t="s">
        <v>49</v>
      </c>
      <c r="AG1479" s="6" t="s">
        <v>49</v>
      </c>
      <c r="AH1479" s="1" t="s">
        <v>123</v>
      </c>
      <c r="AI1479" s="1" t="s">
        <v>55</v>
      </c>
      <c r="AJ1479" s="20" t="s">
        <v>49</v>
      </c>
      <c r="AK1479" s="20" t="s">
        <v>49</v>
      </c>
      <c r="AL1479" s="20" t="s">
        <v>49</v>
      </c>
      <c r="AM1479" s="20" t="s">
        <v>49</v>
      </c>
      <c r="AN1479" s="1" t="s">
        <v>49</v>
      </c>
      <c r="AO1479" s="1" t="s">
        <v>49</v>
      </c>
      <c r="AP1479" s="6">
        <v>1</v>
      </c>
      <c r="AQ1479" s="6">
        <v>0.91</v>
      </c>
      <c r="AR1479" s="6" t="s">
        <v>49</v>
      </c>
      <c r="AS1479" s="6" t="s">
        <v>49</v>
      </c>
      <c r="AT1479" s="6" t="s">
        <v>49</v>
      </c>
      <c r="AU1479" s="6" t="s">
        <v>49</v>
      </c>
      <c r="AV1479" s="6" t="s">
        <v>49</v>
      </c>
      <c r="AW1479" s="9" t="s">
        <v>565</v>
      </c>
    </row>
    <row r="1480" spans="1:49">
      <c r="A1480" s="1">
        <v>6</v>
      </c>
      <c r="B1480" s="1" t="s">
        <v>38</v>
      </c>
      <c r="C1480" s="1" t="s">
        <v>38</v>
      </c>
      <c r="D1480" s="3" t="s">
        <v>606</v>
      </c>
      <c r="E1480" s="3" t="s">
        <v>40</v>
      </c>
      <c r="F1480" s="3">
        <v>1993</v>
      </c>
      <c r="G1480" s="3" t="s">
        <v>110</v>
      </c>
      <c r="H1480" s="3" t="s">
        <v>137</v>
      </c>
      <c r="I1480" s="3" t="s">
        <v>138</v>
      </c>
      <c r="J1480" s="3" t="s">
        <v>139</v>
      </c>
      <c r="K1480" s="3" t="s">
        <v>45</v>
      </c>
      <c r="L1480" s="3" t="s">
        <v>46</v>
      </c>
      <c r="M1480" s="1" t="s">
        <v>115</v>
      </c>
      <c r="N1480" s="1" t="s">
        <v>116</v>
      </c>
      <c r="O1480" s="1">
        <v>1</v>
      </c>
      <c r="P1480" s="1">
        <v>1</v>
      </c>
      <c r="Q1480" s="1" t="s">
        <v>49</v>
      </c>
      <c r="R1480" s="1">
        <v>1</v>
      </c>
      <c r="S1480" s="1" t="s">
        <v>49</v>
      </c>
      <c r="T1480" s="1" t="s">
        <v>49</v>
      </c>
      <c r="U1480" s="1" t="s">
        <v>119</v>
      </c>
      <c r="V1480" s="1" t="s">
        <v>140</v>
      </c>
      <c r="W1480" s="1">
        <v>42.11</v>
      </c>
      <c r="X1480" s="1">
        <v>-75.91</v>
      </c>
      <c r="Y1480" s="3" t="s">
        <v>48</v>
      </c>
      <c r="Z1480" s="1" t="s">
        <v>49</v>
      </c>
      <c r="AA1480" s="6" t="s">
        <v>49</v>
      </c>
      <c r="AB1480" s="6" t="s">
        <v>49</v>
      </c>
      <c r="AC1480" s="6" t="s">
        <v>49</v>
      </c>
      <c r="AD1480" s="6" t="s">
        <v>143</v>
      </c>
      <c r="AE1480" s="6" t="s">
        <v>84</v>
      </c>
      <c r="AF1480" s="6" t="s">
        <v>49</v>
      </c>
      <c r="AG1480" s="6" t="s">
        <v>49</v>
      </c>
      <c r="AH1480" s="1" t="s">
        <v>123</v>
      </c>
      <c r="AI1480" s="1" t="s">
        <v>55</v>
      </c>
      <c r="AJ1480" s="20" t="s">
        <v>49</v>
      </c>
      <c r="AK1480" s="20" t="s">
        <v>49</v>
      </c>
      <c r="AL1480" s="20" t="s">
        <v>49</v>
      </c>
      <c r="AM1480" s="20" t="s">
        <v>49</v>
      </c>
      <c r="AN1480" s="1" t="s">
        <v>49</v>
      </c>
      <c r="AO1480" s="1" t="s">
        <v>49</v>
      </c>
      <c r="AP1480" s="6">
        <v>1</v>
      </c>
      <c r="AQ1480" s="6">
        <v>0.26</v>
      </c>
      <c r="AR1480" s="6" t="s">
        <v>49</v>
      </c>
      <c r="AS1480" s="6" t="s">
        <v>49</v>
      </c>
      <c r="AT1480" s="6" t="s">
        <v>49</v>
      </c>
      <c r="AU1480" s="6" t="s">
        <v>49</v>
      </c>
      <c r="AV1480" s="6" t="s">
        <v>49</v>
      </c>
      <c r="AW1480" s="9" t="s">
        <v>565</v>
      </c>
    </row>
    <row r="1481" spans="1:49">
      <c r="A1481" s="1">
        <v>6</v>
      </c>
      <c r="B1481" s="1" t="s">
        <v>38</v>
      </c>
      <c r="C1481" s="1" t="s">
        <v>38</v>
      </c>
      <c r="D1481" s="3" t="s">
        <v>606</v>
      </c>
      <c r="E1481" s="3" t="s">
        <v>40</v>
      </c>
      <c r="F1481" s="3">
        <v>1993</v>
      </c>
      <c r="G1481" s="3" t="s">
        <v>110</v>
      </c>
      <c r="H1481" s="3" t="s">
        <v>137</v>
      </c>
      <c r="I1481" s="3" t="s">
        <v>138</v>
      </c>
      <c r="J1481" s="3" t="s">
        <v>139</v>
      </c>
      <c r="K1481" s="3" t="s">
        <v>45</v>
      </c>
      <c r="L1481" s="3" t="s">
        <v>46</v>
      </c>
      <c r="M1481" s="1" t="s">
        <v>115</v>
      </c>
      <c r="N1481" s="1" t="s">
        <v>116</v>
      </c>
      <c r="O1481" s="1">
        <v>1</v>
      </c>
      <c r="P1481" s="1">
        <v>1</v>
      </c>
      <c r="Q1481" s="1" t="s">
        <v>49</v>
      </c>
      <c r="R1481" s="1">
        <v>1</v>
      </c>
      <c r="S1481" s="1" t="s">
        <v>49</v>
      </c>
      <c r="T1481" s="1" t="s">
        <v>49</v>
      </c>
      <c r="U1481" s="1" t="s">
        <v>119</v>
      </c>
      <c r="V1481" s="1" t="s">
        <v>140</v>
      </c>
      <c r="W1481" s="1">
        <v>42.11</v>
      </c>
      <c r="X1481" s="1">
        <v>-75.91</v>
      </c>
      <c r="Y1481" s="3" t="s">
        <v>48</v>
      </c>
      <c r="Z1481" s="1" t="s">
        <v>49</v>
      </c>
      <c r="AA1481" s="6" t="s">
        <v>49</v>
      </c>
      <c r="AB1481" s="6" t="s">
        <v>49</v>
      </c>
      <c r="AC1481" s="6" t="s">
        <v>49</v>
      </c>
      <c r="AD1481" s="6" t="s">
        <v>143</v>
      </c>
      <c r="AE1481" s="1" t="s">
        <v>240</v>
      </c>
      <c r="AF1481" s="6" t="s">
        <v>49</v>
      </c>
      <c r="AG1481" s="6" t="s">
        <v>49</v>
      </c>
      <c r="AH1481" s="1" t="s">
        <v>123</v>
      </c>
      <c r="AI1481" s="1" t="s">
        <v>55</v>
      </c>
      <c r="AJ1481" s="20" t="s">
        <v>49</v>
      </c>
      <c r="AK1481" s="20" t="s">
        <v>49</v>
      </c>
      <c r="AL1481" s="20" t="s">
        <v>49</v>
      </c>
      <c r="AM1481" s="20" t="s">
        <v>49</v>
      </c>
      <c r="AN1481" s="1" t="s">
        <v>49</v>
      </c>
      <c r="AO1481" s="1" t="s">
        <v>49</v>
      </c>
      <c r="AP1481" s="6">
        <v>1</v>
      </c>
      <c r="AQ1481" s="6">
        <v>0.16</v>
      </c>
      <c r="AR1481" s="6" t="s">
        <v>49</v>
      </c>
      <c r="AS1481" s="6" t="s">
        <v>49</v>
      </c>
      <c r="AT1481" s="6" t="s">
        <v>49</v>
      </c>
      <c r="AU1481" s="6" t="s">
        <v>49</v>
      </c>
      <c r="AV1481" s="6" t="s">
        <v>49</v>
      </c>
      <c r="AW1481" s="9" t="s">
        <v>565</v>
      </c>
    </row>
    <row r="1482" spans="1:49">
      <c r="A1482" s="1">
        <v>6</v>
      </c>
      <c r="B1482" s="1" t="s">
        <v>38</v>
      </c>
      <c r="C1482" s="1" t="s">
        <v>38</v>
      </c>
      <c r="D1482" s="3" t="s">
        <v>606</v>
      </c>
      <c r="E1482" s="3" t="s">
        <v>40</v>
      </c>
      <c r="F1482" s="3">
        <v>1993</v>
      </c>
      <c r="G1482" s="3" t="s">
        <v>110</v>
      </c>
      <c r="H1482" s="3" t="s">
        <v>137</v>
      </c>
      <c r="I1482" s="3" t="s">
        <v>138</v>
      </c>
      <c r="J1482" s="3" t="s">
        <v>139</v>
      </c>
      <c r="K1482" s="3" t="s">
        <v>45</v>
      </c>
      <c r="L1482" s="3" t="s">
        <v>46</v>
      </c>
      <c r="M1482" s="1" t="s">
        <v>115</v>
      </c>
      <c r="N1482" s="1" t="s">
        <v>116</v>
      </c>
      <c r="O1482" s="1">
        <v>1</v>
      </c>
      <c r="P1482" s="1">
        <v>1</v>
      </c>
      <c r="Q1482" s="1" t="s">
        <v>49</v>
      </c>
      <c r="R1482" s="1">
        <v>1</v>
      </c>
      <c r="S1482" s="1" t="s">
        <v>49</v>
      </c>
      <c r="T1482" s="1" t="s">
        <v>49</v>
      </c>
      <c r="U1482" s="1" t="s">
        <v>119</v>
      </c>
      <c r="V1482" s="1" t="s">
        <v>140</v>
      </c>
      <c r="W1482" s="1">
        <v>42.11</v>
      </c>
      <c r="X1482" s="1">
        <v>-75.91</v>
      </c>
      <c r="Y1482" s="3" t="s">
        <v>48</v>
      </c>
      <c r="Z1482" s="1" t="s">
        <v>49</v>
      </c>
      <c r="AA1482" s="6" t="s">
        <v>49</v>
      </c>
      <c r="AB1482" s="6" t="s">
        <v>49</v>
      </c>
      <c r="AC1482" s="6" t="s">
        <v>49</v>
      </c>
      <c r="AD1482" s="6" t="s">
        <v>143</v>
      </c>
      <c r="AE1482" s="1" t="s">
        <v>346</v>
      </c>
      <c r="AF1482" s="6" t="s">
        <v>49</v>
      </c>
      <c r="AG1482" s="6" t="s">
        <v>49</v>
      </c>
      <c r="AH1482" s="1" t="s">
        <v>123</v>
      </c>
      <c r="AI1482" s="1" t="s">
        <v>55</v>
      </c>
      <c r="AJ1482" s="20" t="s">
        <v>49</v>
      </c>
      <c r="AK1482" s="20" t="s">
        <v>49</v>
      </c>
      <c r="AL1482" s="20" t="s">
        <v>49</v>
      </c>
      <c r="AM1482" s="20" t="s">
        <v>49</v>
      </c>
      <c r="AN1482" s="1" t="s">
        <v>49</v>
      </c>
      <c r="AO1482" s="1" t="s">
        <v>49</v>
      </c>
      <c r="AP1482" s="6">
        <v>1</v>
      </c>
      <c r="AQ1482" s="6">
        <v>0.16</v>
      </c>
      <c r="AR1482" s="6" t="s">
        <v>49</v>
      </c>
      <c r="AS1482" s="6" t="s">
        <v>49</v>
      </c>
      <c r="AT1482" s="6" t="s">
        <v>49</v>
      </c>
      <c r="AU1482" s="6" t="s">
        <v>49</v>
      </c>
      <c r="AV1482" s="6" t="s">
        <v>49</v>
      </c>
      <c r="AW1482" s="9" t="s">
        <v>565</v>
      </c>
    </row>
    <row r="1483" spans="1:49">
      <c r="A1483" s="1">
        <v>6</v>
      </c>
      <c r="B1483" s="1" t="s">
        <v>38</v>
      </c>
      <c r="C1483" s="1" t="s">
        <v>38</v>
      </c>
      <c r="D1483" s="3" t="s">
        <v>606</v>
      </c>
      <c r="E1483" s="3" t="s">
        <v>40</v>
      </c>
      <c r="F1483" s="3">
        <v>1993</v>
      </c>
      <c r="G1483" s="3" t="s">
        <v>110</v>
      </c>
      <c r="H1483" s="3" t="s">
        <v>137</v>
      </c>
      <c r="I1483" s="3" t="s">
        <v>138</v>
      </c>
      <c r="J1483" s="3" t="s">
        <v>139</v>
      </c>
      <c r="K1483" s="3" t="s">
        <v>45</v>
      </c>
      <c r="L1483" s="3" t="s">
        <v>46</v>
      </c>
      <c r="M1483" s="1" t="s">
        <v>115</v>
      </c>
      <c r="N1483" s="1" t="s">
        <v>116</v>
      </c>
      <c r="O1483" s="1">
        <v>1</v>
      </c>
      <c r="P1483" s="1">
        <v>1</v>
      </c>
      <c r="Q1483" s="1" t="s">
        <v>49</v>
      </c>
      <c r="R1483" s="1">
        <v>1</v>
      </c>
      <c r="S1483" s="1" t="s">
        <v>49</v>
      </c>
      <c r="T1483" s="1" t="s">
        <v>49</v>
      </c>
      <c r="U1483" s="1" t="s">
        <v>119</v>
      </c>
      <c r="V1483" s="1" t="s">
        <v>140</v>
      </c>
      <c r="W1483" s="1">
        <v>42.11</v>
      </c>
      <c r="X1483" s="1">
        <v>-75.91</v>
      </c>
      <c r="Y1483" s="3" t="s">
        <v>48</v>
      </c>
      <c r="Z1483" s="1" t="s">
        <v>49</v>
      </c>
      <c r="AA1483" s="6" t="s">
        <v>49</v>
      </c>
      <c r="AB1483" s="6" t="s">
        <v>49</v>
      </c>
      <c r="AC1483" s="6" t="s">
        <v>49</v>
      </c>
      <c r="AD1483" s="6" t="s">
        <v>143</v>
      </c>
      <c r="AE1483" s="1" t="s">
        <v>608</v>
      </c>
      <c r="AF1483" s="6" t="s">
        <v>49</v>
      </c>
      <c r="AG1483" s="6" t="s">
        <v>49</v>
      </c>
      <c r="AH1483" s="1" t="s">
        <v>123</v>
      </c>
      <c r="AI1483" s="1" t="s">
        <v>55</v>
      </c>
      <c r="AJ1483" s="20" t="s">
        <v>49</v>
      </c>
      <c r="AK1483" s="20" t="s">
        <v>49</v>
      </c>
      <c r="AL1483" s="20" t="s">
        <v>49</v>
      </c>
      <c r="AM1483" s="20" t="s">
        <v>49</v>
      </c>
      <c r="AN1483" s="1" t="s">
        <v>49</v>
      </c>
      <c r="AO1483" s="1" t="s">
        <v>49</v>
      </c>
      <c r="AP1483" s="6">
        <v>1</v>
      </c>
      <c r="AQ1483" s="6">
        <v>-0.22</v>
      </c>
      <c r="AR1483" s="6" t="s">
        <v>49</v>
      </c>
      <c r="AS1483" s="6" t="s">
        <v>49</v>
      </c>
      <c r="AT1483" s="6" t="s">
        <v>49</v>
      </c>
      <c r="AU1483" s="6" t="s">
        <v>49</v>
      </c>
      <c r="AV1483" s="6" t="s">
        <v>49</v>
      </c>
      <c r="AW1483" s="9" t="s">
        <v>565</v>
      </c>
    </row>
    <row r="1484" spans="1:49">
      <c r="A1484" s="1">
        <v>6</v>
      </c>
      <c r="B1484" s="1" t="s">
        <v>38</v>
      </c>
      <c r="C1484" s="1" t="s">
        <v>38</v>
      </c>
      <c r="D1484" s="3" t="s">
        <v>606</v>
      </c>
      <c r="E1484" s="3" t="s">
        <v>40</v>
      </c>
      <c r="F1484" s="3">
        <v>1993</v>
      </c>
      <c r="G1484" s="3" t="s">
        <v>110</v>
      </c>
      <c r="H1484" s="3" t="s">
        <v>137</v>
      </c>
      <c r="I1484" s="3" t="s">
        <v>138</v>
      </c>
      <c r="J1484" s="3" t="s">
        <v>139</v>
      </c>
      <c r="K1484" s="3" t="s">
        <v>45</v>
      </c>
      <c r="L1484" s="3" t="s">
        <v>46</v>
      </c>
      <c r="M1484" s="1" t="s">
        <v>115</v>
      </c>
      <c r="N1484" s="1" t="s">
        <v>116</v>
      </c>
      <c r="O1484" s="1">
        <v>1</v>
      </c>
      <c r="P1484" s="1">
        <v>1</v>
      </c>
      <c r="Q1484" s="1" t="s">
        <v>49</v>
      </c>
      <c r="R1484" s="1">
        <v>1</v>
      </c>
      <c r="S1484" s="1" t="s">
        <v>49</v>
      </c>
      <c r="T1484" s="1" t="s">
        <v>49</v>
      </c>
      <c r="U1484" s="1" t="s">
        <v>119</v>
      </c>
      <c r="V1484" s="1" t="s">
        <v>140</v>
      </c>
      <c r="W1484" s="1">
        <v>42.11</v>
      </c>
      <c r="X1484" s="1">
        <v>-75.91</v>
      </c>
      <c r="Y1484" s="3" t="s">
        <v>48</v>
      </c>
      <c r="Z1484" s="1" t="s">
        <v>49</v>
      </c>
      <c r="AA1484" s="6" t="s">
        <v>49</v>
      </c>
      <c r="AB1484" s="6" t="s">
        <v>49</v>
      </c>
      <c r="AC1484" s="6" t="s">
        <v>49</v>
      </c>
      <c r="AD1484" s="6" t="s">
        <v>143</v>
      </c>
      <c r="AE1484" s="1" t="s">
        <v>347</v>
      </c>
      <c r="AF1484" s="6" t="s">
        <v>49</v>
      </c>
      <c r="AG1484" s="6" t="s">
        <v>49</v>
      </c>
      <c r="AH1484" s="1" t="s">
        <v>123</v>
      </c>
      <c r="AI1484" s="1" t="s">
        <v>55</v>
      </c>
      <c r="AJ1484" s="20" t="s">
        <v>49</v>
      </c>
      <c r="AK1484" s="20" t="s">
        <v>49</v>
      </c>
      <c r="AL1484" s="20" t="s">
        <v>49</v>
      </c>
      <c r="AM1484" s="20" t="s">
        <v>49</v>
      </c>
      <c r="AN1484" s="1" t="s">
        <v>49</v>
      </c>
      <c r="AO1484" s="1" t="s">
        <v>49</v>
      </c>
      <c r="AP1484" s="6">
        <v>1</v>
      </c>
      <c r="AQ1484" s="6">
        <v>-0.14000000000000001</v>
      </c>
      <c r="AR1484" s="6" t="s">
        <v>49</v>
      </c>
      <c r="AS1484" s="6" t="s">
        <v>49</v>
      </c>
      <c r="AT1484" s="6" t="s">
        <v>49</v>
      </c>
      <c r="AU1484" s="6" t="s">
        <v>49</v>
      </c>
      <c r="AV1484" s="6" t="s">
        <v>49</v>
      </c>
      <c r="AW1484" s="9" t="s">
        <v>565</v>
      </c>
    </row>
    <row r="1485" spans="1:49">
      <c r="A1485" s="1">
        <v>6</v>
      </c>
      <c r="B1485" s="1" t="s">
        <v>38</v>
      </c>
      <c r="C1485" s="1" t="s">
        <v>38</v>
      </c>
      <c r="D1485" s="3" t="s">
        <v>606</v>
      </c>
      <c r="E1485" s="3" t="s">
        <v>40</v>
      </c>
      <c r="F1485" s="3">
        <v>1993</v>
      </c>
      <c r="G1485" s="3" t="s">
        <v>110</v>
      </c>
      <c r="H1485" s="3" t="s">
        <v>137</v>
      </c>
      <c r="I1485" s="3" t="s">
        <v>138</v>
      </c>
      <c r="J1485" s="3" t="s">
        <v>139</v>
      </c>
      <c r="K1485" s="3" t="s">
        <v>45</v>
      </c>
      <c r="L1485" s="3" t="s">
        <v>46</v>
      </c>
      <c r="M1485" s="1" t="s">
        <v>115</v>
      </c>
      <c r="N1485" s="1" t="s">
        <v>116</v>
      </c>
      <c r="O1485" s="1">
        <v>1</v>
      </c>
      <c r="P1485" s="1">
        <v>1</v>
      </c>
      <c r="Q1485" s="1" t="s">
        <v>49</v>
      </c>
      <c r="R1485" s="1">
        <v>1</v>
      </c>
      <c r="S1485" s="1" t="s">
        <v>49</v>
      </c>
      <c r="T1485" s="1" t="s">
        <v>49</v>
      </c>
      <c r="U1485" s="1" t="s">
        <v>119</v>
      </c>
      <c r="V1485" s="1" t="s">
        <v>140</v>
      </c>
      <c r="W1485" s="1">
        <v>42.11</v>
      </c>
      <c r="X1485" s="1">
        <v>-75.91</v>
      </c>
      <c r="Y1485" s="3" t="s">
        <v>48</v>
      </c>
      <c r="Z1485" s="1" t="s">
        <v>49</v>
      </c>
      <c r="AA1485" s="6" t="s">
        <v>49</v>
      </c>
      <c r="AB1485" s="6" t="s">
        <v>49</v>
      </c>
      <c r="AC1485" s="6" t="s">
        <v>49</v>
      </c>
      <c r="AD1485" s="6" t="s">
        <v>142</v>
      </c>
      <c r="AE1485" s="6" t="s">
        <v>84</v>
      </c>
      <c r="AF1485" s="6" t="s">
        <v>49</v>
      </c>
      <c r="AG1485" s="6" t="s">
        <v>49</v>
      </c>
      <c r="AH1485" s="1" t="s">
        <v>123</v>
      </c>
      <c r="AI1485" s="1" t="s">
        <v>55</v>
      </c>
      <c r="AJ1485" s="20" t="s">
        <v>49</v>
      </c>
      <c r="AK1485" s="20" t="s">
        <v>49</v>
      </c>
      <c r="AL1485" s="20" t="s">
        <v>49</v>
      </c>
      <c r="AM1485" s="20" t="s">
        <v>49</v>
      </c>
      <c r="AN1485" s="1" t="s">
        <v>49</v>
      </c>
      <c r="AO1485" s="1" t="s">
        <v>49</v>
      </c>
      <c r="AP1485" s="6">
        <v>1</v>
      </c>
      <c r="AQ1485" s="6">
        <v>0.34</v>
      </c>
      <c r="AR1485" s="6" t="s">
        <v>49</v>
      </c>
      <c r="AS1485" s="6" t="s">
        <v>49</v>
      </c>
      <c r="AT1485" s="6" t="s">
        <v>49</v>
      </c>
      <c r="AU1485" s="6" t="s">
        <v>49</v>
      </c>
      <c r="AV1485" s="6" t="s">
        <v>49</v>
      </c>
      <c r="AW1485" s="9" t="s">
        <v>565</v>
      </c>
    </row>
    <row r="1486" spans="1:49">
      <c r="A1486" s="1">
        <v>6</v>
      </c>
      <c r="B1486" s="1" t="s">
        <v>38</v>
      </c>
      <c r="C1486" s="1" t="s">
        <v>38</v>
      </c>
      <c r="D1486" s="3" t="s">
        <v>606</v>
      </c>
      <c r="E1486" s="3" t="s">
        <v>40</v>
      </c>
      <c r="F1486" s="3">
        <v>1993</v>
      </c>
      <c r="G1486" s="3" t="s">
        <v>110</v>
      </c>
      <c r="H1486" s="3" t="s">
        <v>137</v>
      </c>
      <c r="I1486" s="3" t="s">
        <v>138</v>
      </c>
      <c r="J1486" s="3" t="s">
        <v>139</v>
      </c>
      <c r="K1486" s="3" t="s">
        <v>45</v>
      </c>
      <c r="L1486" s="3" t="s">
        <v>46</v>
      </c>
      <c r="M1486" s="1" t="s">
        <v>115</v>
      </c>
      <c r="N1486" s="1" t="s">
        <v>116</v>
      </c>
      <c r="O1486" s="1">
        <v>1</v>
      </c>
      <c r="P1486" s="1">
        <v>1</v>
      </c>
      <c r="Q1486" s="1" t="s">
        <v>49</v>
      </c>
      <c r="R1486" s="1">
        <v>1</v>
      </c>
      <c r="S1486" s="1" t="s">
        <v>49</v>
      </c>
      <c r="T1486" s="1" t="s">
        <v>49</v>
      </c>
      <c r="U1486" s="1" t="s">
        <v>119</v>
      </c>
      <c r="V1486" s="1" t="s">
        <v>140</v>
      </c>
      <c r="W1486" s="1">
        <v>42.11</v>
      </c>
      <c r="X1486" s="1">
        <v>-75.91</v>
      </c>
      <c r="Y1486" s="3" t="s">
        <v>48</v>
      </c>
      <c r="Z1486" s="1" t="s">
        <v>49</v>
      </c>
      <c r="AA1486" s="6" t="s">
        <v>49</v>
      </c>
      <c r="AB1486" s="6" t="s">
        <v>49</v>
      </c>
      <c r="AC1486" s="6" t="s">
        <v>49</v>
      </c>
      <c r="AD1486" s="6" t="s">
        <v>142</v>
      </c>
      <c r="AE1486" s="1" t="s">
        <v>240</v>
      </c>
      <c r="AF1486" s="6" t="s">
        <v>49</v>
      </c>
      <c r="AG1486" s="6" t="s">
        <v>49</v>
      </c>
      <c r="AH1486" s="1" t="s">
        <v>123</v>
      </c>
      <c r="AI1486" s="1" t="s">
        <v>55</v>
      </c>
      <c r="AJ1486" s="20" t="s">
        <v>49</v>
      </c>
      <c r="AK1486" s="20" t="s">
        <v>49</v>
      </c>
      <c r="AL1486" s="20" t="s">
        <v>49</v>
      </c>
      <c r="AM1486" s="20" t="s">
        <v>49</v>
      </c>
      <c r="AN1486" s="1" t="s">
        <v>49</v>
      </c>
      <c r="AO1486" s="1" t="s">
        <v>49</v>
      </c>
      <c r="AP1486" s="6">
        <v>1</v>
      </c>
      <c r="AQ1486" s="6">
        <v>0.14000000000000001</v>
      </c>
      <c r="AR1486" s="6" t="s">
        <v>49</v>
      </c>
      <c r="AS1486" s="6" t="s">
        <v>49</v>
      </c>
      <c r="AT1486" s="6" t="s">
        <v>49</v>
      </c>
      <c r="AU1486" s="6" t="s">
        <v>49</v>
      </c>
      <c r="AV1486" s="6" t="s">
        <v>49</v>
      </c>
      <c r="AW1486" s="9" t="s">
        <v>565</v>
      </c>
    </row>
    <row r="1487" spans="1:49">
      <c r="A1487" s="1">
        <v>6</v>
      </c>
      <c r="B1487" s="1" t="s">
        <v>38</v>
      </c>
      <c r="C1487" s="1" t="s">
        <v>38</v>
      </c>
      <c r="D1487" s="3" t="s">
        <v>606</v>
      </c>
      <c r="E1487" s="3" t="s">
        <v>40</v>
      </c>
      <c r="F1487" s="3">
        <v>1993</v>
      </c>
      <c r="G1487" s="3" t="s">
        <v>110</v>
      </c>
      <c r="H1487" s="3" t="s">
        <v>137</v>
      </c>
      <c r="I1487" s="3" t="s">
        <v>138</v>
      </c>
      <c r="J1487" s="3" t="s">
        <v>139</v>
      </c>
      <c r="K1487" s="3" t="s">
        <v>45</v>
      </c>
      <c r="L1487" s="3" t="s">
        <v>46</v>
      </c>
      <c r="M1487" s="1" t="s">
        <v>115</v>
      </c>
      <c r="N1487" s="1" t="s">
        <v>116</v>
      </c>
      <c r="O1487" s="1">
        <v>1</v>
      </c>
      <c r="P1487" s="1">
        <v>1</v>
      </c>
      <c r="Q1487" s="1" t="s">
        <v>49</v>
      </c>
      <c r="R1487" s="1">
        <v>1</v>
      </c>
      <c r="S1487" s="1" t="s">
        <v>49</v>
      </c>
      <c r="T1487" s="1" t="s">
        <v>49</v>
      </c>
      <c r="U1487" s="1" t="s">
        <v>119</v>
      </c>
      <c r="V1487" s="1" t="s">
        <v>140</v>
      </c>
      <c r="W1487" s="1">
        <v>42.11</v>
      </c>
      <c r="X1487" s="1">
        <v>-75.91</v>
      </c>
      <c r="Y1487" s="3" t="s">
        <v>48</v>
      </c>
      <c r="Z1487" s="1" t="s">
        <v>49</v>
      </c>
      <c r="AA1487" s="6" t="s">
        <v>49</v>
      </c>
      <c r="AB1487" s="6" t="s">
        <v>49</v>
      </c>
      <c r="AC1487" s="6" t="s">
        <v>49</v>
      </c>
      <c r="AD1487" s="6" t="s">
        <v>142</v>
      </c>
      <c r="AE1487" s="1" t="s">
        <v>346</v>
      </c>
      <c r="AF1487" s="6" t="s">
        <v>49</v>
      </c>
      <c r="AG1487" s="6" t="s">
        <v>49</v>
      </c>
      <c r="AH1487" s="1" t="s">
        <v>123</v>
      </c>
      <c r="AI1487" s="1" t="s">
        <v>55</v>
      </c>
      <c r="AJ1487" s="20" t="s">
        <v>49</v>
      </c>
      <c r="AK1487" s="20" t="s">
        <v>49</v>
      </c>
      <c r="AL1487" s="20" t="s">
        <v>49</v>
      </c>
      <c r="AM1487" s="20" t="s">
        <v>49</v>
      </c>
      <c r="AN1487" s="1" t="s">
        <v>49</v>
      </c>
      <c r="AO1487" s="1" t="s">
        <v>49</v>
      </c>
      <c r="AP1487" s="6">
        <v>1</v>
      </c>
      <c r="AQ1487" s="6">
        <v>0.08</v>
      </c>
      <c r="AR1487" s="6" t="s">
        <v>49</v>
      </c>
      <c r="AS1487" s="6" t="s">
        <v>49</v>
      </c>
      <c r="AT1487" s="6" t="s">
        <v>49</v>
      </c>
      <c r="AU1487" s="6" t="s">
        <v>49</v>
      </c>
      <c r="AV1487" s="6" t="s">
        <v>49</v>
      </c>
      <c r="AW1487" s="9" t="s">
        <v>565</v>
      </c>
    </row>
    <row r="1488" spans="1:49">
      <c r="A1488" s="1">
        <v>6</v>
      </c>
      <c r="B1488" s="1" t="s">
        <v>38</v>
      </c>
      <c r="C1488" s="1" t="s">
        <v>38</v>
      </c>
      <c r="D1488" s="3" t="s">
        <v>606</v>
      </c>
      <c r="E1488" s="3" t="s">
        <v>40</v>
      </c>
      <c r="F1488" s="3">
        <v>1993</v>
      </c>
      <c r="G1488" s="3" t="s">
        <v>110</v>
      </c>
      <c r="H1488" s="3" t="s">
        <v>137</v>
      </c>
      <c r="I1488" s="3" t="s">
        <v>138</v>
      </c>
      <c r="J1488" s="3" t="s">
        <v>139</v>
      </c>
      <c r="K1488" s="3" t="s">
        <v>45</v>
      </c>
      <c r="L1488" s="3" t="s">
        <v>46</v>
      </c>
      <c r="M1488" s="1" t="s">
        <v>115</v>
      </c>
      <c r="N1488" s="1" t="s">
        <v>116</v>
      </c>
      <c r="O1488" s="1">
        <v>1</v>
      </c>
      <c r="P1488" s="1">
        <v>1</v>
      </c>
      <c r="Q1488" s="1" t="s">
        <v>49</v>
      </c>
      <c r="R1488" s="1">
        <v>1</v>
      </c>
      <c r="S1488" s="1" t="s">
        <v>49</v>
      </c>
      <c r="T1488" s="1" t="s">
        <v>49</v>
      </c>
      <c r="U1488" s="1" t="s">
        <v>119</v>
      </c>
      <c r="V1488" s="1" t="s">
        <v>140</v>
      </c>
      <c r="W1488" s="1">
        <v>42.11</v>
      </c>
      <c r="X1488" s="1">
        <v>-75.91</v>
      </c>
      <c r="Y1488" s="3" t="s">
        <v>48</v>
      </c>
      <c r="Z1488" s="1" t="s">
        <v>49</v>
      </c>
      <c r="AA1488" s="6" t="s">
        <v>49</v>
      </c>
      <c r="AB1488" s="6" t="s">
        <v>49</v>
      </c>
      <c r="AC1488" s="6" t="s">
        <v>49</v>
      </c>
      <c r="AD1488" s="6" t="s">
        <v>142</v>
      </c>
      <c r="AE1488" s="1" t="s">
        <v>608</v>
      </c>
      <c r="AF1488" s="6" t="s">
        <v>49</v>
      </c>
      <c r="AG1488" s="6" t="s">
        <v>49</v>
      </c>
      <c r="AH1488" s="1" t="s">
        <v>123</v>
      </c>
      <c r="AI1488" s="1" t="s">
        <v>55</v>
      </c>
      <c r="AJ1488" s="20" t="s">
        <v>49</v>
      </c>
      <c r="AK1488" s="20" t="s">
        <v>49</v>
      </c>
      <c r="AL1488" s="20" t="s">
        <v>49</v>
      </c>
      <c r="AM1488" s="20" t="s">
        <v>49</v>
      </c>
      <c r="AN1488" s="1" t="s">
        <v>49</v>
      </c>
      <c r="AO1488" s="1" t="s">
        <v>49</v>
      </c>
      <c r="AP1488" s="6">
        <v>1</v>
      </c>
      <c r="AQ1488" s="6">
        <v>-0.12</v>
      </c>
      <c r="AR1488" s="6" t="s">
        <v>49</v>
      </c>
      <c r="AS1488" s="6" t="s">
        <v>49</v>
      </c>
      <c r="AT1488" s="6" t="s">
        <v>49</v>
      </c>
      <c r="AU1488" s="6" t="s">
        <v>49</v>
      </c>
      <c r="AV1488" s="6" t="s">
        <v>49</v>
      </c>
      <c r="AW1488" s="9" t="s">
        <v>565</v>
      </c>
    </row>
    <row r="1489" spans="1:49">
      <c r="A1489" s="1">
        <v>6</v>
      </c>
      <c r="B1489" s="1" t="s">
        <v>38</v>
      </c>
      <c r="C1489" s="1" t="s">
        <v>38</v>
      </c>
      <c r="D1489" s="3" t="s">
        <v>606</v>
      </c>
      <c r="E1489" s="3" t="s">
        <v>40</v>
      </c>
      <c r="F1489" s="3">
        <v>1993</v>
      </c>
      <c r="G1489" s="3" t="s">
        <v>110</v>
      </c>
      <c r="H1489" s="3" t="s">
        <v>137</v>
      </c>
      <c r="I1489" s="3" t="s">
        <v>138</v>
      </c>
      <c r="J1489" s="3" t="s">
        <v>139</v>
      </c>
      <c r="K1489" s="3" t="s">
        <v>45</v>
      </c>
      <c r="L1489" s="3" t="s">
        <v>46</v>
      </c>
      <c r="M1489" s="1" t="s">
        <v>115</v>
      </c>
      <c r="N1489" s="1" t="s">
        <v>116</v>
      </c>
      <c r="O1489" s="1">
        <v>1</v>
      </c>
      <c r="P1489" s="1">
        <v>1</v>
      </c>
      <c r="Q1489" s="1" t="s">
        <v>49</v>
      </c>
      <c r="R1489" s="1">
        <v>1</v>
      </c>
      <c r="S1489" s="1" t="s">
        <v>49</v>
      </c>
      <c r="T1489" s="1" t="s">
        <v>49</v>
      </c>
      <c r="U1489" s="1" t="s">
        <v>119</v>
      </c>
      <c r="V1489" s="1" t="s">
        <v>140</v>
      </c>
      <c r="W1489" s="1">
        <v>42.11</v>
      </c>
      <c r="X1489" s="1">
        <v>-75.91</v>
      </c>
      <c r="Y1489" s="3" t="s">
        <v>48</v>
      </c>
      <c r="Z1489" s="1" t="s">
        <v>49</v>
      </c>
      <c r="AA1489" s="6" t="s">
        <v>49</v>
      </c>
      <c r="AB1489" s="6" t="s">
        <v>49</v>
      </c>
      <c r="AC1489" s="6" t="s">
        <v>49</v>
      </c>
      <c r="AD1489" s="6" t="s">
        <v>142</v>
      </c>
      <c r="AE1489" s="1" t="s">
        <v>347</v>
      </c>
      <c r="AF1489" s="6" t="s">
        <v>49</v>
      </c>
      <c r="AG1489" s="6" t="s">
        <v>49</v>
      </c>
      <c r="AH1489" s="1" t="s">
        <v>123</v>
      </c>
      <c r="AI1489" s="1" t="s">
        <v>55</v>
      </c>
      <c r="AJ1489" s="20" t="s">
        <v>49</v>
      </c>
      <c r="AK1489" s="20" t="s">
        <v>49</v>
      </c>
      <c r="AL1489" s="20" t="s">
        <v>49</v>
      </c>
      <c r="AM1489" s="20" t="s">
        <v>49</v>
      </c>
      <c r="AN1489" s="1" t="s">
        <v>49</v>
      </c>
      <c r="AO1489" s="1" t="s">
        <v>49</v>
      </c>
      <c r="AP1489" s="6">
        <v>1</v>
      </c>
      <c r="AQ1489" s="6">
        <v>-0.15</v>
      </c>
      <c r="AR1489" s="6" t="s">
        <v>49</v>
      </c>
      <c r="AS1489" s="6" t="s">
        <v>49</v>
      </c>
      <c r="AT1489" s="6" t="s">
        <v>49</v>
      </c>
      <c r="AU1489" s="6" t="s">
        <v>49</v>
      </c>
      <c r="AV1489" s="6" t="s">
        <v>49</v>
      </c>
      <c r="AW1489" s="9" t="s">
        <v>565</v>
      </c>
    </row>
    <row r="1490" spans="1:49">
      <c r="A1490" s="1">
        <v>6</v>
      </c>
      <c r="B1490" s="1" t="s">
        <v>38</v>
      </c>
      <c r="C1490" s="1" t="s">
        <v>38</v>
      </c>
      <c r="D1490" s="3" t="s">
        <v>606</v>
      </c>
      <c r="E1490" s="3" t="s">
        <v>40</v>
      </c>
      <c r="F1490" s="3">
        <v>1993</v>
      </c>
      <c r="G1490" s="3" t="s">
        <v>110</v>
      </c>
      <c r="H1490" s="3" t="s">
        <v>137</v>
      </c>
      <c r="I1490" s="3" t="s">
        <v>138</v>
      </c>
      <c r="J1490" s="3" t="s">
        <v>139</v>
      </c>
      <c r="K1490" s="3" t="s">
        <v>45</v>
      </c>
      <c r="L1490" s="3" t="s">
        <v>46</v>
      </c>
      <c r="M1490" s="1" t="s">
        <v>115</v>
      </c>
      <c r="N1490" s="1" t="s">
        <v>116</v>
      </c>
      <c r="O1490" s="1">
        <v>1</v>
      </c>
      <c r="P1490" s="1">
        <v>1</v>
      </c>
      <c r="Q1490" s="1" t="s">
        <v>49</v>
      </c>
      <c r="R1490" s="1">
        <v>1</v>
      </c>
      <c r="S1490" s="1" t="s">
        <v>49</v>
      </c>
      <c r="T1490" s="1" t="s">
        <v>49</v>
      </c>
      <c r="U1490" s="1" t="s">
        <v>119</v>
      </c>
      <c r="V1490" s="1" t="s">
        <v>140</v>
      </c>
      <c r="W1490" s="1">
        <v>42.11</v>
      </c>
      <c r="X1490" s="1">
        <v>-75.91</v>
      </c>
      <c r="Y1490" s="3" t="s">
        <v>48</v>
      </c>
      <c r="Z1490" s="1" t="s">
        <v>49</v>
      </c>
      <c r="AA1490" s="6" t="s">
        <v>49</v>
      </c>
      <c r="AB1490" s="6" t="s">
        <v>49</v>
      </c>
      <c r="AC1490" s="6" t="s">
        <v>49</v>
      </c>
      <c r="AD1490" s="6" t="s">
        <v>84</v>
      </c>
      <c r="AE1490" s="1" t="s">
        <v>240</v>
      </c>
      <c r="AF1490" s="6" t="s">
        <v>49</v>
      </c>
      <c r="AG1490" s="6" t="s">
        <v>49</v>
      </c>
      <c r="AH1490" s="1" t="s">
        <v>123</v>
      </c>
      <c r="AI1490" s="1" t="s">
        <v>55</v>
      </c>
      <c r="AJ1490" s="20" t="s">
        <v>49</v>
      </c>
      <c r="AK1490" s="20" t="s">
        <v>49</v>
      </c>
      <c r="AL1490" s="20" t="s">
        <v>49</v>
      </c>
      <c r="AM1490" s="20" t="s">
        <v>49</v>
      </c>
      <c r="AN1490" s="1" t="s">
        <v>49</v>
      </c>
      <c r="AO1490" s="1" t="s">
        <v>49</v>
      </c>
      <c r="AP1490" s="6">
        <v>1</v>
      </c>
      <c r="AQ1490" s="6">
        <v>0.5</v>
      </c>
      <c r="AR1490" s="6" t="s">
        <v>49</v>
      </c>
      <c r="AS1490" s="6" t="s">
        <v>49</v>
      </c>
      <c r="AT1490" s="6" t="s">
        <v>49</v>
      </c>
      <c r="AU1490" s="6" t="s">
        <v>49</v>
      </c>
      <c r="AV1490" s="6" t="s">
        <v>49</v>
      </c>
      <c r="AW1490" s="9" t="s">
        <v>565</v>
      </c>
    </row>
    <row r="1491" spans="1:49">
      <c r="A1491" s="1">
        <v>6</v>
      </c>
      <c r="B1491" s="1" t="s">
        <v>38</v>
      </c>
      <c r="C1491" s="1" t="s">
        <v>38</v>
      </c>
      <c r="D1491" s="3" t="s">
        <v>606</v>
      </c>
      <c r="E1491" s="3" t="s">
        <v>40</v>
      </c>
      <c r="F1491" s="3">
        <v>1993</v>
      </c>
      <c r="G1491" s="3" t="s">
        <v>110</v>
      </c>
      <c r="H1491" s="3" t="s">
        <v>137</v>
      </c>
      <c r="I1491" s="3" t="s">
        <v>138</v>
      </c>
      <c r="J1491" s="3" t="s">
        <v>139</v>
      </c>
      <c r="K1491" s="3" t="s">
        <v>45</v>
      </c>
      <c r="L1491" s="3" t="s">
        <v>46</v>
      </c>
      <c r="M1491" s="1" t="s">
        <v>115</v>
      </c>
      <c r="N1491" s="1" t="s">
        <v>116</v>
      </c>
      <c r="O1491" s="1">
        <v>1</v>
      </c>
      <c r="P1491" s="1">
        <v>1</v>
      </c>
      <c r="Q1491" s="1" t="s">
        <v>49</v>
      </c>
      <c r="R1491" s="1">
        <v>1</v>
      </c>
      <c r="S1491" s="1" t="s">
        <v>49</v>
      </c>
      <c r="T1491" s="1" t="s">
        <v>49</v>
      </c>
      <c r="U1491" s="1" t="s">
        <v>119</v>
      </c>
      <c r="V1491" s="1" t="s">
        <v>140</v>
      </c>
      <c r="W1491" s="1">
        <v>42.11</v>
      </c>
      <c r="X1491" s="1">
        <v>-75.91</v>
      </c>
      <c r="Y1491" s="3" t="s">
        <v>48</v>
      </c>
      <c r="Z1491" s="1" t="s">
        <v>49</v>
      </c>
      <c r="AA1491" s="6" t="s">
        <v>49</v>
      </c>
      <c r="AB1491" s="6" t="s">
        <v>49</v>
      </c>
      <c r="AC1491" s="6" t="s">
        <v>49</v>
      </c>
      <c r="AD1491" s="6" t="s">
        <v>84</v>
      </c>
      <c r="AE1491" s="1" t="s">
        <v>346</v>
      </c>
      <c r="AF1491" s="6" t="s">
        <v>49</v>
      </c>
      <c r="AG1491" s="6" t="s">
        <v>49</v>
      </c>
      <c r="AH1491" s="1" t="s">
        <v>123</v>
      </c>
      <c r="AI1491" s="1" t="s">
        <v>55</v>
      </c>
      <c r="AJ1491" s="20" t="s">
        <v>49</v>
      </c>
      <c r="AK1491" s="20" t="s">
        <v>49</v>
      </c>
      <c r="AL1491" s="20" t="s">
        <v>49</v>
      </c>
      <c r="AM1491" s="20" t="s">
        <v>49</v>
      </c>
      <c r="AN1491" s="1" t="s">
        <v>49</v>
      </c>
      <c r="AO1491" s="1" t="s">
        <v>49</v>
      </c>
      <c r="AP1491" s="6">
        <v>1</v>
      </c>
      <c r="AQ1491" s="6">
        <v>0.42</v>
      </c>
      <c r="AR1491" s="6" t="s">
        <v>49</v>
      </c>
      <c r="AS1491" s="6" t="s">
        <v>49</v>
      </c>
      <c r="AT1491" s="6" t="s">
        <v>49</v>
      </c>
      <c r="AU1491" s="6" t="s">
        <v>49</v>
      </c>
      <c r="AV1491" s="6" t="s">
        <v>49</v>
      </c>
      <c r="AW1491" s="9" t="s">
        <v>565</v>
      </c>
    </row>
    <row r="1492" spans="1:49">
      <c r="A1492" s="1">
        <v>6</v>
      </c>
      <c r="B1492" s="1" t="s">
        <v>38</v>
      </c>
      <c r="C1492" s="1" t="s">
        <v>38</v>
      </c>
      <c r="D1492" s="3" t="s">
        <v>606</v>
      </c>
      <c r="E1492" s="3" t="s">
        <v>40</v>
      </c>
      <c r="F1492" s="3">
        <v>1993</v>
      </c>
      <c r="G1492" s="3" t="s">
        <v>110</v>
      </c>
      <c r="H1492" s="3" t="s">
        <v>137</v>
      </c>
      <c r="I1492" s="3" t="s">
        <v>138</v>
      </c>
      <c r="J1492" s="3" t="s">
        <v>139</v>
      </c>
      <c r="K1492" s="3" t="s">
        <v>45</v>
      </c>
      <c r="L1492" s="3" t="s">
        <v>46</v>
      </c>
      <c r="M1492" s="1" t="s">
        <v>115</v>
      </c>
      <c r="N1492" s="1" t="s">
        <v>116</v>
      </c>
      <c r="O1492" s="1">
        <v>1</v>
      </c>
      <c r="P1492" s="1">
        <v>1</v>
      </c>
      <c r="Q1492" s="1" t="s">
        <v>49</v>
      </c>
      <c r="R1492" s="1">
        <v>1</v>
      </c>
      <c r="S1492" s="1" t="s">
        <v>49</v>
      </c>
      <c r="T1492" s="1" t="s">
        <v>49</v>
      </c>
      <c r="U1492" s="1" t="s">
        <v>119</v>
      </c>
      <c r="V1492" s="1" t="s">
        <v>140</v>
      </c>
      <c r="W1492" s="1">
        <v>42.11</v>
      </c>
      <c r="X1492" s="1">
        <v>-75.91</v>
      </c>
      <c r="Y1492" s="3" t="s">
        <v>48</v>
      </c>
      <c r="Z1492" s="1" t="s">
        <v>49</v>
      </c>
      <c r="AA1492" s="6" t="s">
        <v>49</v>
      </c>
      <c r="AB1492" s="6" t="s">
        <v>49</v>
      </c>
      <c r="AC1492" s="6" t="s">
        <v>49</v>
      </c>
      <c r="AD1492" s="6" t="s">
        <v>84</v>
      </c>
      <c r="AE1492" s="1" t="s">
        <v>608</v>
      </c>
      <c r="AF1492" s="6" t="s">
        <v>49</v>
      </c>
      <c r="AG1492" s="6" t="s">
        <v>49</v>
      </c>
      <c r="AH1492" s="1" t="s">
        <v>123</v>
      </c>
      <c r="AI1492" s="1" t="s">
        <v>55</v>
      </c>
      <c r="AJ1492" s="20" t="s">
        <v>49</v>
      </c>
      <c r="AK1492" s="20" t="s">
        <v>49</v>
      </c>
      <c r="AL1492" s="20" t="s">
        <v>49</v>
      </c>
      <c r="AM1492" s="20" t="s">
        <v>49</v>
      </c>
      <c r="AN1492" s="1" t="s">
        <v>49</v>
      </c>
      <c r="AO1492" s="1" t="s">
        <v>49</v>
      </c>
      <c r="AP1492" s="6">
        <v>1</v>
      </c>
      <c r="AQ1492" s="6">
        <v>-0.13</v>
      </c>
      <c r="AR1492" s="6" t="s">
        <v>49</v>
      </c>
      <c r="AS1492" s="6" t="s">
        <v>49</v>
      </c>
      <c r="AT1492" s="6" t="s">
        <v>49</v>
      </c>
      <c r="AU1492" s="6" t="s">
        <v>49</v>
      </c>
      <c r="AV1492" s="6" t="s">
        <v>49</v>
      </c>
      <c r="AW1492" s="9" t="s">
        <v>565</v>
      </c>
    </row>
    <row r="1493" spans="1:49">
      <c r="A1493" s="1">
        <v>6</v>
      </c>
      <c r="B1493" s="1" t="s">
        <v>38</v>
      </c>
      <c r="C1493" s="1" t="s">
        <v>38</v>
      </c>
      <c r="D1493" s="3" t="s">
        <v>606</v>
      </c>
      <c r="E1493" s="3" t="s">
        <v>40</v>
      </c>
      <c r="F1493" s="3">
        <v>1993</v>
      </c>
      <c r="G1493" s="3" t="s">
        <v>110</v>
      </c>
      <c r="H1493" s="3" t="s">
        <v>137</v>
      </c>
      <c r="I1493" s="3" t="s">
        <v>138</v>
      </c>
      <c r="J1493" s="3" t="s">
        <v>139</v>
      </c>
      <c r="K1493" s="3" t="s">
        <v>45</v>
      </c>
      <c r="L1493" s="3" t="s">
        <v>46</v>
      </c>
      <c r="M1493" s="1" t="s">
        <v>115</v>
      </c>
      <c r="N1493" s="1" t="s">
        <v>116</v>
      </c>
      <c r="O1493" s="1">
        <v>1</v>
      </c>
      <c r="P1493" s="1">
        <v>1</v>
      </c>
      <c r="Q1493" s="1" t="s">
        <v>49</v>
      </c>
      <c r="R1493" s="1">
        <v>1</v>
      </c>
      <c r="S1493" s="1" t="s">
        <v>49</v>
      </c>
      <c r="T1493" s="1" t="s">
        <v>49</v>
      </c>
      <c r="U1493" s="1" t="s">
        <v>119</v>
      </c>
      <c r="V1493" s="1" t="s">
        <v>140</v>
      </c>
      <c r="W1493" s="1">
        <v>42.11</v>
      </c>
      <c r="X1493" s="1">
        <v>-75.91</v>
      </c>
      <c r="Y1493" s="3" t="s">
        <v>48</v>
      </c>
      <c r="Z1493" s="1" t="s">
        <v>49</v>
      </c>
      <c r="AA1493" s="6" t="s">
        <v>49</v>
      </c>
      <c r="AB1493" s="6" t="s">
        <v>49</v>
      </c>
      <c r="AC1493" s="6" t="s">
        <v>49</v>
      </c>
      <c r="AD1493" s="6" t="s">
        <v>84</v>
      </c>
      <c r="AE1493" s="1" t="s">
        <v>347</v>
      </c>
      <c r="AF1493" s="6" t="s">
        <v>49</v>
      </c>
      <c r="AG1493" s="6" t="s">
        <v>49</v>
      </c>
      <c r="AH1493" s="1" t="s">
        <v>123</v>
      </c>
      <c r="AI1493" s="1" t="s">
        <v>55</v>
      </c>
      <c r="AJ1493" s="20" t="s">
        <v>49</v>
      </c>
      <c r="AK1493" s="20" t="s">
        <v>49</v>
      </c>
      <c r="AL1493" s="20" t="s">
        <v>49</v>
      </c>
      <c r="AM1493" s="20" t="s">
        <v>49</v>
      </c>
      <c r="AN1493" s="1" t="s">
        <v>49</v>
      </c>
      <c r="AO1493" s="1" t="s">
        <v>49</v>
      </c>
      <c r="AP1493" s="6">
        <v>1</v>
      </c>
      <c r="AQ1493" s="6">
        <v>0.13</v>
      </c>
      <c r="AR1493" s="6" t="s">
        <v>49</v>
      </c>
      <c r="AS1493" s="6" t="s">
        <v>49</v>
      </c>
      <c r="AT1493" s="6" t="s">
        <v>49</v>
      </c>
      <c r="AU1493" s="6" t="s">
        <v>49</v>
      </c>
      <c r="AV1493" s="6" t="s">
        <v>49</v>
      </c>
      <c r="AW1493" s="9" t="s">
        <v>565</v>
      </c>
    </row>
    <row r="1494" spans="1:49">
      <c r="A1494" s="1">
        <v>6</v>
      </c>
      <c r="B1494" s="1" t="s">
        <v>38</v>
      </c>
      <c r="C1494" s="1" t="s">
        <v>38</v>
      </c>
      <c r="D1494" s="3" t="s">
        <v>606</v>
      </c>
      <c r="E1494" s="3" t="s">
        <v>40</v>
      </c>
      <c r="F1494" s="3">
        <v>1993</v>
      </c>
      <c r="G1494" s="3" t="s">
        <v>110</v>
      </c>
      <c r="H1494" s="3" t="s">
        <v>137</v>
      </c>
      <c r="I1494" s="3" t="s">
        <v>138</v>
      </c>
      <c r="J1494" s="3" t="s">
        <v>139</v>
      </c>
      <c r="K1494" s="3" t="s">
        <v>45</v>
      </c>
      <c r="L1494" s="3" t="s">
        <v>46</v>
      </c>
      <c r="M1494" s="1" t="s">
        <v>115</v>
      </c>
      <c r="N1494" s="1" t="s">
        <v>116</v>
      </c>
      <c r="O1494" s="1">
        <v>1</v>
      </c>
      <c r="P1494" s="1">
        <v>1</v>
      </c>
      <c r="Q1494" s="1" t="s">
        <v>49</v>
      </c>
      <c r="R1494" s="1">
        <v>1</v>
      </c>
      <c r="S1494" s="1" t="s">
        <v>49</v>
      </c>
      <c r="T1494" s="1" t="s">
        <v>49</v>
      </c>
      <c r="U1494" s="1" t="s">
        <v>119</v>
      </c>
      <c r="V1494" s="1" t="s">
        <v>140</v>
      </c>
      <c r="W1494" s="1">
        <v>42.11</v>
      </c>
      <c r="X1494" s="1">
        <v>-75.91</v>
      </c>
      <c r="Y1494" s="3" t="s">
        <v>48</v>
      </c>
      <c r="Z1494" s="1" t="s">
        <v>49</v>
      </c>
      <c r="AA1494" s="6" t="s">
        <v>49</v>
      </c>
      <c r="AB1494" s="6" t="s">
        <v>49</v>
      </c>
      <c r="AC1494" s="6" t="s">
        <v>49</v>
      </c>
      <c r="AD1494" s="1" t="s">
        <v>240</v>
      </c>
      <c r="AE1494" s="1" t="s">
        <v>346</v>
      </c>
      <c r="AF1494" s="6" t="s">
        <v>49</v>
      </c>
      <c r="AG1494" s="6" t="s">
        <v>49</v>
      </c>
      <c r="AH1494" s="1" t="s">
        <v>123</v>
      </c>
      <c r="AI1494" s="1" t="s">
        <v>55</v>
      </c>
      <c r="AJ1494" s="20" t="s">
        <v>49</v>
      </c>
      <c r="AK1494" s="20" t="s">
        <v>49</v>
      </c>
      <c r="AL1494" s="20" t="s">
        <v>49</v>
      </c>
      <c r="AM1494" s="20" t="s">
        <v>49</v>
      </c>
      <c r="AN1494" s="1" t="s">
        <v>49</v>
      </c>
      <c r="AO1494" s="1" t="s">
        <v>49</v>
      </c>
      <c r="AP1494" s="6">
        <v>1</v>
      </c>
      <c r="AQ1494" s="6">
        <v>0.84</v>
      </c>
      <c r="AR1494" s="6" t="s">
        <v>49</v>
      </c>
      <c r="AS1494" s="6" t="s">
        <v>49</v>
      </c>
      <c r="AT1494" s="6" t="s">
        <v>49</v>
      </c>
      <c r="AU1494" s="6" t="s">
        <v>49</v>
      </c>
      <c r="AV1494" s="6" t="s">
        <v>49</v>
      </c>
      <c r="AW1494" s="9" t="s">
        <v>565</v>
      </c>
    </row>
    <row r="1495" spans="1:49">
      <c r="A1495" s="1">
        <v>6</v>
      </c>
      <c r="B1495" s="1" t="s">
        <v>38</v>
      </c>
      <c r="C1495" s="1" t="s">
        <v>38</v>
      </c>
      <c r="D1495" s="3" t="s">
        <v>606</v>
      </c>
      <c r="E1495" s="3" t="s">
        <v>40</v>
      </c>
      <c r="F1495" s="3">
        <v>1993</v>
      </c>
      <c r="G1495" s="3" t="s">
        <v>110</v>
      </c>
      <c r="H1495" s="3" t="s">
        <v>137</v>
      </c>
      <c r="I1495" s="3" t="s">
        <v>138</v>
      </c>
      <c r="J1495" s="3" t="s">
        <v>139</v>
      </c>
      <c r="K1495" s="3" t="s">
        <v>45</v>
      </c>
      <c r="L1495" s="3" t="s">
        <v>46</v>
      </c>
      <c r="M1495" s="1" t="s">
        <v>115</v>
      </c>
      <c r="N1495" s="1" t="s">
        <v>116</v>
      </c>
      <c r="O1495" s="1">
        <v>1</v>
      </c>
      <c r="P1495" s="1">
        <v>1</v>
      </c>
      <c r="Q1495" s="1" t="s">
        <v>49</v>
      </c>
      <c r="R1495" s="1">
        <v>1</v>
      </c>
      <c r="S1495" s="1" t="s">
        <v>49</v>
      </c>
      <c r="T1495" s="1" t="s">
        <v>49</v>
      </c>
      <c r="U1495" s="1" t="s">
        <v>119</v>
      </c>
      <c r="V1495" s="1" t="s">
        <v>140</v>
      </c>
      <c r="W1495" s="1">
        <v>42.11</v>
      </c>
      <c r="X1495" s="1">
        <v>-75.91</v>
      </c>
      <c r="Y1495" s="3" t="s">
        <v>48</v>
      </c>
      <c r="Z1495" s="1" t="s">
        <v>49</v>
      </c>
      <c r="AA1495" s="6" t="s">
        <v>49</v>
      </c>
      <c r="AB1495" s="6" t="s">
        <v>49</v>
      </c>
      <c r="AC1495" s="6" t="s">
        <v>49</v>
      </c>
      <c r="AD1495" s="1" t="s">
        <v>240</v>
      </c>
      <c r="AE1495" s="1" t="s">
        <v>608</v>
      </c>
      <c r="AF1495" s="6" t="s">
        <v>49</v>
      </c>
      <c r="AG1495" s="6" t="s">
        <v>49</v>
      </c>
      <c r="AH1495" s="1" t="s">
        <v>123</v>
      </c>
      <c r="AI1495" s="1" t="s">
        <v>55</v>
      </c>
      <c r="AJ1495" s="20" t="s">
        <v>49</v>
      </c>
      <c r="AK1495" s="20" t="s">
        <v>49</v>
      </c>
      <c r="AL1495" s="20" t="s">
        <v>49</v>
      </c>
      <c r="AM1495" s="20" t="s">
        <v>49</v>
      </c>
      <c r="AN1495" s="1" t="s">
        <v>49</v>
      </c>
      <c r="AO1495" s="1" t="s">
        <v>49</v>
      </c>
      <c r="AP1495" s="6">
        <v>1</v>
      </c>
      <c r="AQ1495" s="6">
        <v>-0.01</v>
      </c>
      <c r="AR1495" s="6" t="s">
        <v>49</v>
      </c>
      <c r="AS1495" s="6" t="s">
        <v>49</v>
      </c>
      <c r="AT1495" s="6" t="s">
        <v>49</v>
      </c>
      <c r="AU1495" s="6" t="s">
        <v>49</v>
      </c>
      <c r="AV1495" s="6" t="s">
        <v>49</v>
      </c>
      <c r="AW1495" s="9" t="s">
        <v>565</v>
      </c>
    </row>
    <row r="1496" spans="1:49">
      <c r="A1496" s="1">
        <v>6</v>
      </c>
      <c r="B1496" s="1" t="s">
        <v>38</v>
      </c>
      <c r="C1496" s="1" t="s">
        <v>38</v>
      </c>
      <c r="D1496" s="3" t="s">
        <v>606</v>
      </c>
      <c r="E1496" s="3" t="s">
        <v>40</v>
      </c>
      <c r="F1496" s="3">
        <v>1993</v>
      </c>
      <c r="G1496" s="3" t="s">
        <v>110</v>
      </c>
      <c r="H1496" s="3" t="s">
        <v>137</v>
      </c>
      <c r="I1496" s="3" t="s">
        <v>138</v>
      </c>
      <c r="J1496" s="3" t="s">
        <v>139</v>
      </c>
      <c r="K1496" s="3" t="s">
        <v>45</v>
      </c>
      <c r="L1496" s="3" t="s">
        <v>46</v>
      </c>
      <c r="M1496" s="1" t="s">
        <v>115</v>
      </c>
      <c r="N1496" s="1" t="s">
        <v>116</v>
      </c>
      <c r="O1496" s="1">
        <v>1</v>
      </c>
      <c r="P1496" s="1">
        <v>1</v>
      </c>
      <c r="Q1496" s="1" t="s">
        <v>49</v>
      </c>
      <c r="R1496" s="1">
        <v>1</v>
      </c>
      <c r="S1496" s="1" t="s">
        <v>49</v>
      </c>
      <c r="T1496" s="1" t="s">
        <v>49</v>
      </c>
      <c r="U1496" s="1" t="s">
        <v>119</v>
      </c>
      <c r="V1496" s="1" t="s">
        <v>140</v>
      </c>
      <c r="W1496" s="1">
        <v>42.11</v>
      </c>
      <c r="X1496" s="1">
        <v>-75.91</v>
      </c>
      <c r="Y1496" s="3" t="s">
        <v>48</v>
      </c>
      <c r="Z1496" s="1" t="s">
        <v>49</v>
      </c>
      <c r="AA1496" s="6" t="s">
        <v>49</v>
      </c>
      <c r="AB1496" s="6" t="s">
        <v>49</v>
      </c>
      <c r="AC1496" s="6" t="s">
        <v>49</v>
      </c>
      <c r="AD1496" s="1" t="s">
        <v>240</v>
      </c>
      <c r="AE1496" s="1" t="s">
        <v>347</v>
      </c>
      <c r="AF1496" s="6" t="s">
        <v>49</v>
      </c>
      <c r="AG1496" s="6" t="s">
        <v>49</v>
      </c>
      <c r="AH1496" s="1" t="s">
        <v>123</v>
      </c>
      <c r="AI1496" s="1" t="s">
        <v>55</v>
      </c>
      <c r="AJ1496" s="20" t="s">
        <v>49</v>
      </c>
      <c r="AK1496" s="20" t="s">
        <v>49</v>
      </c>
      <c r="AL1496" s="20" t="s">
        <v>49</v>
      </c>
      <c r="AM1496" s="20" t="s">
        <v>49</v>
      </c>
      <c r="AN1496" s="1" t="s">
        <v>49</v>
      </c>
      <c r="AO1496" s="1" t="s">
        <v>49</v>
      </c>
      <c r="AP1496" s="6">
        <v>1</v>
      </c>
      <c r="AQ1496" s="6">
        <v>0.34</v>
      </c>
      <c r="AR1496" s="6" t="s">
        <v>49</v>
      </c>
      <c r="AS1496" s="6" t="s">
        <v>49</v>
      </c>
      <c r="AT1496" s="6" t="s">
        <v>49</v>
      </c>
      <c r="AU1496" s="6" t="s">
        <v>49</v>
      </c>
      <c r="AV1496" s="6" t="s">
        <v>49</v>
      </c>
      <c r="AW1496" s="9" t="s">
        <v>565</v>
      </c>
    </row>
    <row r="1497" spans="1:49">
      <c r="A1497" s="1">
        <v>6</v>
      </c>
      <c r="B1497" s="1" t="s">
        <v>38</v>
      </c>
      <c r="C1497" s="1" t="s">
        <v>38</v>
      </c>
      <c r="D1497" s="3" t="s">
        <v>606</v>
      </c>
      <c r="E1497" s="3" t="s">
        <v>40</v>
      </c>
      <c r="F1497" s="3">
        <v>1993</v>
      </c>
      <c r="G1497" s="3" t="s">
        <v>110</v>
      </c>
      <c r="H1497" s="3" t="s">
        <v>137</v>
      </c>
      <c r="I1497" s="3" t="s">
        <v>138</v>
      </c>
      <c r="J1497" s="3" t="s">
        <v>139</v>
      </c>
      <c r="K1497" s="3" t="s">
        <v>45</v>
      </c>
      <c r="L1497" s="3" t="s">
        <v>46</v>
      </c>
      <c r="M1497" s="1" t="s">
        <v>115</v>
      </c>
      <c r="N1497" s="1" t="s">
        <v>116</v>
      </c>
      <c r="O1497" s="1">
        <v>1</v>
      </c>
      <c r="P1497" s="1">
        <v>1</v>
      </c>
      <c r="Q1497" s="1" t="s">
        <v>49</v>
      </c>
      <c r="R1497" s="1">
        <v>1</v>
      </c>
      <c r="S1497" s="1" t="s">
        <v>49</v>
      </c>
      <c r="T1497" s="1" t="s">
        <v>49</v>
      </c>
      <c r="U1497" s="1" t="s">
        <v>119</v>
      </c>
      <c r="V1497" s="1" t="s">
        <v>140</v>
      </c>
      <c r="W1497" s="1">
        <v>42.11</v>
      </c>
      <c r="X1497" s="1">
        <v>-75.91</v>
      </c>
      <c r="Y1497" s="3" t="s">
        <v>48</v>
      </c>
      <c r="Z1497" s="1" t="s">
        <v>49</v>
      </c>
      <c r="AA1497" s="6" t="s">
        <v>49</v>
      </c>
      <c r="AB1497" s="6" t="s">
        <v>49</v>
      </c>
      <c r="AC1497" s="6" t="s">
        <v>49</v>
      </c>
      <c r="AD1497" s="1" t="s">
        <v>346</v>
      </c>
      <c r="AE1497" s="1" t="s">
        <v>608</v>
      </c>
      <c r="AF1497" s="6" t="s">
        <v>49</v>
      </c>
      <c r="AG1497" s="6" t="s">
        <v>49</v>
      </c>
      <c r="AH1497" s="1" t="s">
        <v>123</v>
      </c>
      <c r="AI1497" s="1" t="s">
        <v>55</v>
      </c>
      <c r="AJ1497" s="20" t="s">
        <v>49</v>
      </c>
      <c r="AK1497" s="20" t="s">
        <v>49</v>
      </c>
      <c r="AL1497" s="20" t="s">
        <v>49</v>
      </c>
      <c r="AM1497" s="20" t="s">
        <v>49</v>
      </c>
      <c r="AN1497" s="1" t="s">
        <v>49</v>
      </c>
      <c r="AO1497" s="1" t="s">
        <v>49</v>
      </c>
      <c r="AP1497" s="6">
        <v>1</v>
      </c>
      <c r="AQ1497" s="6">
        <v>-0.04</v>
      </c>
      <c r="AR1497" s="6" t="s">
        <v>49</v>
      </c>
      <c r="AS1497" s="6" t="s">
        <v>49</v>
      </c>
      <c r="AT1497" s="6" t="s">
        <v>49</v>
      </c>
      <c r="AU1497" s="6" t="s">
        <v>49</v>
      </c>
      <c r="AV1497" s="6" t="s">
        <v>49</v>
      </c>
      <c r="AW1497" s="9" t="s">
        <v>565</v>
      </c>
    </row>
    <row r="1498" spans="1:49">
      <c r="A1498" s="1">
        <v>6</v>
      </c>
      <c r="B1498" s="1" t="s">
        <v>38</v>
      </c>
      <c r="C1498" s="1" t="s">
        <v>38</v>
      </c>
      <c r="D1498" s="3" t="s">
        <v>606</v>
      </c>
      <c r="E1498" s="3" t="s">
        <v>40</v>
      </c>
      <c r="F1498" s="3">
        <v>1993</v>
      </c>
      <c r="G1498" s="3" t="s">
        <v>110</v>
      </c>
      <c r="H1498" s="3" t="s">
        <v>137</v>
      </c>
      <c r="I1498" s="3" t="s">
        <v>138</v>
      </c>
      <c r="J1498" s="3" t="s">
        <v>139</v>
      </c>
      <c r="K1498" s="3" t="s">
        <v>45</v>
      </c>
      <c r="L1498" s="3" t="s">
        <v>46</v>
      </c>
      <c r="M1498" s="1" t="s">
        <v>115</v>
      </c>
      <c r="N1498" s="1" t="s">
        <v>116</v>
      </c>
      <c r="O1498" s="1">
        <v>1</v>
      </c>
      <c r="P1498" s="1">
        <v>1</v>
      </c>
      <c r="Q1498" s="1" t="s">
        <v>49</v>
      </c>
      <c r="R1498" s="1">
        <v>1</v>
      </c>
      <c r="S1498" s="1" t="s">
        <v>49</v>
      </c>
      <c r="T1498" s="1" t="s">
        <v>49</v>
      </c>
      <c r="U1498" s="1" t="s">
        <v>119</v>
      </c>
      <c r="V1498" s="1" t="s">
        <v>140</v>
      </c>
      <c r="W1498" s="1">
        <v>42.11</v>
      </c>
      <c r="X1498" s="1">
        <v>-75.91</v>
      </c>
      <c r="Y1498" s="3" t="s">
        <v>48</v>
      </c>
      <c r="Z1498" s="1" t="s">
        <v>49</v>
      </c>
      <c r="AA1498" s="6" t="s">
        <v>49</v>
      </c>
      <c r="AB1498" s="6" t="s">
        <v>49</v>
      </c>
      <c r="AC1498" s="6" t="s">
        <v>49</v>
      </c>
      <c r="AD1498" s="1" t="s">
        <v>346</v>
      </c>
      <c r="AE1498" s="1" t="s">
        <v>347</v>
      </c>
      <c r="AF1498" s="6" t="s">
        <v>49</v>
      </c>
      <c r="AG1498" s="6" t="s">
        <v>49</v>
      </c>
      <c r="AH1498" s="1" t="s">
        <v>123</v>
      </c>
      <c r="AI1498" s="1" t="s">
        <v>55</v>
      </c>
      <c r="AJ1498" s="20" t="s">
        <v>49</v>
      </c>
      <c r="AK1498" s="20" t="s">
        <v>49</v>
      </c>
      <c r="AL1498" s="20" t="s">
        <v>49</v>
      </c>
      <c r="AM1498" s="20" t="s">
        <v>49</v>
      </c>
      <c r="AN1498" s="1" t="s">
        <v>49</v>
      </c>
      <c r="AO1498" s="1" t="s">
        <v>49</v>
      </c>
      <c r="AP1498" s="6">
        <v>1</v>
      </c>
      <c r="AQ1498" s="6">
        <v>0.43</v>
      </c>
      <c r="AR1498" s="6" t="s">
        <v>49</v>
      </c>
      <c r="AS1498" s="6" t="s">
        <v>49</v>
      </c>
      <c r="AT1498" s="6" t="s">
        <v>49</v>
      </c>
      <c r="AU1498" s="6" t="s">
        <v>49</v>
      </c>
      <c r="AV1498" s="6" t="s">
        <v>49</v>
      </c>
      <c r="AW1498" s="9" t="s">
        <v>565</v>
      </c>
    </row>
    <row r="1499" spans="1:49">
      <c r="A1499" s="1">
        <v>6</v>
      </c>
      <c r="B1499" s="1" t="s">
        <v>38</v>
      </c>
      <c r="C1499" s="1" t="s">
        <v>38</v>
      </c>
      <c r="D1499" s="3" t="s">
        <v>606</v>
      </c>
      <c r="E1499" s="3" t="s">
        <v>40</v>
      </c>
      <c r="F1499" s="3">
        <v>1993</v>
      </c>
      <c r="G1499" s="3" t="s">
        <v>110</v>
      </c>
      <c r="H1499" s="3" t="s">
        <v>137</v>
      </c>
      <c r="I1499" s="3" t="s">
        <v>138</v>
      </c>
      <c r="J1499" s="3" t="s">
        <v>139</v>
      </c>
      <c r="K1499" s="3" t="s">
        <v>45</v>
      </c>
      <c r="L1499" s="3" t="s">
        <v>46</v>
      </c>
      <c r="M1499" s="1" t="s">
        <v>115</v>
      </c>
      <c r="N1499" s="1" t="s">
        <v>116</v>
      </c>
      <c r="O1499" s="1">
        <v>1</v>
      </c>
      <c r="P1499" s="1">
        <v>1</v>
      </c>
      <c r="Q1499" s="1" t="s">
        <v>49</v>
      </c>
      <c r="R1499" s="1">
        <v>1</v>
      </c>
      <c r="S1499" s="1" t="s">
        <v>49</v>
      </c>
      <c r="T1499" s="1" t="s">
        <v>49</v>
      </c>
      <c r="U1499" s="1" t="s">
        <v>119</v>
      </c>
      <c r="V1499" s="1" t="s">
        <v>140</v>
      </c>
      <c r="W1499" s="1">
        <v>42.11</v>
      </c>
      <c r="X1499" s="1">
        <v>-75.91</v>
      </c>
      <c r="Y1499" s="3" t="s">
        <v>48</v>
      </c>
      <c r="Z1499" s="1" t="s">
        <v>49</v>
      </c>
      <c r="AA1499" s="6" t="s">
        <v>49</v>
      </c>
      <c r="AB1499" s="6" t="s">
        <v>49</v>
      </c>
      <c r="AC1499" s="6" t="s">
        <v>49</v>
      </c>
      <c r="AD1499" s="1" t="s">
        <v>608</v>
      </c>
      <c r="AE1499" s="1" t="s">
        <v>347</v>
      </c>
      <c r="AF1499" s="6" t="s">
        <v>49</v>
      </c>
      <c r="AG1499" s="6" t="s">
        <v>49</v>
      </c>
      <c r="AH1499" s="1" t="s">
        <v>123</v>
      </c>
      <c r="AI1499" s="1" t="s">
        <v>55</v>
      </c>
      <c r="AJ1499" s="20" t="s">
        <v>49</v>
      </c>
      <c r="AK1499" s="20" t="s">
        <v>49</v>
      </c>
      <c r="AL1499" s="20" t="s">
        <v>49</v>
      </c>
      <c r="AM1499" s="20" t="s">
        <v>49</v>
      </c>
      <c r="AN1499" s="1" t="s">
        <v>49</v>
      </c>
      <c r="AO1499" s="1" t="s">
        <v>49</v>
      </c>
      <c r="AP1499" s="6">
        <v>1</v>
      </c>
      <c r="AQ1499" s="6">
        <v>-0.11</v>
      </c>
      <c r="AR1499" s="6" t="s">
        <v>49</v>
      </c>
      <c r="AS1499" s="6" t="s">
        <v>49</v>
      </c>
      <c r="AT1499" s="6" t="s">
        <v>49</v>
      </c>
      <c r="AU1499" s="6" t="s">
        <v>49</v>
      </c>
      <c r="AV1499" s="6" t="s">
        <v>49</v>
      </c>
      <c r="AW1499" s="9" t="s">
        <v>565</v>
      </c>
    </row>
    <row r="1500" spans="1:49" ht="15" customHeight="1">
      <c r="A1500" s="1">
        <v>17</v>
      </c>
      <c r="B1500" s="1" t="s">
        <v>38</v>
      </c>
      <c r="C1500" s="1" t="s">
        <v>38</v>
      </c>
      <c r="D1500" s="3" t="s">
        <v>610</v>
      </c>
      <c r="E1500" s="3" t="s">
        <v>71</v>
      </c>
      <c r="F1500" s="3">
        <v>1994</v>
      </c>
      <c r="G1500" s="3" t="s">
        <v>110</v>
      </c>
      <c r="H1500" s="3" t="s">
        <v>137</v>
      </c>
      <c r="I1500" s="3" t="s">
        <v>611</v>
      </c>
      <c r="J1500" s="3" t="s">
        <v>612</v>
      </c>
      <c r="K1500" s="3" t="s">
        <v>45</v>
      </c>
      <c r="L1500" s="3" t="s">
        <v>46</v>
      </c>
      <c r="M1500" s="1" t="s">
        <v>115</v>
      </c>
      <c r="N1500" s="1" t="s">
        <v>116</v>
      </c>
      <c r="O1500" s="1">
        <v>1</v>
      </c>
      <c r="P1500" s="1">
        <v>1</v>
      </c>
      <c r="Q1500" s="1" t="s">
        <v>49</v>
      </c>
      <c r="R1500" s="1">
        <v>1</v>
      </c>
      <c r="S1500" s="1" t="s">
        <v>49</v>
      </c>
      <c r="T1500" s="1" t="s">
        <v>49</v>
      </c>
      <c r="U1500" s="1" t="s">
        <v>119</v>
      </c>
      <c r="V1500" s="3" t="s">
        <v>613</v>
      </c>
      <c r="W1500" s="3">
        <v>38.54</v>
      </c>
      <c r="X1500" s="3">
        <v>-121.74</v>
      </c>
      <c r="Y1500" s="3" t="s">
        <v>614</v>
      </c>
      <c r="Z1500" s="1" t="s">
        <v>49</v>
      </c>
      <c r="AA1500" s="1" t="s">
        <v>50</v>
      </c>
      <c r="AB1500" s="1" t="s">
        <v>201</v>
      </c>
      <c r="AC1500" s="1" t="s">
        <v>204</v>
      </c>
      <c r="AD1500" s="1" t="s">
        <v>615</v>
      </c>
      <c r="AE1500" s="1" t="s">
        <v>615</v>
      </c>
      <c r="AF1500" s="1" t="s">
        <v>53</v>
      </c>
      <c r="AG1500" s="1" t="s">
        <v>53</v>
      </c>
      <c r="AH1500" s="1" t="s">
        <v>83</v>
      </c>
      <c r="AI1500" s="1" t="s">
        <v>55</v>
      </c>
      <c r="AJ1500" s="3">
        <v>34</v>
      </c>
      <c r="AK1500" s="3">
        <v>257</v>
      </c>
      <c r="AL1500" s="2">
        <v>0.43</v>
      </c>
      <c r="AM1500" s="3">
        <v>154776</v>
      </c>
      <c r="AN1500" s="3">
        <f>30773.4^2</f>
        <v>947002147.56000006</v>
      </c>
      <c r="AO1500" s="3">
        <v>13</v>
      </c>
      <c r="AP1500" s="6">
        <v>1</v>
      </c>
      <c r="AQ1500" s="6" t="s">
        <v>49</v>
      </c>
      <c r="AR1500" s="6" t="s">
        <v>49</v>
      </c>
      <c r="AS1500" s="1">
        <f>AL1500*AN1500</f>
        <v>407210923.4508</v>
      </c>
      <c r="AT1500" s="4">
        <f>AS1500/(AM1500^2)*100</f>
        <v>1.6998561942653645</v>
      </c>
      <c r="AU1500" s="5">
        <v>0</v>
      </c>
      <c r="AV1500" s="4">
        <f>AT1500*(1-AL1500)/AL1500</f>
        <v>2.2532977458866461</v>
      </c>
      <c r="AW1500" s="9" t="s">
        <v>616</v>
      </c>
    </row>
    <row r="1501" spans="1:49">
      <c r="A1501" s="1">
        <v>17</v>
      </c>
      <c r="B1501" s="1" t="s">
        <v>38</v>
      </c>
      <c r="C1501" s="1" t="s">
        <v>38</v>
      </c>
      <c r="D1501" s="3" t="s">
        <v>610</v>
      </c>
      <c r="E1501" s="3" t="s">
        <v>71</v>
      </c>
      <c r="F1501" s="3">
        <v>1994</v>
      </c>
      <c r="G1501" s="3" t="s">
        <v>110</v>
      </c>
      <c r="H1501" s="3" t="s">
        <v>137</v>
      </c>
      <c r="I1501" s="3" t="s">
        <v>611</v>
      </c>
      <c r="J1501" s="3" t="s">
        <v>612</v>
      </c>
      <c r="K1501" s="3" t="s">
        <v>45</v>
      </c>
      <c r="L1501" s="3" t="s">
        <v>46</v>
      </c>
      <c r="M1501" s="1" t="s">
        <v>115</v>
      </c>
      <c r="N1501" s="1" t="s">
        <v>116</v>
      </c>
      <c r="O1501" s="1">
        <v>1</v>
      </c>
      <c r="P1501" s="1">
        <v>1</v>
      </c>
      <c r="Q1501" s="1" t="s">
        <v>49</v>
      </c>
      <c r="R1501" s="1">
        <v>1</v>
      </c>
      <c r="S1501" s="1" t="s">
        <v>49</v>
      </c>
      <c r="T1501" s="1" t="s">
        <v>49</v>
      </c>
      <c r="U1501" s="1" t="s">
        <v>119</v>
      </c>
      <c r="V1501" s="3" t="s">
        <v>613</v>
      </c>
      <c r="W1501" s="3">
        <v>38.54</v>
      </c>
      <c r="X1501" s="3">
        <v>-121.74</v>
      </c>
      <c r="Y1501" s="3" t="s">
        <v>614</v>
      </c>
      <c r="Z1501" s="1" t="s">
        <v>49</v>
      </c>
      <c r="AA1501" s="1" t="s">
        <v>50</v>
      </c>
      <c r="AB1501" s="1" t="s">
        <v>201</v>
      </c>
      <c r="AC1501" s="1" t="s">
        <v>204</v>
      </c>
      <c r="AD1501" s="1" t="s">
        <v>620</v>
      </c>
      <c r="AE1501" s="1" t="s">
        <v>620</v>
      </c>
      <c r="AF1501" s="1" t="s">
        <v>60</v>
      </c>
      <c r="AG1501" s="1" t="s">
        <v>173</v>
      </c>
      <c r="AH1501" s="1" t="s">
        <v>83</v>
      </c>
      <c r="AI1501" s="1" t="s">
        <v>55</v>
      </c>
      <c r="AJ1501" s="3">
        <v>34</v>
      </c>
      <c r="AK1501" s="3">
        <v>257</v>
      </c>
      <c r="AL1501" s="2">
        <v>0.18</v>
      </c>
      <c r="AM1501" s="3">
        <v>4452</v>
      </c>
      <c r="AN1501" s="3">
        <f>402.1^2</f>
        <v>161684.41000000003</v>
      </c>
      <c r="AO1501" s="3">
        <v>3.8</v>
      </c>
      <c r="AP1501" s="6">
        <v>1</v>
      </c>
      <c r="AQ1501" s="6" t="s">
        <v>49</v>
      </c>
      <c r="AR1501" s="6" t="s">
        <v>49</v>
      </c>
      <c r="AS1501" s="1">
        <f>AL1501*AN1501</f>
        <v>29103.193800000005</v>
      </c>
      <c r="AT1501" s="4">
        <f>AS1501/(AM1501^2)*100</f>
        <v>0.14683525439367634</v>
      </c>
      <c r="AU1501" s="5">
        <v>0</v>
      </c>
      <c r="AV1501" s="4">
        <f>AT1501*(1-AL1501)/AL1501</f>
        <v>0.6689161589045256</v>
      </c>
      <c r="AW1501" s="9" t="s">
        <v>616</v>
      </c>
    </row>
    <row r="1502" spans="1:49">
      <c r="A1502" s="1">
        <v>17</v>
      </c>
      <c r="B1502" s="1" t="s">
        <v>38</v>
      </c>
      <c r="C1502" s="1" t="s">
        <v>38</v>
      </c>
      <c r="D1502" s="3" t="s">
        <v>610</v>
      </c>
      <c r="E1502" s="3" t="s">
        <v>71</v>
      </c>
      <c r="F1502" s="3">
        <v>1994</v>
      </c>
      <c r="G1502" s="3" t="s">
        <v>110</v>
      </c>
      <c r="H1502" s="3" t="s">
        <v>137</v>
      </c>
      <c r="I1502" s="3" t="s">
        <v>611</v>
      </c>
      <c r="J1502" s="3" t="s">
        <v>612</v>
      </c>
      <c r="K1502" s="3" t="s">
        <v>45</v>
      </c>
      <c r="L1502" s="3" t="s">
        <v>46</v>
      </c>
      <c r="M1502" s="1" t="s">
        <v>115</v>
      </c>
      <c r="N1502" s="1" t="s">
        <v>116</v>
      </c>
      <c r="O1502" s="1">
        <v>1</v>
      </c>
      <c r="P1502" s="1">
        <v>1</v>
      </c>
      <c r="Q1502" s="1" t="s">
        <v>49</v>
      </c>
      <c r="R1502" s="1">
        <v>1</v>
      </c>
      <c r="S1502" s="1" t="s">
        <v>49</v>
      </c>
      <c r="T1502" s="1" t="s">
        <v>49</v>
      </c>
      <c r="U1502" s="1" t="s">
        <v>119</v>
      </c>
      <c r="V1502" s="3" t="s">
        <v>613</v>
      </c>
      <c r="W1502" s="3">
        <v>38.54</v>
      </c>
      <c r="X1502" s="3">
        <v>-121.74</v>
      </c>
      <c r="Y1502" s="3" t="s">
        <v>614</v>
      </c>
      <c r="Z1502" s="1" t="s">
        <v>49</v>
      </c>
      <c r="AA1502" s="1" t="s">
        <v>50</v>
      </c>
      <c r="AB1502" s="1" t="s">
        <v>66</v>
      </c>
      <c r="AC1502" s="1" t="s">
        <v>67</v>
      </c>
      <c r="AD1502" s="1" t="s">
        <v>89</v>
      </c>
      <c r="AE1502" s="1" t="s">
        <v>89</v>
      </c>
      <c r="AF1502" s="1" t="s">
        <v>60</v>
      </c>
      <c r="AG1502" s="1" t="s">
        <v>61</v>
      </c>
      <c r="AH1502" s="1" t="s">
        <v>83</v>
      </c>
      <c r="AI1502" s="1" t="s">
        <v>55</v>
      </c>
      <c r="AJ1502" s="3">
        <v>34</v>
      </c>
      <c r="AK1502" s="3">
        <v>257</v>
      </c>
      <c r="AL1502" s="2">
        <v>0.41</v>
      </c>
      <c r="AM1502" s="3">
        <v>22.84</v>
      </c>
      <c r="AN1502" s="3">
        <f>4.56^2</f>
        <v>20.793599999999998</v>
      </c>
      <c r="AO1502" s="3">
        <v>12.8</v>
      </c>
      <c r="AP1502" s="6">
        <v>1</v>
      </c>
      <c r="AQ1502" s="6" t="s">
        <v>49</v>
      </c>
      <c r="AR1502" s="6" t="s">
        <v>49</v>
      </c>
      <c r="AS1502" s="1">
        <f>AL1502*AN1502</f>
        <v>8.5253759999999978</v>
      </c>
      <c r="AT1502" s="4">
        <f>AS1502/(AM1502^2)*100</f>
        <v>1.6342607218110601</v>
      </c>
      <c r="AU1502" s="5">
        <v>0</v>
      </c>
      <c r="AV1502" s="4">
        <f>AT1502*(1-AL1502)/AL1502</f>
        <v>2.3517410387037212</v>
      </c>
      <c r="AW1502" s="9" t="s">
        <v>616</v>
      </c>
    </row>
    <row r="1503" spans="1:49" ht="15" customHeight="1">
      <c r="A1503" s="1">
        <v>17</v>
      </c>
      <c r="B1503" s="1" t="s">
        <v>38</v>
      </c>
      <c r="C1503" s="1" t="s">
        <v>38</v>
      </c>
      <c r="D1503" s="3" t="s">
        <v>610</v>
      </c>
      <c r="E1503" s="3" t="s">
        <v>71</v>
      </c>
      <c r="F1503" s="3">
        <v>1994</v>
      </c>
      <c r="G1503" s="3" t="s">
        <v>110</v>
      </c>
      <c r="H1503" s="3" t="s">
        <v>137</v>
      </c>
      <c r="I1503" s="3" t="s">
        <v>611</v>
      </c>
      <c r="J1503" s="3" t="s">
        <v>612</v>
      </c>
      <c r="K1503" s="3" t="s">
        <v>45</v>
      </c>
      <c r="L1503" s="3" t="s">
        <v>46</v>
      </c>
      <c r="M1503" s="1" t="s">
        <v>115</v>
      </c>
      <c r="N1503" s="1" t="s">
        <v>116</v>
      </c>
      <c r="O1503" s="1">
        <v>1</v>
      </c>
      <c r="P1503" s="1">
        <v>1</v>
      </c>
      <c r="Q1503" s="1" t="s">
        <v>49</v>
      </c>
      <c r="R1503" s="1">
        <v>1</v>
      </c>
      <c r="S1503" s="1" t="s">
        <v>49</v>
      </c>
      <c r="T1503" s="1" t="s">
        <v>49</v>
      </c>
      <c r="U1503" s="1" t="s">
        <v>119</v>
      </c>
      <c r="V1503" s="3" t="s">
        <v>613</v>
      </c>
      <c r="W1503" s="3">
        <v>38.54</v>
      </c>
      <c r="X1503" s="3">
        <v>-121.74</v>
      </c>
      <c r="Y1503" s="3" t="s">
        <v>614</v>
      </c>
      <c r="Z1503" s="1" t="s">
        <v>49</v>
      </c>
      <c r="AA1503" s="6" t="s">
        <v>49</v>
      </c>
      <c r="AB1503" s="6" t="s">
        <v>49</v>
      </c>
      <c r="AC1503" s="6" t="s">
        <v>49</v>
      </c>
      <c r="AD1503" s="1" t="s">
        <v>615</v>
      </c>
      <c r="AE1503" s="1" t="s">
        <v>620</v>
      </c>
      <c r="AF1503" s="6" t="s">
        <v>49</v>
      </c>
      <c r="AG1503" s="6" t="s">
        <v>49</v>
      </c>
      <c r="AH1503" s="1" t="s">
        <v>83</v>
      </c>
      <c r="AI1503" s="1" t="s">
        <v>55</v>
      </c>
      <c r="AJ1503" s="20" t="s">
        <v>49</v>
      </c>
      <c r="AK1503" s="20" t="s">
        <v>49</v>
      </c>
      <c r="AL1503" s="20" t="s">
        <v>49</v>
      </c>
      <c r="AM1503" s="20" t="s">
        <v>49</v>
      </c>
      <c r="AN1503" s="1" t="s">
        <v>49</v>
      </c>
      <c r="AO1503" s="1" t="s">
        <v>49</v>
      </c>
      <c r="AP1503" s="6">
        <v>1</v>
      </c>
      <c r="AQ1503" s="6">
        <v>-0.26</v>
      </c>
      <c r="AR1503" s="6" t="s">
        <v>49</v>
      </c>
      <c r="AS1503" s="6" t="s">
        <v>49</v>
      </c>
      <c r="AT1503" s="6" t="s">
        <v>49</v>
      </c>
      <c r="AU1503" s="6" t="s">
        <v>49</v>
      </c>
      <c r="AV1503" s="6" t="s">
        <v>49</v>
      </c>
      <c r="AW1503" s="9" t="s">
        <v>621</v>
      </c>
    </row>
    <row r="1504" spans="1:49" ht="15" customHeight="1">
      <c r="A1504" s="1">
        <v>17</v>
      </c>
      <c r="B1504" s="1" t="s">
        <v>38</v>
      </c>
      <c r="C1504" s="1" t="s">
        <v>38</v>
      </c>
      <c r="D1504" s="3" t="s">
        <v>610</v>
      </c>
      <c r="E1504" s="3" t="s">
        <v>71</v>
      </c>
      <c r="F1504" s="3">
        <v>1994</v>
      </c>
      <c r="G1504" s="3" t="s">
        <v>110</v>
      </c>
      <c r="H1504" s="3" t="s">
        <v>137</v>
      </c>
      <c r="I1504" s="3" t="s">
        <v>611</v>
      </c>
      <c r="J1504" s="3" t="s">
        <v>612</v>
      </c>
      <c r="K1504" s="3" t="s">
        <v>45</v>
      </c>
      <c r="L1504" s="3" t="s">
        <v>46</v>
      </c>
      <c r="M1504" s="1" t="s">
        <v>115</v>
      </c>
      <c r="N1504" s="1" t="s">
        <v>116</v>
      </c>
      <c r="O1504" s="1">
        <v>1</v>
      </c>
      <c r="P1504" s="1">
        <v>1</v>
      </c>
      <c r="Q1504" s="1" t="s">
        <v>49</v>
      </c>
      <c r="R1504" s="1">
        <v>1</v>
      </c>
      <c r="S1504" s="1" t="s">
        <v>49</v>
      </c>
      <c r="T1504" s="1" t="s">
        <v>49</v>
      </c>
      <c r="U1504" s="1" t="s">
        <v>119</v>
      </c>
      <c r="V1504" s="3" t="s">
        <v>613</v>
      </c>
      <c r="W1504" s="3">
        <v>38.54</v>
      </c>
      <c r="X1504" s="3">
        <v>-121.74</v>
      </c>
      <c r="Y1504" s="3" t="s">
        <v>614</v>
      </c>
      <c r="Z1504" s="1" t="s">
        <v>49</v>
      </c>
      <c r="AA1504" s="6" t="s">
        <v>49</v>
      </c>
      <c r="AB1504" s="6" t="s">
        <v>49</v>
      </c>
      <c r="AC1504" s="6" t="s">
        <v>49</v>
      </c>
      <c r="AD1504" s="1" t="s">
        <v>620</v>
      </c>
      <c r="AE1504" s="1" t="s">
        <v>89</v>
      </c>
      <c r="AF1504" s="6" t="s">
        <v>49</v>
      </c>
      <c r="AG1504" s="6" t="s">
        <v>49</v>
      </c>
      <c r="AH1504" s="1" t="s">
        <v>83</v>
      </c>
      <c r="AI1504" s="1" t="s">
        <v>55</v>
      </c>
      <c r="AJ1504" s="20" t="s">
        <v>49</v>
      </c>
      <c r="AK1504" s="20" t="s">
        <v>49</v>
      </c>
      <c r="AL1504" s="20" t="s">
        <v>49</v>
      </c>
      <c r="AM1504" s="20" t="s">
        <v>49</v>
      </c>
      <c r="AN1504" s="1" t="s">
        <v>49</v>
      </c>
      <c r="AO1504" s="1" t="s">
        <v>49</v>
      </c>
      <c r="AP1504" s="6">
        <v>1</v>
      </c>
      <c r="AQ1504" s="6">
        <v>-7.0000000000000007E-2</v>
      </c>
      <c r="AR1504" s="6" t="s">
        <v>49</v>
      </c>
      <c r="AS1504" s="6" t="s">
        <v>49</v>
      </c>
      <c r="AT1504" s="6" t="s">
        <v>49</v>
      </c>
      <c r="AU1504" s="6" t="s">
        <v>49</v>
      </c>
      <c r="AV1504" s="6" t="s">
        <v>49</v>
      </c>
      <c r="AW1504" s="9" t="s">
        <v>621</v>
      </c>
    </row>
    <row r="1505" spans="1:49" ht="15" customHeight="1">
      <c r="A1505" s="1">
        <v>17</v>
      </c>
      <c r="B1505" s="1" t="s">
        <v>38</v>
      </c>
      <c r="C1505" s="1" t="s">
        <v>38</v>
      </c>
      <c r="D1505" s="3" t="s">
        <v>610</v>
      </c>
      <c r="E1505" s="3" t="s">
        <v>71</v>
      </c>
      <c r="F1505" s="3">
        <v>1994</v>
      </c>
      <c r="G1505" s="3" t="s">
        <v>110</v>
      </c>
      <c r="H1505" s="3" t="s">
        <v>137</v>
      </c>
      <c r="I1505" s="3" t="s">
        <v>611</v>
      </c>
      <c r="J1505" s="3" t="s">
        <v>612</v>
      </c>
      <c r="K1505" s="3" t="s">
        <v>45</v>
      </c>
      <c r="L1505" s="3" t="s">
        <v>46</v>
      </c>
      <c r="M1505" s="1" t="s">
        <v>115</v>
      </c>
      <c r="N1505" s="1" t="s">
        <v>116</v>
      </c>
      <c r="O1505" s="1">
        <v>1</v>
      </c>
      <c r="P1505" s="1">
        <v>1</v>
      </c>
      <c r="Q1505" s="1" t="s">
        <v>49</v>
      </c>
      <c r="R1505" s="1">
        <v>1</v>
      </c>
      <c r="S1505" s="1" t="s">
        <v>49</v>
      </c>
      <c r="T1505" s="1" t="s">
        <v>49</v>
      </c>
      <c r="U1505" s="1" t="s">
        <v>119</v>
      </c>
      <c r="V1505" s="3" t="s">
        <v>613</v>
      </c>
      <c r="W1505" s="3">
        <v>38.54</v>
      </c>
      <c r="X1505" s="3">
        <v>-121.74</v>
      </c>
      <c r="Y1505" s="3" t="s">
        <v>614</v>
      </c>
      <c r="Z1505" s="1" t="s">
        <v>49</v>
      </c>
      <c r="AA1505" s="6" t="s">
        <v>49</v>
      </c>
      <c r="AB1505" s="6" t="s">
        <v>49</v>
      </c>
      <c r="AC1505" s="6" t="s">
        <v>49</v>
      </c>
      <c r="AD1505" s="1" t="s">
        <v>615</v>
      </c>
      <c r="AE1505" s="1" t="s">
        <v>89</v>
      </c>
      <c r="AF1505" s="6" t="s">
        <v>49</v>
      </c>
      <c r="AG1505" s="6" t="s">
        <v>49</v>
      </c>
      <c r="AH1505" s="1" t="s">
        <v>83</v>
      </c>
      <c r="AI1505" s="1" t="s">
        <v>55</v>
      </c>
      <c r="AJ1505" s="20" t="s">
        <v>49</v>
      </c>
      <c r="AK1505" s="20" t="s">
        <v>49</v>
      </c>
      <c r="AL1505" s="20" t="s">
        <v>49</v>
      </c>
      <c r="AM1505" s="20" t="s">
        <v>49</v>
      </c>
      <c r="AN1505" s="1" t="s">
        <v>49</v>
      </c>
      <c r="AO1505" s="1" t="s">
        <v>49</v>
      </c>
      <c r="AP1505" s="6">
        <v>1</v>
      </c>
      <c r="AQ1505" s="6">
        <v>0.74</v>
      </c>
      <c r="AR1505" s="6" t="s">
        <v>49</v>
      </c>
      <c r="AS1505" s="6" t="s">
        <v>49</v>
      </c>
      <c r="AT1505" s="6" t="s">
        <v>49</v>
      </c>
      <c r="AU1505" s="6" t="s">
        <v>49</v>
      </c>
      <c r="AV1505" s="6" t="s">
        <v>49</v>
      </c>
      <c r="AW1505" s="9" t="s">
        <v>621</v>
      </c>
    </row>
    <row r="1506" spans="1:49" ht="15" customHeight="1">
      <c r="A1506" s="1">
        <v>17</v>
      </c>
      <c r="B1506" s="1" t="s">
        <v>38</v>
      </c>
      <c r="C1506" s="1" t="s">
        <v>38</v>
      </c>
      <c r="D1506" s="3" t="s">
        <v>610</v>
      </c>
      <c r="E1506" s="3" t="s">
        <v>71</v>
      </c>
      <c r="F1506" s="3">
        <v>1994</v>
      </c>
      <c r="G1506" s="3" t="s">
        <v>110</v>
      </c>
      <c r="H1506" s="3" t="s">
        <v>137</v>
      </c>
      <c r="I1506" s="3" t="s">
        <v>611</v>
      </c>
      <c r="J1506" s="3" t="s">
        <v>612</v>
      </c>
      <c r="K1506" s="3" t="s">
        <v>45</v>
      </c>
      <c r="L1506" s="3" t="s">
        <v>46</v>
      </c>
      <c r="M1506" s="1" t="s">
        <v>115</v>
      </c>
      <c r="N1506" s="1" t="s">
        <v>116</v>
      </c>
      <c r="O1506" s="1">
        <v>1</v>
      </c>
      <c r="P1506" s="1">
        <v>1</v>
      </c>
      <c r="Q1506" s="1" t="s">
        <v>49</v>
      </c>
      <c r="R1506" s="1">
        <v>1</v>
      </c>
      <c r="S1506" s="1" t="s">
        <v>49</v>
      </c>
      <c r="T1506" s="1" t="s">
        <v>49</v>
      </c>
      <c r="U1506" s="1" t="s">
        <v>119</v>
      </c>
      <c r="V1506" s="3" t="s">
        <v>613</v>
      </c>
      <c r="W1506" s="3">
        <v>38.54</v>
      </c>
      <c r="X1506" s="3">
        <v>-121.74</v>
      </c>
      <c r="Y1506" s="3" t="s">
        <v>617</v>
      </c>
      <c r="Z1506" s="1" t="s">
        <v>49</v>
      </c>
      <c r="AA1506" s="1" t="s">
        <v>50</v>
      </c>
      <c r="AB1506" s="1" t="s">
        <v>201</v>
      </c>
      <c r="AC1506" s="1" t="s">
        <v>204</v>
      </c>
      <c r="AD1506" s="1" t="s">
        <v>615</v>
      </c>
      <c r="AE1506" s="1" t="s">
        <v>615</v>
      </c>
      <c r="AF1506" s="1" t="s">
        <v>53</v>
      </c>
      <c r="AG1506" s="1" t="s">
        <v>53</v>
      </c>
      <c r="AH1506" s="1" t="s">
        <v>83</v>
      </c>
      <c r="AI1506" s="1" t="s">
        <v>55</v>
      </c>
      <c r="AJ1506" s="3">
        <v>19</v>
      </c>
      <c r="AK1506" s="3">
        <v>69</v>
      </c>
      <c r="AL1506" s="2">
        <v>0.75</v>
      </c>
      <c r="AM1506" s="3">
        <v>133507</v>
      </c>
      <c r="AN1506" s="3">
        <f>22720.9^2</f>
        <v>516239296.81000006</v>
      </c>
      <c r="AO1506" s="3" t="s">
        <v>49</v>
      </c>
      <c r="AP1506" s="6">
        <v>1</v>
      </c>
      <c r="AQ1506" s="6" t="s">
        <v>49</v>
      </c>
      <c r="AR1506" s="6" t="s">
        <v>49</v>
      </c>
      <c r="AS1506" s="1">
        <f>AL1506*AN1506</f>
        <v>387179472.60750008</v>
      </c>
      <c r="AT1506" s="4">
        <f>AS1506/(AM1506^2)*100</f>
        <v>2.1722222093732162</v>
      </c>
      <c r="AU1506" s="5">
        <v>0</v>
      </c>
      <c r="AV1506" s="4">
        <f>AT1506*(1-AL1506)/AL1506</f>
        <v>0.72407406979107203</v>
      </c>
      <c r="AW1506" s="9" t="s">
        <v>616</v>
      </c>
    </row>
    <row r="1507" spans="1:49">
      <c r="A1507" s="1">
        <v>17</v>
      </c>
      <c r="B1507" s="1" t="s">
        <v>38</v>
      </c>
      <c r="C1507" s="1" t="s">
        <v>38</v>
      </c>
      <c r="D1507" s="3" t="s">
        <v>610</v>
      </c>
      <c r="E1507" s="3" t="s">
        <v>71</v>
      </c>
      <c r="F1507" s="3">
        <v>1994</v>
      </c>
      <c r="G1507" s="3" t="s">
        <v>110</v>
      </c>
      <c r="H1507" s="3" t="s">
        <v>137</v>
      </c>
      <c r="I1507" s="3" t="s">
        <v>611</v>
      </c>
      <c r="J1507" s="3" t="s">
        <v>612</v>
      </c>
      <c r="K1507" s="3" t="s">
        <v>45</v>
      </c>
      <c r="L1507" s="3" t="s">
        <v>46</v>
      </c>
      <c r="M1507" s="1" t="s">
        <v>115</v>
      </c>
      <c r="N1507" s="1" t="s">
        <v>116</v>
      </c>
      <c r="O1507" s="1">
        <v>1</v>
      </c>
      <c r="P1507" s="1">
        <v>1</v>
      </c>
      <c r="Q1507" s="1" t="s">
        <v>49</v>
      </c>
      <c r="R1507" s="1">
        <v>1</v>
      </c>
      <c r="S1507" s="1" t="s">
        <v>49</v>
      </c>
      <c r="T1507" s="1" t="s">
        <v>49</v>
      </c>
      <c r="U1507" s="1" t="s">
        <v>119</v>
      </c>
      <c r="V1507" s="3" t="s">
        <v>613</v>
      </c>
      <c r="W1507" s="3">
        <v>38.54</v>
      </c>
      <c r="X1507" s="3">
        <v>-121.74</v>
      </c>
      <c r="Y1507" s="3" t="s">
        <v>617</v>
      </c>
      <c r="Z1507" s="1" t="s">
        <v>49</v>
      </c>
      <c r="AA1507" s="1" t="s">
        <v>50</v>
      </c>
      <c r="AB1507" s="1" t="s">
        <v>201</v>
      </c>
      <c r="AC1507" s="1" t="s">
        <v>204</v>
      </c>
      <c r="AD1507" s="1" t="s">
        <v>620</v>
      </c>
      <c r="AE1507" s="1" t="s">
        <v>620</v>
      </c>
      <c r="AF1507" s="1" t="s">
        <v>60</v>
      </c>
      <c r="AG1507" s="1" t="s">
        <v>173</v>
      </c>
      <c r="AH1507" s="1" t="s">
        <v>83</v>
      </c>
      <c r="AI1507" s="1" t="s">
        <v>55</v>
      </c>
      <c r="AJ1507" s="3">
        <v>19</v>
      </c>
      <c r="AK1507" s="3">
        <v>69</v>
      </c>
      <c r="AL1507" s="2">
        <v>-0.14000000000000001</v>
      </c>
      <c r="AM1507" s="3">
        <v>4546</v>
      </c>
      <c r="AN1507" s="3">
        <f>265.9^2</f>
        <v>70702.809999999983</v>
      </c>
      <c r="AO1507" s="3" t="s">
        <v>49</v>
      </c>
      <c r="AP1507" s="6">
        <v>1</v>
      </c>
      <c r="AQ1507" s="6" t="s">
        <v>49</v>
      </c>
      <c r="AR1507" s="6" t="s">
        <v>49</v>
      </c>
      <c r="AS1507" s="1">
        <f>AL1507*AN1507</f>
        <v>-9898.393399999999</v>
      </c>
      <c r="AT1507" s="4">
        <f>AS1507/(AM1507^2)*100</f>
        <v>-4.7896728151530746E-2</v>
      </c>
      <c r="AU1507" s="5">
        <v>0</v>
      </c>
      <c r="AV1507" s="4">
        <f>AT1507*(1-AL1507)/AL1507</f>
        <v>0.39001621494817895</v>
      </c>
      <c r="AW1507" s="9" t="s">
        <v>616</v>
      </c>
    </row>
    <row r="1508" spans="1:49">
      <c r="A1508" s="1">
        <v>17</v>
      </c>
      <c r="B1508" s="1" t="s">
        <v>38</v>
      </c>
      <c r="C1508" s="1" t="s">
        <v>38</v>
      </c>
      <c r="D1508" s="3" t="s">
        <v>610</v>
      </c>
      <c r="E1508" s="3" t="s">
        <v>71</v>
      </c>
      <c r="F1508" s="3">
        <v>1994</v>
      </c>
      <c r="G1508" s="3" t="s">
        <v>110</v>
      </c>
      <c r="H1508" s="3" t="s">
        <v>137</v>
      </c>
      <c r="I1508" s="3" t="s">
        <v>611</v>
      </c>
      <c r="J1508" s="3" t="s">
        <v>612</v>
      </c>
      <c r="K1508" s="3" t="s">
        <v>45</v>
      </c>
      <c r="L1508" s="3" t="s">
        <v>46</v>
      </c>
      <c r="M1508" s="1" t="s">
        <v>115</v>
      </c>
      <c r="N1508" s="1" t="s">
        <v>116</v>
      </c>
      <c r="O1508" s="1">
        <v>1</v>
      </c>
      <c r="P1508" s="1">
        <v>1</v>
      </c>
      <c r="Q1508" s="1" t="s">
        <v>49</v>
      </c>
      <c r="R1508" s="1">
        <v>1</v>
      </c>
      <c r="S1508" s="1" t="s">
        <v>49</v>
      </c>
      <c r="T1508" s="1" t="s">
        <v>49</v>
      </c>
      <c r="U1508" s="1" t="s">
        <v>119</v>
      </c>
      <c r="V1508" s="3" t="s">
        <v>613</v>
      </c>
      <c r="W1508" s="3">
        <v>38.54</v>
      </c>
      <c r="X1508" s="3">
        <v>-121.74</v>
      </c>
      <c r="Y1508" s="3" t="s">
        <v>617</v>
      </c>
      <c r="Z1508" s="1" t="s">
        <v>49</v>
      </c>
      <c r="AA1508" s="1" t="s">
        <v>50</v>
      </c>
      <c r="AB1508" s="1" t="s">
        <v>66</v>
      </c>
      <c r="AC1508" s="1" t="s">
        <v>67</v>
      </c>
      <c r="AD1508" s="1" t="s">
        <v>89</v>
      </c>
      <c r="AE1508" s="1" t="s">
        <v>89</v>
      </c>
      <c r="AF1508" s="1" t="s">
        <v>60</v>
      </c>
      <c r="AG1508" s="1" t="s">
        <v>61</v>
      </c>
      <c r="AH1508" s="1" t="s">
        <v>83</v>
      </c>
      <c r="AI1508" s="1" t="s">
        <v>55</v>
      </c>
      <c r="AJ1508" s="3">
        <v>19</v>
      </c>
      <c r="AK1508" s="3">
        <v>69</v>
      </c>
      <c r="AL1508" s="2">
        <v>0.47</v>
      </c>
      <c r="AM1508" s="3">
        <v>23.93</v>
      </c>
      <c r="AN1508" s="3">
        <f>3.55^2</f>
        <v>12.602499999999999</v>
      </c>
      <c r="AO1508" s="3" t="s">
        <v>49</v>
      </c>
      <c r="AP1508" s="6">
        <v>1</v>
      </c>
      <c r="AQ1508" s="6" t="s">
        <v>49</v>
      </c>
      <c r="AR1508" s="6" t="s">
        <v>49</v>
      </c>
      <c r="AS1508" s="1">
        <f>AL1508*AN1508</f>
        <v>5.9231749999999996</v>
      </c>
      <c r="AT1508" s="4">
        <f>AS1508/(AM1508^2)*100</f>
        <v>1.0343539250938931</v>
      </c>
      <c r="AU1508" s="5">
        <v>0</v>
      </c>
      <c r="AV1508" s="4">
        <f>AT1508*(1-AL1508)/AL1508</f>
        <v>1.1663991070207731</v>
      </c>
      <c r="AW1508" s="9" t="s">
        <v>616</v>
      </c>
    </row>
    <row r="1509" spans="1:49" ht="15" customHeight="1">
      <c r="A1509" s="1">
        <v>17</v>
      </c>
      <c r="B1509" s="1" t="s">
        <v>38</v>
      </c>
      <c r="C1509" s="1" t="s">
        <v>38</v>
      </c>
      <c r="D1509" s="3" t="s">
        <v>610</v>
      </c>
      <c r="E1509" s="3" t="s">
        <v>71</v>
      </c>
      <c r="F1509" s="3">
        <v>1994</v>
      </c>
      <c r="G1509" s="3" t="s">
        <v>110</v>
      </c>
      <c r="H1509" s="3" t="s">
        <v>137</v>
      </c>
      <c r="I1509" s="3" t="s">
        <v>611</v>
      </c>
      <c r="J1509" s="3" t="s">
        <v>612</v>
      </c>
      <c r="K1509" s="3" t="s">
        <v>45</v>
      </c>
      <c r="L1509" s="3" t="s">
        <v>46</v>
      </c>
      <c r="M1509" s="1" t="s">
        <v>115</v>
      </c>
      <c r="N1509" s="1" t="s">
        <v>116</v>
      </c>
      <c r="O1509" s="1">
        <v>1</v>
      </c>
      <c r="P1509" s="1">
        <v>1</v>
      </c>
      <c r="Q1509" s="1" t="s">
        <v>49</v>
      </c>
      <c r="R1509" s="1">
        <v>1</v>
      </c>
      <c r="S1509" s="1" t="s">
        <v>49</v>
      </c>
      <c r="T1509" s="1" t="s">
        <v>49</v>
      </c>
      <c r="U1509" s="1" t="s">
        <v>119</v>
      </c>
      <c r="V1509" s="3" t="s">
        <v>613</v>
      </c>
      <c r="W1509" s="3">
        <v>38.54</v>
      </c>
      <c r="X1509" s="3">
        <v>-121.74</v>
      </c>
      <c r="Y1509" s="3" t="s">
        <v>617</v>
      </c>
      <c r="Z1509" s="1" t="s">
        <v>49</v>
      </c>
      <c r="AA1509" s="6" t="s">
        <v>49</v>
      </c>
      <c r="AB1509" s="6" t="s">
        <v>49</v>
      </c>
      <c r="AC1509" s="6" t="s">
        <v>49</v>
      </c>
      <c r="AD1509" s="1" t="s">
        <v>615</v>
      </c>
      <c r="AE1509" s="1" t="s">
        <v>620</v>
      </c>
      <c r="AF1509" s="6" t="s">
        <v>49</v>
      </c>
      <c r="AG1509" s="6" t="s">
        <v>49</v>
      </c>
      <c r="AH1509" s="1" t="s">
        <v>83</v>
      </c>
      <c r="AI1509" s="1" t="s">
        <v>55</v>
      </c>
      <c r="AJ1509" s="20" t="s">
        <v>49</v>
      </c>
      <c r="AK1509" s="20" t="s">
        <v>49</v>
      </c>
      <c r="AL1509" s="20" t="s">
        <v>49</v>
      </c>
      <c r="AM1509" s="20" t="s">
        <v>49</v>
      </c>
      <c r="AN1509" s="1" t="s">
        <v>49</v>
      </c>
      <c r="AO1509" s="1" t="s">
        <v>49</v>
      </c>
      <c r="AP1509" s="6">
        <v>1</v>
      </c>
      <c r="AQ1509" s="6">
        <v>-0.24</v>
      </c>
      <c r="AR1509" s="6" t="s">
        <v>49</v>
      </c>
      <c r="AS1509" s="6" t="s">
        <v>49</v>
      </c>
      <c r="AT1509" s="6" t="s">
        <v>49</v>
      </c>
      <c r="AU1509" s="6" t="s">
        <v>49</v>
      </c>
      <c r="AV1509" s="6" t="s">
        <v>49</v>
      </c>
      <c r="AW1509" s="9" t="s">
        <v>621</v>
      </c>
    </row>
    <row r="1510" spans="1:49" ht="15" customHeight="1">
      <c r="A1510" s="1">
        <v>17</v>
      </c>
      <c r="B1510" s="1" t="s">
        <v>38</v>
      </c>
      <c r="C1510" s="1" t="s">
        <v>38</v>
      </c>
      <c r="D1510" s="3" t="s">
        <v>610</v>
      </c>
      <c r="E1510" s="3" t="s">
        <v>71</v>
      </c>
      <c r="F1510" s="3">
        <v>1994</v>
      </c>
      <c r="G1510" s="3" t="s">
        <v>110</v>
      </c>
      <c r="H1510" s="3" t="s">
        <v>137</v>
      </c>
      <c r="I1510" s="3" t="s">
        <v>611</v>
      </c>
      <c r="J1510" s="3" t="s">
        <v>612</v>
      </c>
      <c r="K1510" s="3" t="s">
        <v>45</v>
      </c>
      <c r="L1510" s="3" t="s">
        <v>46</v>
      </c>
      <c r="M1510" s="1" t="s">
        <v>115</v>
      </c>
      <c r="N1510" s="1" t="s">
        <v>116</v>
      </c>
      <c r="O1510" s="1">
        <v>1</v>
      </c>
      <c r="P1510" s="1">
        <v>1</v>
      </c>
      <c r="Q1510" s="1" t="s">
        <v>49</v>
      </c>
      <c r="R1510" s="1">
        <v>1</v>
      </c>
      <c r="S1510" s="1" t="s">
        <v>49</v>
      </c>
      <c r="T1510" s="1" t="s">
        <v>49</v>
      </c>
      <c r="U1510" s="1" t="s">
        <v>119</v>
      </c>
      <c r="V1510" s="3" t="s">
        <v>613</v>
      </c>
      <c r="W1510" s="3">
        <v>38.54</v>
      </c>
      <c r="X1510" s="3">
        <v>-121.74</v>
      </c>
      <c r="Y1510" s="3" t="s">
        <v>617</v>
      </c>
      <c r="Z1510" s="1" t="s">
        <v>49</v>
      </c>
      <c r="AA1510" s="6" t="s">
        <v>49</v>
      </c>
      <c r="AB1510" s="6" t="s">
        <v>49</v>
      </c>
      <c r="AC1510" s="6" t="s">
        <v>49</v>
      </c>
      <c r="AD1510" s="1" t="s">
        <v>620</v>
      </c>
      <c r="AE1510" s="1" t="s">
        <v>89</v>
      </c>
      <c r="AF1510" s="6" t="s">
        <v>49</v>
      </c>
      <c r="AG1510" s="6" t="s">
        <v>49</v>
      </c>
      <c r="AH1510" s="1" t="s">
        <v>83</v>
      </c>
      <c r="AI1510" s="1" t="s">
        <v>55</v>
      </c>
      <c r="AJ1510" s="20" t="s">
        <v>49</v>
      </c>
      <c r="AK1510" s="20" t="s">
        <v>49</v>
      </c>
      <c r="AL1510" s="20" t="s">
        <v>49</v>
      </c>
      <c r="AM1510" s="20" t="s">
        <v>49</v>
      </c>
      <c r="AN1510" s="1" t="s">
        <v>49</v>
      </c>
      <c r="AO1510" s="1" t="s">
        <v>49</v>
      </c>
      <c r="AP1510" s="6">
        <v>1</v>
      </c>
      <c r="AQ1510" s="6">
        <v>-0.16</v>
      </c>
      <c r="AR1510" s="6" t="s">
        <v>49</v>
      </c>
      <c r="AS1510" s="6" t="s">
        <v>49</v>
      </c>
      <c r="AT1510" s="6" t="s">
        <v>49</v>
      </c>
      <c r="AU1510" s="6" t="s">
        <v>49</v>
      </c>
      <c r="AV1510" s="6" t="s">
        <v>49</v>
      </c>
      <c r="AW1510" s="9" t="s">
        <v>621</v>
      </c>
    </row>
    <row r="1511" spans="1:49" ht="15" customHeight="1">
      <c r="A1511" s="1">
        <v>17</v>
      </c>
      <c r="B1511" s="1" t="s">
        <v>38</v>
      </c>
      <c r="C1511" s="1" t="s">
        <v>38</v>
      </c>
      <c r="D1511" s="3" t="s">
        <v>610</v>
      </c>
      <c r="E1511" s="3" t="s">
        <v>71</v>
      </c>
      <c r="F1511" s="3">
        <v>1994</v>
      </c>
      <c r="G1511" s="3" t="s">
        <v>110</v>
      </c>
      <c r="H1511" s="3" t="s">
        <v>137</v>
      </c>
      <c r="I1511" s="3" t="s">
        <v>611</v>
      </c>
      <c r="J1511" s="3" t="s">
        <v>612</v>
      </c>
      <c r="K1511" s="3" t="s">
        <v>45</v>
      </c>
      <c r="L1511" s="3" t="s">
        <v>46</v>
      </c>
      <c r="M1511" s="1" t="s">
        <v>115</v>
      </c>
      <c r="N1511" s="1" t="s">
        <v>116</v>
      </c>
      <c r="O1511" s="1">
        <v>1</v>
      </c>
      <c r="P1511" s="1">
        <v>1</v>
      </c>
      <c r="Q1511" s="1" t="s">
        <v>49</v>
      </c>
      <c r="R1511" s="1">
        <v>1</v>
      </c>
      <c r="S1511" s="1" t="s">
        <v>49</v>
      </c>
      <c r="T1511" s="1" t="s">
        <v>49</v>
      </c>
      <c r="U1511" s="1" t="s">
        <v>119</v>
      </c>
      <c r="V1511" s="3" t="s">
        <v>613</v>
      </c>
      <c r="W1511" s="3">
        <v>38.54</v>
      </c>
      <c r="X1511" s="3">
        <v>-121.74</v>
      </c>
      <c r="Y1511" s="3" t="s">
        <v>617</v>
      </c>
      <c r="Z1511" s="1" t="s">
        <v>49</v>
      </c>
      <c r="AA1511" s="6" t="s">
        <v>49</v>
      </c>
      <c r="AB1511" s="6" t="s">
        <v>49</v>
      </c>
      <c r="AC1511" s="6" t="s">
        <v>49</v>
      </c>
      <c r="AD1511" s="1" t="s">
        <v>615</v>
      </c>
      <c r="AE1511" s="1" t="s">
        <v>89</v>
      </c>
      <c r="AF1511" s="6" t="s">
        <v>49</v>
      </c>
      <c r="AG1511" s="6" t="s">
        <v>49</v>
      </c>
      <c r="AH1511" s="1" t="s">
        <v>83</v>
      </c>
      <c r="AI1511" s="1" t="s">
        <v>55</v>
      </c>
      <c r="AJ1511" s="20" t="s">
        <v>49</v>
      </c>
      <c r="AK1511" s="20" t="s">
        <v>49</v>
      </c>
      <c r="AL1511" s="20" t="s">
        <v>49</v>
      </c>
      <c r="AM1511" s="20" t="s">
        <v>49</v>
      </c>
      <c r="AN1511" s="1" t="s">
        <v>49</v>
      </c>
      <c r="AO1511" s="1" t="s">
        <v>49</v>
      </c>
      <c r="AP1511" s="6">
        <v>1</v>
      </c>
      <c r="AQ1511" s="6">
        <v>0.61</v>
      </c>
      <c r="AR1511" s="6" t="s">
        <v>49</v>
      </c>
      <c r="AS1511" s="6" t="s">
        <v>49</v>
      </c>
      <c r="AT1511" s="6" t="s">
        <v>49</v>
      </c>
      <c r="AU1511" s="6" t="s">
        <v>49</v>
      </c>
      <c r="AV1511" s="6" t="s">
        <v>49</v>
      </c>
      <c r="AW1511" s="9" t="s">
        <v>621</v>
      </c>
    </row>
    <row r="1512" spans="1:49" ht="15" customHeight="1">
      <c r="A1512" s="1">
        <v>17</v>
      </c>
      <c r="B1512" s="1" t="s">
        <v>38</v>
      </c>
      <c r="C1512" s="1" t="s">
        <v>38</v>
      </c>
      <c r="D1512" s="3" t="s">
        <v>610</v>
      </c>
      <c r="E1512" s="3" t="s">
        <v>71</v>
      </c>
      <c r="F1512" s="3">
        <v>1994</v>
      </c>
      <c r="G1512" s="3" t="s">
        <v>110</v>
      </c>
      <c r="H1512" s="3" t="s">
        <v>137</v>
      </c>
      <c r="I1512" s="3" t="s">
        <v>611</v>
      </c>
      <c r="J1512" s="3" t="s">
        <v>612</v>
      </c>
      <c r="K1512" s="3" t="s">
        <v>45</v>
      </c>
      <c r="L1512" s="3" t="s">
        <v>46</v>
      </c>
      <c r="M1512" s="1" t="s">
        <v>115</v>
      </c>
      <c r="N1512" s="1" t="s">
        <v>116</v>
      </c>
      <c r="O1512" s="1">
        <v>1</v>
      </c>
      <c r="P1512" s="1">
        <v>1</v>
      </c>
      <c r="Q1512" s="1" t="s">
        <v>49</v>
      </c>
      <c r="R1512" s="1">
        <v>1</v>
      </c>
      <c r="S1512" s="1" t="s">
        <v>49</v>
      </c>
      <c r="T1512" s="1" t="s">
        <v>49</v>
      </c>
      <c r="U1512" s="1" t="s">
        <v>119</v>
      </c>
      <c r="V1512" s="3" t="s">
        <v>613</v>
      </c>
      <c r="W1512" s="3">
        <v>38.54</v>
      </c>
      <c r="X1512" s="3">
        <v>-121.74</v>
      </c>
      <c r="Y1512" s="3" t="s">
        <v>618</v>
      </c>
      <c r="Z1512" s="1" t="s">
        <v>49</v>
      </c>
      <c r="AA1512" s="1" t="s">
        <v>50</v>
      </c>
      <c r="AB1512" s="1" t="s">
        <v>201</v>
      </c>
      <c r="AC1512" s="1" t="s">
        <v>204</v>
      </c>
      <c r="AD1512" s="1" t="s">
        <v>615</v>
      </c>
      <c r="AE1512" s="1" t="s">
        <v>615</v>
      </c>
      <c r="AF1512" s="1" t="s">
        <v>53</v>
      </c>
      <c r="AG1512" s="1" t="s">
        <v>53</v>
      </c>
      <c r="AH1512" s="1" t="s">
        <v>83</v>
      </c>
      <c r="AI1512" s="1" t="s">
        <v>55</v>
      </c>
      <c r="AJ1512" s="3">
        <v>19</v>
      </c>
      <c r="AK1512" s="3">
        <v>75</v>
      </c>
      <c r="AL1512" s="2">
        <v>0.64</v>
      </c>
      <c r="AM1512" s="3">
        <v>133507</v>
      </c>
      <c r="AN1512" s="3">
        <f>22720.9^2</f>
        <v>516239296.81000006</v>
      </c>
      <c r="AO1512" s="3" t="s">
        <v>49</v>
      </c>
      <c r="AP1512" s="6">
        <v>1</v>
      </c>
      <c r="AQ1512" s="6" t="s">
        <v>49</v>
      </c>
      <c r="AR1512" s="6" t="s">
        <v>49</v>
      </c>
      <c r="AS1512" s="1">
        <f>AL1512*AN1512</f>
        <v>330393149.95840007</v>
      </c>
      <c r="AT1512" s="4">
        <f>AS1512/(AM1512^2)*100</f>
        <v>1.8536296186651444</v>
      </c>
      <c r="AU1512" s="5">
        <v>0</v>
      </c>
      <c r="AV1512" s="4">
        <f>AT1512*(1-AL1512)/AL1512</f>
        <v>1.0426666604991437</v>
      </c>
      <c r="AW1512" s="9" t="s">
        <v>616</v>
      </c>
    </row>
    <row r="1513" spans="1:49">
      <c r="A1513" s="1">
        <v>17</v>
      </c>
      <c r="B1513" s="1" t="s">
        <v>38</v>
      </c>
      <c r="C1513" s="1" t="s">
        <v>38</v>
      </c>
      <c r="D1513" s="3" t="s">
        <v>610</v>
      </c>
      <c r="E1513" s="3" t="s">
        <v>71</v>
      </c>
      <c r="F1513" s="3">
        <v>1994</v>
      </c>
      <c r="G1513" s="3" t="s">
        <v>110</v>
      </c>
      <c r="H1513" s="3" t="s">
        <v>137</v>
      </c>
      <c r="I1513" s="3" t="s">
        <v>611</v>
      </c>
      <c r="J1513" s="3" t="s">
        <v>612</v>
      </c>
      <c r="K1513" s="3" t="s">
        <v>45</v>
      </c>
      <c r="L1513" s="3" t="s">
        <v>46</v>
      </c>
      <c r="M1513" s="1" t="s">
        <v>115</v>
      </c>
      <c r="N1513" s="1" t="s">
        <v>116</v>
      </c>
      <c r="O1513" s="1">
        <v>1</v>
      </c>
      <c r="P1513" s="1">
        <v>1</v>
      </c>
      <c r="Q1513" s="1" t="s">
        <v>49</v>
      </c>
      <c r="R1513" s="1">
        <v>1</v>
      </c>
      <c r="S1513" s="1" t="s">
        <v>49</v>
      </c>
      <c r="T1513" s="1" t="s">
        <v>49</v>
      </c>
      <c r="U1513" s="1" t="s">
        <v>119</v>
      </c>
      <c r="V1513" s="3" t="s">
        <v>613</v>
      </c>
      <c r="W1513" s="3">
        <v>38.54</v>
      </c>
      <c r="X1513" s="3">
        <v>-121.74</v>
      </c>
      <c r="Y1513" s="3" t="s">
        <v>618</v>
      </c>
      <c r="Z1513" s="1" t="s">
        <v>49</v>
      </c>
      <c r="AA1513" s="1" t="s">
        <v>50</v>
      </c>
      <c r="AB1513" s="1" t="s">
        <v>201</v>
      </c>
      <c r="AC1513" s="1" t="s">
        <v>204</v>
      </c>
      <c r="AD1513" s="1" t="s">
        <v>620</v>
      </c>
      <c r="AE1513" s="1" t="s">
        <v>620</v>
      </c>
      <c r="AF1513" s="1" t="s">
        <v>60</v>
      </c>
      <c r="AG1513" s="1" t="s">
        <v>173</v>
      </c>
      <c r="AH1513" s="1" t="s">
        <v>83</v>
      </c>
      <c r="AI1513" s="1" t="s">
        <v>55</v>
      </c>
      <c r="AJ1513" s="3">
        <v>19</v>
      </c>
      <c r="AK1513" s="3">
        <v>75</v>
      </c>
      <c r="AL1513" s="2">
        <v>0.37</v>
      </c>
      <c r="AM1513" s="3">
        <v>4546</v>
      </c>
      <c r="AN1513" s="3">
        <f>265.9^2</f>
        <v>70702.809999999983</v>
      </c>
      <c r="AO1513" s="3" t="s">
        <v>49</v>
      </c>
      <c r="AP1513" s="6">
        <v>1</v>
      </c>
      <c r="AQ1513" s="6" t="s">
        <v>49</v>
      </c>
      <c r="AR1513" s="6" t="s">
        <v>49</v>
      </c>
      <c r="AS1513" s="1">
        <f>AL1513*AN1513</f>
        <v>26160.039699999994</v>
      </c>
      <c r="AT1513" s="4">
        <f>AS1513/(AM1513^2)*100</f>
        <v>0.12658421011475979</v>
      </c>
      <c r="AU1513" s="5">
        <v>0</v>
      </c>
      <c r="AV1513" s="4">
        <f>AT1513*(1-AL1513)/AL1513</f>
        <v>0.21553527668188829</v>
      </c>
      <c r="AW1513" s="9" t="s">
        <v>616</v>
      </c>
    </row>
    <row r="1514" spans="1:49">
      <c r="A1514" s="1">
        <v>17</v>
      </c>
      <c r="B1514" s="1" t="s">
        <v>38</v>
      </c>
      <c r="C1514" s="1" t="s">
        <v>38</v>
      </c>
      <c r="D1514" s="3" t="s">
        <v>610</v>
      </c>
      <c r="E1514" s="3" t="s">
        <v>71</v>
      </c>
      <c r="F1514" s="3">
        <v>1994</v>
      </c>
      <c r="G1514" s="3" t="s">
        <v>110</v>
      </c>
      <c r="H1514" s="3" t="s">
        <v>137</v>
      </c>
      <c r="I1514" s="3" t="s">
        <v>611</v>
      </c>
      <c r="J1514" s="3" t="s">
        <v>612</v>
      </c>
      <c r="K1514" s="3" t="s">
        <v>45</v>
      </c>
      <c r="L1514" s="3" t="s">
        <v>46</v>
      </c>
      <c r="M1514" s="1" t="s">
        <v>115</v>
      </c>
      <c r="N1514" s="1" t="s">
        <v>116</v>
      </c>
      <c r="O1514" s="1">
        <v>1</v>
      </c>
      <c r="P1514" s="1">
        <v>1</v>
      </c>
      <c r="Q1514" s="1" t="s">
        <v>49</v>
      </c>
      <c r="R1514" s="1">
        <v>1</v>
      </c>
      <c r="S1514" s="1" t="s">
        <v>49</v>
      </c>
      <c r="T1514" s="1" t="s">
        <v>49</v>
      </c>
      <c r="U1514" s="1" t="s">
        <v>119</v>
      </c>
      <c r="V1514" s="3" t="s">
        <v>613</v>
      </c>
      <c r="W1514" s="3">
        <v>38.54</v>
      </c>
      <c r="X1514" s="3">
        <v>-121.74</v>
      </c>
      <c r="Y1514" s="3" t="s">
        <v>618</v>
      </c>
      <c r="Z1514" s="1" t="s">
        <v>49</v>
      </c>
      <c r="AA1514" s="1" t="s">
        <v>50</v>
      </c>
      <c r="AB1514" s="1" t="s">
        <v>66</v>
      </c>
      <c r="AC1514" s="1" t="s">
        <v>67</v>
      </c>
      <c r="AD1514" s="1" t="s">
        <v>89</v>
      </c>
      <c r="AE1514" s="1" t="s">
        <v>89</v>
      </c>
      <c r="AF1514" s="1" t="s">
        <v>60</v>
      </c>
      <c r="AG1514" s="1" t="s">
        <v>61</v>
      </c>
      <c r="AH1514" s="1" t="s">
        <v>83</v>
      </c>
      <c r="AI1514" s="1" t="s">
        <v>55</v>
      </c>
      <c r="AJ1514" s="3">
        <v>19</v>
      </c>
      <c r="AK1514" s="3">
        <v>75</v>
      </c>
      <c r="AL1514" s="2">
        <v>0.56999999999999995</v>
      </c>
      <c r="AM1514" s="3">
        <v>23.93</v>
      </c>
      <c r="AN1514" s="3">
        <f>3.55^2</f>
        <v>12.602499999999999</v>
      </c>
      <c r="AO1514" s="3" t="s">
        <v>49</v>
      </c>
      <c r="AP1514" s="6">
        <v>1</v>
      </c>
      <c r="AQ1514" s="6" t="s">
        <v>49</v>
      </c>
      <c r="AR1514" s="6" t="s">
        <v>49</v>
      </c>
      <c r="AS1514" s="1">
        <f>AL1514*AN1514</f>
        <v>7.1834249999999988</v>
      </c>
      <c r="AT1514" s="4">
        <f>AS1514/(AM1514^2)*100</f>
        <v>1.2544292283053597</v>
      </c>
      <c r="AU1514" s="5">
        <v>0</v>
      </c>
      <c r="AV1514" s="4">
        <f>AT1514*(1-AL1514)/AL1514</f>
        <v>0.9463238038093067</v>
      </c>
      <c r="AW1514" s="9" t="s">
        <v>616</v>
      </c>
    </row>
    <row r="1515" spans="1:49" ht="15" customHeight="1">
      <c r="A1515" s="1">
        <v>17</v>
      </c>
      <c r="B1515" s="1" t="s">
        <v>38</v>
      </c>
      <c r="C1515" s="1" t="s">
        <v>38</v>
      </c>
      <c r="D1515" s="3" t="s">
        <v>610</v>
      </c>
      <c r="E1515" s="3" t="s">
        <v>71</v>
      </c>
      <c r="F1515" s="3">
        <v>1994</v>
      </c>
      <c r="G1515" s="3" t="s">
        <v>110</v>
      </c>
      <c r="H1515" s="3" t="s">
        <v>137</v>
      </c>
      <c r="I1515" s="3" t="s">
        <v>611</v>
      </c>
      <c r="J1515" s="3" t="s">
        <v>612</v>
      </c>
      <c r="K1515" s="3" t="s">
        <v>45</v>
      </c>
      <c r="L1515" s="3" t="s">
        <v>46</v>
      </c>
      <c r="M1515" s="1" t="s">
        <v>115</v>
      </c>
      <c r="N1515" s="1" t="s">
        <v>116</v>
      </c>
      <c r="O1515" s="1">
        <v>1</v>
      </c>
      <c r="P1515" s="1">
        <v>1</v>
      </c>
      <c r="Q1515" s="1" t="s">
        <v>49</v>
      </c>
      <c r="R1515" s="1">
        <v>1</v>
      </c>
      <c r="S1515" s="1" t="s">
        <v>49</v>
      </c>
      <c r="T1515" s="1" t="s">
        <v>49</v>
      </c>
      <c r="U1515" s="1" t="s">
        <v>119</v>
      </c>
      <c r="V1515" s="3" t="s">
        <v>613</v>
      </c>
      <c r="W1515" s="3">
        <v>38.54</v>
      </c>
      <c r="X1515" s="3">
        <v>-121.74</v>
      </c>
      <c r="Y1515" s="3" t="s">
        <v>618</v>
      </c>
      <c r="Z1515" s="1" t="s">
        <v>49</v>
      </c>
      <c r="AA1515" s="6" t="s">
        <v>49</v>
      </c>
      <c r="AB1515" s="6" t="s">
        <v>49</v>
      </c>
      <c r="AC1515" s="6" t="s">
        <v>49</v>
      </c>
      <c r="AD1515" s="1" t="s">
        <v>615</v>
      </c>
      <c r="AE1515" s="1" t="s">
        <v>620</v>
      </c>
      <c r="AF1515" s="6" t="s">
        <v>49</v>
      </c>
      <c r="AG1515" s="6" t="s">
        <v>49</v>
      </c>
      <c r="AH1515" s="1" t="s">
        <v>83</v>
      </c>
      <c r="AI1515" s="1" t="s">
        <v>55</v>
      </c>
      <c r="AJ1515" s="20" t="s">
        <v>49</v>
      </c>
      <c r="AK1515" s="20" t="s">
        <v>49</v>
      </c>
      <c r="AL1515" s="20" t="s">
        <v>49</v>
      </c>
      <c r="AM1515" s="20" t="s">
        <v>49</v>
      </c>
      <c r="AN1515" s="1" t="s">
        <v>49</v>
      </c>
      <c r="AO1515" s="1" t="s">
        <v>49</v>
      </c>
      <c r="AP1515" s="6">
        <v>1</v>
      </c>
      <c r="AQ1515" s="6">
        <v>-0.19</v>
      </c>
      <c r="AR1515" s="6" t="s">
        <v>49</v>
      </c>
      <c r="AS1515" s="6" t="s">
        <v>49</v>
      </c>
      <c r="AT1515" s="6" t="s">
        <v>49</v>
      </c>
      <c r="AU1515" s="6" t="s">
        <v>49</v>
      </c>
      <c r="AV1515" s="6" t="s">
        <v>49</v>
      </c>
      <c r="AW1515" s="9" t="s">
        <v>621</v>
      </c>
    </row>
    <row r="1516" spans="1:49" ht="15" customHeight="1">
      <c r="A1516" s="1">
        <v>17</v>
      </c>
      <c r="B1516" s="1" t="s">
        <v>38</v>
      </c>
      <c r="C1516" s="1" t="s">
        <v>38</v>
      </c>
      <c r="D1516" s="3" t="s">
        <v>610</v>
      </c>
      <c r="E1516" s="3" t="s">
        <v>71</v>
      </c>
      <c r="F1516" s="3">
        <v>1994</v>
      </c>
      <c r="G1516" s="3" t="s">
        <v>110</v>
      </c>
      <c r="H1516" s="3" t="s">
        <v>137</v>
      </c>
      <c r="I1516" s="3" t="s">
        <v>611</v>
      </c>
      <c r="J1516" s="3" t="s">
        <v>612</v>
      </c>
      <c r="K1516" s="3" t="s">
        <v>45</v>
      </c>
      <c r="L1516" s="3" t="s">
        <v>46</v>
      </c>
      <c r="M1516" s="1" t="s">
        <v>115</v>
      </c>
      <c r="N1516" s="1" t="s">
        <v>116</v>
      </c>
      <c r="O1516" s="1">
        <v>1</v>
      </c>
      <c r="P1516" s="1">
        <v>1</v>
      </c>
      <c r="Q1516" s="1" t="s">
        <v>49</v>
      </c>
      <c r="R1516" s="1">
        <v>1</v>
      </c>
      <c r="S1516" s="1" t="s">
        <v>49</v>
      </c>
      <c r="T1516" s="1" t="s">
        <v>49</v>
      </c>
      <c r="U1516" s="1" t="s">
        <v>119</v>
      </c>
      <c r="V1516" s="3" t="s">
        <v>613</v>
      </c>
      <c r="W1516" s="3">
        <v>38.54</v>
      </c>
      <c r="X1516" s="3">
        <v>-121.74</v>
      </c>
      <c r="Y1516" s="3" t="s">
        <v>618</v>
      </c>
      <c r="Z1516" s="1" t="s">
        <v>49</v>
      </c>
      <c r="AA1516" s="6" t="s">
        <v>49</v>
      </c>
      <c r="AB1516" s="6" t="s">
        <v>49</v>
      </c>
      <c r="AC1516" s="6" t="s">
        <v>49</v>
      </c>
      <c r="AD1516" s="1" t="s">
        <v>620</v>
      </c>
      <c r="AE1516" s="1" t="s">
        <v>89</v>
      </c>
      <c r="AF1516" s="6" t="s">
        <v>49</v>
      </c>
      <c r="AG1516" s="6" t="s">
        <v>49</v>
      </c>
      <c r="AH1516" s="1" t="s">
        <v>83</v>
      </c>
      <c r="AI1516" s="1" t="s">
        <v>55</v>
      </c>
      <c r="AJ1516" s="20" t="s">
        <v>49</v>
      </c>
      <c r="AK1516" s="20" t="s">
        <v>49</v>
      </c>
      <c r="AL1516" s="20" t="s">
        <v>49</v>
      </c>
      <c r="AM1516" s="20" t="s">
        <v>49</v>
      </c>
      <c r="AN1516" s="1" t="s">
        <v>49</v>
      </c>
      <c r="AO1516" s="1" t="s">
        <v>49</v>
      </c>
      <c r="AP1516" s="6">
        <v>1</v>
      </c>
      <c r="AQ1516" s="6">
        <v>-0.25</v>
      </c>
      <c r="AR1516" s="6" t="s">
        <v>49</v>
      </c>
      <c r="AS1516" s="6" t="s">
        <v>49</v>
      </c>
      <c r="AT1516" s="6" t="s">
        <v>49</v>
      </c>
      <c r="AU1516" s="6" t="s">
        <v>49</v>
      </c>
      <c r="AV1516" s="6" t="s">
        <v>49</v>
      </c>
      <c r="AW1516" s="9" t="s">
        <v>621</v>
      </c>
    </row>
    <row r="1517" spans="1:49" ht="15" customHeight="1">
      <c r="A1517" s="1">
        <v>17</v>
      </c>
      <c r="B1517" s="1" t="s">
        <v>38</v>
      </c>
      <c r="C1517" s="1" t="s">
        <v>38</v>
      </c>
      <c r="D1517" s="3" t="s">
        <v>610</v>
      </c>
      <c r="E1517" s="3" t="s">
        <v>71</v>
      </c>
      <c r="F1517" s="3">
        <v>1994</v>
      </c>
      <c r="G1517" s="3" t="s">
        <v>110</v>
      </c>
      <c r="H1517" s="3" t="s">
        <v>137</v>
      </c>
      <c r="I1517" s="3" t="s">
        <v>611</v>
      </c>
      <c r="J1517" s="3" t="s">
        <v>612</v>
      </c>
      <c r="K1517" s="3" t="s">
        <v>45</v>
      </c>
      <c r="L1517" s="3" t="s">
        <v>46</v>
      </c>
      <c r="M1517" s="1" t="s">
        <v>115</v>
      </c>
      <c r="N1517" s="1" t="s">
        <v>116</v>
      </c>
      <c r="O1517" s="1">
        <v>1</v>
      </c>
      <c r="P1517" s="1">
        <v>1</v>
      </c>
      <c r="Q1517" s="1" t="s">
        <v>49</v>
      </c>
      <c r="R1517" s="1">
        <v>1</v>
      </c>
      <c r="S1517" s="1" t="s">
        <v>49</v>
      </c>
      <c r="T1517" s="1" t="s">
        <v>49</v>
      </c>
      <c r="U1517" s="1" t="s">
        <v>119</v>
      </c>
      <c r="V1517" s="3" t="s">
        <v>613</v>
      </c>
      <c r="W1517" s="3">
        <v>38.54</v>
      </c>
      <c r="X1517" s="3">
        <v>-121.74</v>
      </c>
      <c r="Y1517" s="3" t="s">
        <v>618</v>
      </c>
      <c r="Z1517" s="1" t="s">
        <v>49</v>
      </c>
      <c r="AA1517" s="6" t="s">
        <v>49</v>
      </c>
      <c r="AB1517" s="6" t="s">
        <v>49</v>
      </c>
      <c r="AC1517" s="6" t="s">
        <v>49</v>
      </c>
      <c r="AD1517" s="1" t="s">
        <v>615</v>
      </c>
      <c r="AE1517" s="1" t="s">
        <v>89</v>
      </c>
      <c r="AF1517" s="6" t="s">
        <v>49</v>
      </c>
      <c r="AG1517" s="6" t="s">
        <v>49</v>
      </c>
      <c r="AH1517" s="1" t="s">
        <v>83</v>
      </c>
      <c r="AI1517" s="1" t="s">
        <v>55</v>
      </c>
      <c r="AJ1517" s="20" t="s">
        <v>49</v>
      </c>
      <c r="AK1517" s="20" t="s">
        <v>49</v>
      </c>
      <c r="AL1517" s="20" t="s">
        <v>49</v>
      </c>
      <c r="AM1517" s="20" t="s">
        <v>49</v>
      </c>
      <c r="AN1517" s="1" t="s">
        <v>49</v>
      </c>
      <c r="AO1517" s="1" t="s">
        <v>49</v>
      </c>
      <c r="AP1517" s="6">
        <v>1</v>
      </c>
      <c r="AQ1517" s="6">
        <v>0.71</v>
      </c>
      <c r="AR1517" s="6" t="s">
        <v>49</v>
      </c>
      <c r="AS1517" s="6" t="s">
        <v>49</v>
      </c>
      <c r="AT1517" s="6" t="s">
        <v>49</v>
      </c>
      <c r="AU1517" s="6" t="s">
        <v>49</v>
      </c>
      <c r="AV1517" s="6" t="s">
        <v>49</v>
      </c>
      <c r="AW1517" s="9" t="s">
        <v>621</v>
      </c>
    </row>
    <row r="1518" spans="1:49" ht="15" customHeight="1">
      <c r="A1518" s="1">
        <v>17</v>
      </c>
      <c r="B1518" s="1" t="s">
        <v>38</v>
      </c>
      <c r="C1518" s="1" t="s">
        <v>38</v>
      </c>
      <c r="D1518" s="3" t="s">
        <v>610</v>
      </c>
      <c r="E1518" s="3" t="s">
        <v>71</v>
      </c>
      <c r="F1518" s="3">
        <v>1994</v>
      </c>
      <c r="G1518" s="3" t="s">
        <v>110</v>
      </c>
      <c r="H1518" s="3" t="s">
        <v>137</v>
      </c>
      <c r="I1518" s="3" t="s">
        <v>611</v>
      </c>
      <c r="J1518" s="3" t="s">
        <v>612</v>
      </c>
      <c r="K1518" s="3" t="s">
        <v>45</v>
      </c>
      <c r="L1518" s="3" t="s">
        <v>46</v>
      </c>
      <c r="M1518" s="1" t="s">
        <v>115</v>
      </c>
      <c r="N1518" s="1" t="s">
        <v>116</v>
      </c>
      <c r="O1518" s="1">
        <v>1</v>
      </c>
      <c r="P1518" s="1">
        <v>1</v>
      </c>
      <c r="Q1518" s="1" t="s">
        <v>49</v>
      </c>
      <c r="R1518" s="1">
        <v>1</v>
      </c>
      <c r="S1518" s="1" t="s">
        <v>49</v>
      </c>
      <c r="T1518" s="1" t="s">
        <v>49</v>
      </c>
      <c r="U1518" s="1" t="s">
        <v>119</v>
      </c>
      <c r="V1518" s="3" t="s">
        <v>613</v>
      </c>
      <c r="W1518" s="3">
        <v>38.54</v>
      </c>
      <c r="X1518" s="3">
        <v>-121.74</v>
      </c>
      <c r="Y1518" s="3" t="s">
        <v>619</v>
      </c>
      <c r="Z1518" s="1" t="s">
        <v>49</v>
      </c>
      <c r="AA1518" s="1" t="s">
        <v>50</v>
      </c>
      <c r="AB1518" s="1" t="s">
        <v>201</v>
      </c>
      <c r="AC1518" s="1" t="s">
        <v>204</v>
      </c>
      <c r="AD1518" s="1" t="s">
        <v>615</v>
      </c>
      <c r="AE1518" s="1" t="s">
        <v>615</v>
      </c>
      <c r="AF1518" s="1" t="s">
        <v>53</v>
      </c>
      <c r="AG1518" s="1" t="s">
        <v>53</v>
      </c>
      <c r="AH1518" s="1" t="s">
        <v>83</v>
      </c>
      <c r="AI1518" s="1" t="s">
        <v>55</v>
      </c>
      <c r="AJ1518" s="3">
        <v>19</v>
      </c>
      <c r="AK1518" s="3">
        <v>77</v>
      </c>
      <c r="AL1518" s="2">
        <v>0.33</v>
      </c>
      <c r="AM1518" s="3">
        <v>133507</v>
      </c>
      <c r="AN1518" s="3">
        <f>22720.9^2</f>
        <v>516239296.81000006</v>
      </c>
      <c r="AO1518" s="3" t="s">
        <v>49</v>
      </c>
      <c r="AP1518" s="6">
        <v>1</v>
      </c>
      <c r="AQ1518" s="6" t="s">
        <v>49</v>
      </c>
      <c r="AR1518" s="6" t="s">
        <v>49</v>
      </c>
      <c r="AS1518" s="1">
        <f>AL1518*AN1518</f>
        <v>170358967.94730002</v>
      </c>
      <c r="AT1518" s="4">
        <f>AS1518/(AM1518^2)*100</f>
        <v>0.95577777212421489</v>
      </c>
      <c r="AU1518" s="5">
        <v>0</v>
      </c>
      <c r="AV1518" s="4">
        <f>AT1518*(1-AL1518)/AL1518</f>
        <v>1.9405185070400723</v>
      </c>
      <c r="AW1518" s="9" t="s">
        <v>616</v>
      </c>
    </row>
    <row r="1519" spans="1:49">
      <c r="A1519" s="1">
        <v>17</v>
      </c>
      <c r="B1519" s="1" t="s">
        <v>38</v>
      </c>
      <c r="C1519" s="1" t="s">
        <v>38</v>
      </c>
      <c r="D1519" s="3" t="s">
        <v>610</v>
      </c>
      <c r="E1519" s="3" t="s">
        <v>71</v>
      </c>
      <c r="F1519" s="3">
        <v>1994</v>
      </c>
      <c r="G1519" s="3" t="s">
        <v>110</v>
      </c>
      <c r="H1519" s="3" t="s">
        <v>137</v>
      </c>
      <c r="I1519" s="3" t="s">
        <v>611</v>
      </c>
      <c r="J1519" s="3" t="s">
        <v>612</v>
      </c>
      <c r="K1519" s="3" t="s">
        <v>45</v>
      </c>
      <c r="L1519" s="3" t="s">
        <v>46</v>
      </c>
      <c r="M1519" s="1" t="s">
        <v>115</v>
      </c>
      <c r="N1519" s="1" t="s">
        <v>116</v>
      </c>
      <c r="O1519" s="1">
        <v>1</v>
      </c>
      <c r="P1519" s="1">
        <v>1</v>
      </c>
      <c r="Q1519" s="1" t="s">
        <v>49</v>
      </c>
      <c r="R1519" s="1">
        <v>1</v>
      </c>
      <c r="S1519" s="1" t="s">
        <v>49</v>
      </c>
      <c r="T1519" s="1" t="s">
        <v>49</v>
      </c>
      <c r="U1519" s="1" t="s">
        <v>119</v>
      </c>
      <c r="V1519" s="3" t="s">
        <v>613</v>
      </c>
      <c r="W1519" s="3">
        <v>38.54</v>
      </c>
      <c r="X1519" s="3">
        <v>-121.74</v>
      </c>
      <c r="Y1519" s="3" t="s">
        <v>619</v>
      </c>
      <c r="Z1519" s="1" t="s">
        <v>49</v>
      </c>
      <c r="AA1519" s="1" t="s">
        <v>50</v>
      </c>
      <c r="AB1519" s="1" t="s">
        <v>201</v>
      </c>
      <c r="AC1519" s="1" t="s">
        <v>204</v>
      </c>
      <c r="AD1519" s="1" t="s">
        <v>620</v>
      </c>
      <c r="AE1519" s="1" t="s">
        <v>620</v>
      </c>
      <c r="AF1519" s="1" t="s">
        <v>60</v>
      </c>
      <c r="AG1519" s="1" t="s">
        <v>173</v>
      </c>
      <c r="AH1519" s="1" t="s">
        <v>83</v>
      </c>
      <c r="AI1519" s="1" t="s">
        <v>55</v>
      </c>
      <c r="AJ1519" s="3">
        <v>19</v>
      </c>
      <c r="AK1519" s="3">
        <v>77</v>
      </c>
      <c r="AL1519" s="2">
        <v>0.72</v>
      </c>
      <c r="AM1519" s="3">
        <v>4546</v>
      </c>
      <c r="AN1519" s="3">
        <f>265.9^2</f>
        <v>70702.809999999983</v>
      </c>
      <c r="AO1519" s="3" t="s">
        <v>49</v>
      </c>
      <c r="AP1519" s="6">
        <v>1</v>
      </c>
      <c r="AQ1519" s="6" t="s">
        <v>49</v>
      </c>
      <c r="AR1519" s="6" t="s">
        <v>49</v>
      </c>
      <c r="AS1519" s="1">
        <f>AL1519*AN1519</f>
        <v>50906.023199999989</v>
      </c>
      <c r="AT1519" s="4">
        <f>AS1519/(AM1519^2)*100</f>
        <v>0.24632603049358665</v>
      </c>
      <c r="AU1519" s="5">
        <v>0</v>
      </c>
      <c r="AV1519" s="4">
        <f>AT1519*(1-AL1519)/AL1519</f>
        <v>9.5793456303061478E-2</v>
      </c>
      <c r="AW1519" s="9" t="s">
        <v>616</v>
      </c>
    </row>
    <row r="1520" spans="1:49">
      <c r="A1520" s="1">
        <v>17</v>
      </c>
      <c r="B1520" s="1" t="s">
        <v>38</v>
      </c>
      <c r="C1520" s="1" t="s">
        <v>38</v>
      </c>
      <c r="D1520" s="3" t="s">
        <v>610</v>
      </c>
      <c r="E1520" s="3" t="s">
        <v>71</v>
      </c>
      <c r="F1520" s="3">
        <v>1994</v>
      </c>
      <c r="G1520" s="3" t="s">
        <v>110</v>
      </c>
      <c r="H1520" s="3" t="s">
        <v>137</v>
      </c>
      <c r="I1520" s="3" t="s">
        <v>611</v>
      </c>
      <c r="J1520" s="3" t="s">
        <v>612</v>
      </c>
      <c r="K1520" s="3" t="s">
        <v>45</v>
      </c>
      <c r="L1520" s="3" t="s">
        <v>46</v>
      </c>
      <c r="M1520" s="1" t="s">
        <v>115</v>
      </c>
      <c r="N1520" s="1" t="s">
        <v>116</v>
      </c>
      <c r="O1520" s="1">
        <v>1</v>
      </c>
      <c r="P1520" s="1">
        <v>1</v>
      </c>
      <c r="Q1520" s="1" t="s">
        <v>49</v>
      </c>
      <c r="R1520" s="1">
        <v>1</v>
      </c>
      <c r="S1520" s="1" t="s">
        <v>49</v>
      </c>
      <c r="T1520" s="1" t="s">
        <v>49</v>
      </c>
      <c r="U1520" s="1" t="s">
        <v>119</v>
      </c>
      <c r="V1520" s="3" t="s">
        <v>613</v>
      </c>
      <c r="W1520" s="3">
        <v>38.54</v>
      </c>
      <c r="X1520" s="3">
        <v>-121.74</v>
      </c>
      <c r="Y1520" s="3" t="s">
        <v>619</v>
      </c>
      <c r="Z1520" s="1" t="s">
        <v>49</v>
      </c>
      <c r="AA1520" s="1" t="s">
        <v>50</v>
      </c>
      <c r="AB1520" s="1" t="s">
        <v>66</v>
      </c>
      <c r="AC1520" s="1" t="s">
        <v>67</v>
      </c>
      <c r="AD1520" s="1" t="s">
        <v>89</v>
      </c>
      <c r="AE1520" s="1" t="s">
        <v>89</v>
      </c>
      <c r="AF1520" s="1" t="s">
        <v>60</v>
      </c>
      <c r="AG1520" s="1" t="s">
        <v>61</v>
      </c>
      <c r="AH1520" s="1" t="s">
        <v>83</v>
      </c>
      <c r="AI1520" s="1" t="s">
        <v>55</v>
      </c>
      <c r="AJ1520" s="3">
        <v>19</v>
      </c>
      <c r="AK1520" s="3">
        <v>77</v>
      </c>
      <c r="AL1520" s="2">
        <v>0.54</v>
      </c>
      <c r="AM1520" s="3">
        <v>23.93</v>
      </c>
      <c r="AN1520" s="3">
        <f>3.55^2</f>
        <v>12.602499999999999</v>
      </c>
      <c r="AO1520" s="3" t="s">
        <v>49</v>
      </c>
      <c r="AP1520" s="6">
        <v>1</v>
      </c>
      <c r="AQ1520" s="6" t="s">
        <v>49</v>
      </c>
      <c r="AR1520" s="6" t="s">
        <v>49</v>
      </c>
      <c r="AS1520" s="1">
        <f>AL1520*AN1520</f>
        <v>6.8053499999999998</v>
      </c>
      <c r="AT1520" s="4">
        <f>AS1520/(AM1520^2)*100</f>
        <v>1.18840663734192</v>
      </c>
      <c r="AU1520" s="5">
        <v>0</v>
      </c>
      <c r="AV1520" s="4">
        <f>AT1520*(1-AL1520)/AL1520</f>
        <v>1.0123463947727465</v>
      </c>
      <c r="AW1520" s="9" t="s">
        <v>616</v>
      </c>
    </row>
    <row r="1521" spans="1:49">
      <c r="A1521" s="1">
        <v>17</v>
      </c>
      <c r="B1521" s="1" t="s">
        <v>38</v>
      </c>
      <c r="C1521" s="1" t="s">
        <v>38</v>
      </c>
      <c r="D1521" s="3" t="s">
        <v>610</v>
      </c>
      <c r="E1521" s="3" t="s">
        <v>71</v>
      </c>
      <c r="F1521" s="3">
        <v>1994</v>
      </c>
      <c r="G1521" s="3" t="s">
        <v>110</v>
      </c>
      <c r="H1521" s="3" t="s">
        <v>137</v>
      </c>
      <c r="I1521" s="3" t="s">
        <v>611</v>
      </c>
      <c r="J1521" s="3" t="s">
        <v>612</v>
      </c>
      <c r="K1521" s="3" t="s">
        <v>45</v>
      </c>
      <c r="L1521" s="3" t="s">
        <v>46</v>
      </c>
      <c r="M1521" s="1" t="s">
        <v>115</v>
      </c>
      <c r="N1521" s="1" t="s">
        <v>116</v>
      </c>
      <c r="O1521" s="1">
        <v>1</v>
      </c>
      <c r="P1521" s="1">
        <v>1</v>
      </c>
      <c r="Q1521" s="1" t="s">
        <v>49</v>
      </c>
      <c r="R1521" s="1">
        <v>1</v>
      </c>
      <c r="S1521" s="1" t="s">
        <v>49</v>
      </c>
      <c r="T1521" s="1" t="s">
        <v>49</v>
      </c>
      <c r="U1521" s="1" t="s">
        <v>119</v>
      </c>
      <c r="V1521" s="3" t="s">
        <v>613</v>
      </c>
      <c r="W1521" s="3">
        <v>38.54</v>
      </c>
      <c r="X1521" s="3">
        <v>-121.74</v>
      </c>
      <c r="Y1521" s="3" t="s">
        <v>619</v>
      </c>
      <c r="Z1521" s="1" t="s">
        <v>49</v>
      </c>
      <c r="AA1521" s="6" t="s">
        <v>49</v>
      </c>
      <c r="AB1521" s="6" t="s">
        <v>49</v>
      </c>
      <c r="AC1521" s="6" t="s">
        <v>49</v>
      </c>
      <c r="AD1521" s="1" t="s">
        <v>615</v>
      </c>
      <c r="AE1521" s="1" t="s">
        <v>620</v>
      </c>
      <c r="AF1521" s="6" t="s">
        <v>49</v>
      </c>
      <c r="AG1521" s="6" t="s">
        <v>49</v>
      </c>
      <c r="AH1521" s="1" t="s">
        <v>83</v>
      </c>
      <c r="AI1521" s="1" t="s">
        <v>55</v>
      </c>
      <c r="AJ1521" s="20" t="s">
        <v>49</v>
      </c>
      <c r="AK1521" s="20" t="s">
        <v>49</v>
      </c>
      <c r="AL1521" s="20" t="s">
        <v>49</v>
      </c>
      <c r="AM1521" s="20" t="s">
        <v>49</v>
      </c>
      <c r="AN1521" s="1" t="s">
        <v>49</v>
      </c>
      <c r="AO1521" s="1" t="s">
        <v>49</v>
      </c>
      <c r="AP1521" s="6">
        <v>1</v>
      </c>
      <c r="AQ1521" s="6">
        <v>-0.17</v>
      </c>
      <c r="AR1521" s="6" t="s">
        <v>49</v>
      </c>
      <c r="AS1521" s="6" t="s">
        <v>49</v>
      </c>
      <c r="AT1521" s="6" t="s">
        <v>49</v>
      </c>
      <c r="AU1521" s="6" t="s">
        <v>49</v>
      </c>
      <c r="AV1521" s="6" t="s">
        <v>49</v>
      </c>
      <c r="AW1521" s="9" t="s">
        <v>621</v>
      </c>
    </row>
    <row r="1522" spans="1:49">
      <c r="A1522" s="1">
        <v>17</v>
      </c>
      <c r="B1522" s="1" t="s">
        <v>38</v>
      </c>
      <c r="C1522" s="1" t="s">
        <v>38</v>
      </c>
      <c r="D1522" s="3" t="s">
        <v>610</v>
      </c>
      <c r="E1522" s="3" t="s">
        <v>71</v>
      </c>
      <c r="F1522" s="3">
        <v>1994</v>
      </c>
      <c r="G1522" s="3" t="s">
        <v>110</v>
      </c>
      <c r="H1522" s="3" t="s">
        <v>137</v>
      </c>
      <c r="I1522" s="3" t="s">
        <v>611</v>
      </c>
      <c r="J1522" s="3" t="s">
        <v>612</v>
      </c>
      <c r="K1522" s="3" t="s">
        <v>45</v>
      </c>
      <c r="L1522" s="3" t="s">
        <v>46</v>
      </c>
      <c r="M1522" s="1" t="s">
        <v>115</v>
      </c>
      <c r="N1522" s="1" t="s">
        <v>116</v>
      </c>
      <c r="O1522" s="1">
        <v>1</v>
      </c>
      <c r="P1522" s="1">
        <v>1</v>
      </c>
      <c r="Q1522" s="1" t="s">
        <v>49</v>
      </c>
      <c r="R1522" s="1">
        <v>1</v>
      </c>
      <c r="S1522" s="1" t="s">
        <v>49</v>
      </c>
      <c r="T1522" s="1" t="s">
        <v>49</v>
      </c>
      <c r="U1522" s="1" t="s">
        <v>119</v>
      </c>
      <c r="V1522" s="3" t="s">
        <v>613</v>
      </c>
      <c r="W1522" s="3">
        <v>38.54</v>
      </c>
      <c r="X1522" s="3">
        <v>-121.74</v>
      </c>
      <c r="Y1522" s="3" t="s">
        <v>619</v>
      </c>
      <c r="Z1522" s="1" t="s">
        <v>49</v>
      </c>
      <c r="AA1522" s="6" t="s">
        <v>49</v>
      </c>
      <c r="AB1522" s="6" t="s">
        <v>49</v>
      </c>
      <c r="AC1522" s="6" t="s">
        <v>49</v>
      </c>
      <c r="AD1522" s="1" t="s">
        <v>620</v>
      </c>
      <c r="AE1522" s="1" t="s">
        <v>89</v>
      </c>
      <c r="AF1522" s="6" t="s">
        <v>49</v>
      </c>
      <c r="AG1522" s="6" t="s">
        <v>49</v>
      </c>
      <c r="AH1522" s="1" t="s">
        <v>83</v>
      </c>
      <c r="AI1522" s="1" t="s">
        <v>55</v>
      </c>
      <c r="AJ1522" s="20" t="s">
        <v>49</v>
      </c>
      <c r="AK1522" s="20" t="s">
        <v>49</v>
      </c>
      <c r="AL1522" s="20" t="s">
        <v>49</v>
      </c>
      <c r="AM1522" s="20" t="s">
        <v>49</v>
      </c>
      <c r="AN1522" s="1" t="s">
        <v>49</v>
      </c>
      <c r="AO1522" s="1" t="s">
        <v>49</v>
      </c>
      <c r="AP1522" s="6">
        <v>1</v>
      </c>
      <c r="AQ1522" s="6">
        <v>0.37</v>
      </c>
      <c r="AR1522" s="6" t="s">
        <v>49</v>
      </c>
      <c r="AS1522" s="6" t="s">
        <v>49</v>
      </c>
      <c r="AT1522" s="6" t="s">
        <v>49</v>
      </c>
      <c r="AU1522" s="6" t="s">
        <v>49</v>
      </c>
      <c r="AV1522" s="6" t="s">
        <v>49</v>
      </c>
      <c r="AW1522" s="9" t="s">
        <v>621</v>
      </c>
    </row>
    <row r="1523" spans="1:49">
      <c r="A1523" s="1">
        <v>17</v>
      </c>
      <c r="B1523" s="1" t="s">
        <v>38</v>
      </c>
      <c r="C1523" s="1" t="s">
        <v>38</v>
      </c>
      <c r="D1523" s="3" t="s">
        <v>610</v>
      </c>
      <c r="E1523" s="3" t="s">
        <v>71</v>
      </c>
      <c r="F1523" s="3">
        <v>1994</v>
      </c>
      <c r="G1523" s="3" t="s">
        <v>110</v>
      </c>
      <c r="H1523" s="3" t="s">
        <v>137</v>
      </c>
      <c r="I1523" s="3" t="s">
        <v>611</v>
      </c>
      <c r="J1523" s="3" t="s">
        <v>612</v>
      </c>
      <c r="K1523" s="3" t="s">
        <v>45</v>
      </c>
      <c r="L1523" s="3" t="s">
        <v>46</v>
      </c>
      <c r="M1523" s="1" t="s">
        <v>115</v>
      </c>
      <c r="N1523" s="1" t="s">
        <v>116</v>
      </c>
      <c r="O1523" s="1">
        <v>1</v>
      </c>
      <c r="P1523" s="1">
        <v>1</v>
      </c>
      <c r="Q1523" s="1" t="s">
        <v>49</v>
      </c>
      <c r="R1523" s="1">
        <v>1</v>
      </c>
      <c r="S1523" s="1" t="s">
        <v>49</v>
      </c>
      <c r="T1523" s="1" t="s">
        <v>49</v>
      </c>
      <c r="U1523" s="1" t="s">
        <v>119</v>
      </c>
      <c r="V1523" s="3" t="s">
        <v>613</v>
      </c>
      <c r="W1523" s="3">
        <v>38.54</v>
      </c>
      <c r="X1523" s="3">
        <v>-121.74</v>
      </c>
      <c r="Y1523" s="3" t="s">
        <v>619</v>
      </c>
      <c r="Z1523" s="1" t="s">
        <v>49</v>
      </c>
      <c r="AA1523" s="6" t="s">
        <v>49</v>
      </c>
      <c r="AB1523" s="6" t="s">
        <v>49</v>
      </c>
      <c r="AC1523" s="6" t="s">
        <v>49</v>
      </c>
      <c r="AD1523" s="1" t="s">
        <v>615</v>
      </c>
      <c r="AE1523" s="1" t="s">
        <v>89</v>
      </c>
      <c r="AF1523" s="6" t="s">
        <v>49</v>
      </c>
      <c r="AG1523" s="6" t="s">
        <v>49</v>
      </c>
      <c r="AH1523" s="1" t="s">
        <v>83</v>
      </c>
      <c r="AI1523" s="1" t="s">
        <v>55</v>
      </c>
      <c r="AJ1523" s="20" t="s">
        <v>49</v>
      </c>
      <c r="AK1523" s="20" t="s">
        <v>49</v>
      </c>
      <c r="AL1523" s="20" t="s">
        <v>49</v>
      </c>
      <c r="AM1523" s="20" t="s">
        <v>49</v>
      </c>
      <c r="AN1523" s="1" t="s">
        <v>49</v>
      </c>
      <c r="AO1523" s="1" t="s">
        <v>49</v>
      </c>
      <c r="AP1523" s="6">
        <v>1</v>
      </c>
      <c r="AQ1523" s="6">
        <v>0.57999999999999996</v>
      </c>
      <c r="AR1523" s="6" t="s">
        <v>49</v>
      </c>
      <c r="AS1523" s="6" t="s">
        <v>49</v>
      </c>
      <c r="AT1523" s="6" t="s">
        <v>49</v>
      </c>
      <c r="AU1523" s="6" t="s">
        <v>49</v>
      </c>
      <c r="AV1523" s="6" t="s">
        <v>49</v>
      </c>
      <c r="AW1523" s="9" t="s">
        <v>621</v>
      </c>
    </row>
    <row r="1524" spans="1:49">
      <c r="A1524" s="1">
        <v>19</v>
      </c>
      <c r="B1524" s="1" t="s">
        <v>38</v>
      </c>
      <c r="C1524" s="1" t="s">
        <v>38</v>
      </c>
      <c r="D1524" s="1" t="s">
        <v>622</v>
      </c>
      <c r="E1524" s="1" t="s">
        <v>40</v>
      </c>
      <c r="F1524" s="1">
        <v>1996</v>
      </c>
      <c r="G1524" s="3" t="s">
        <v>72</v>
      </c>
      <c r="H1524" s="3" t="s">
        <v>73</v>
      </c>
      <c r="I1524" s="3" t="s">
        <v>74</v>
      </c>
      <c r="J1524" s="3" t="s">
        <v>75</v>
      </c>
      <c r="K1524" s="1" t="s">
        <v>45</v>
      </c>
      <c r="L1524" s="3" t="s">
        <v>46</v>
      </c>
      <c r="M1524" s="1" t="s">
        <v>12</v>
      </c>
      <c r="N1524" s="1" t="s">
        <v>76</v>
      </c>
      <c r="O1524" s="1">
        <v>0.61099999999999999</v>
      </c>
      <c r="P1524" s="1">
        <v>0.7</v>
      </c>
      <c r="Q1524" s="1">
        <v>0.7</v>
      </c>
      <c r="R1524" s="1">
        <v>1</v>
      </c>
      <c r="S1524" s="1" t="s">
        <v>77</v>
      </c>
      <c r="T1524" s="1" t="s">
        <v>78</v>
      </c>
      <c r="U1524" s="1" t="s">
        <v>398</v>
      </c>
      <c r="V1524" s="1" t="s">
        <v>623</v>
      </c>
      <c r="W1524" s="1">
        <v>39.15</v>
      </c>
      <c r="X1524" s="1">
        <v>-122.55</v>
      </c>
      <c r="Y1524" s="1" t="s">
        <v>624</v>
      </c>
      <c r="Z1524" s="1" t="s">
        <v>49</v>
      </c>
      <c r="AA1524" s="1" t="s">
        <v>50</v>
      </c>
      <c r="AB1524" s="1" t="s">
        <v>66</v>
      </c>
      <c r="AC1524" s="1" t="s">
        <v>67</v>
      </c>
      <c r="AD1524" s="1" t="s">
        <v>89</v>
      </c>
      <c r="AE1524" s="1" t="s">
        <v>89</v>
      </c>
      <c r="AF1524" s="1" t="s">
        <v>60</v>
      </c>
      <c r="AG1524" s="1" t="s">
        <v>61</v>
      </c>
      <c r="AH1524" s="1" t="s">
        <v>627</v>
      </c>
      <c r="AI1524" s="1" t="s">
        <v>55</v>
      </c>
      <c r="AJ1524" s="1" t="s">
        <v>49</v>
      </c>
      <c r="AK1524" s="1">
        <v>300</v>
      </c>
      <c r="AL1524" s="4">
        <v>0.73</v>
      </c>
      <c r="AM1524" s="1">
        <v>18.41</v>
      </c>
      <c r="AN1524" s="1">
        <f>(0.17*AM1524)^2</f>
        <v>9.7950220900000016</v>
      </c>
      <c r="AO1524" s="1" t="s">
        <v>49</v>
      </c>
      <c r="AP1524" s="6">
        <v>1</v>
      </c>
      <c r="AQ1524" s="6" t="s">
        <v>49</v>
      </c>
      <c r="AR1524" s="6" t="s">
        <v>49</v>
      </c>
      <c r="AS1524" s="1">
        <f t="shared" ref="AS1524:AS1529" si="124">AL1524*AN1524</f>
        <v>7.1503661257000006</v>
      </c>
      <c r="AT1524" s="4">
        <f t="shared" ref="AT1524:AT1529" si="125">AS1524/(AM1524^2)*100</f>
        <v>2.1097000000000001</v>
      </c>
      <c r="AU1524" s="5">
        <v>0</v>
      </c>
      <c r="AV1524" s="4">
        <f t="shared" ref="AV1524:AV1529" si="126">AT1524*(1-AL1524)/AL1524</f>
        <v>0.7803000000000001</v>
      </c>
      <c r="AW1524" s="9" t="s">
        <v>628</v>
      </c>
    </row>
    <row r="1525" spans="1:49">
      <c r="A1525" s="1">
        <v>19</v>
      </c>
      <c r="B1525" s="1" t="s">
        <v>38</v>
      </c>
      <c r="C1525" s="1" t="s">
        <v>38</v>
      </c>
      <c r="D1525" s="1" t="s">
        <v>622</v>
      </c>
      <c r="E1525" s="1" t="s">
        <v>40</v>
      </c>
      <c r="F1525" s="1">
        <v>1996</v>
      </c>
      <c r="G1525" s="3" t="s">
        <v>72</v>
      </c>
      <c r="H1525" s="3" t="s">
        <v>73</v>
      </c>
      <c r="I1525" s="3" t="s">
        <v>74</v>
      </c>
      <c r="J1525" s="3" t="s">
        <v>75</v>
      </c>
      <c r="K1525" s="1" t="s">
        <v>45</v>
      </c>
      <c r="L1525" s="3" t="s">
        <v>46</v>
      </c>
      <c r="M1525" s="1" t="s">
        <v>12</v>
      </c>
      <c r="N1525" s="1" t="s">
        <v>76</v>
      </c>
      <c r="O1525" s="1">
        <v>0.61099999999999999</v>
      </c>
      <c r="P1525" s="1">
        <v>0.7</v>
      </c>
      <c r="Q1525" s="1">
        <v>0.7</v>
      </c>
      <c r="R1525" s="1">
        <v>1</v>
      </c>
      <c r="S1525" s="1" t="s">
        <v>77</v>
      </c>
      <c r="T1525" s="1" t="s">
        <v>78</v>
      </c>
      <c r="U1525" s="1" t="s">
        <v>398</v>
      </c>
      <c r="V1525" s="1" t="s">
        <v>623</v>
      </c>
      <c r="W1525" s="1">
        <v>39.15</v>
      </c>
      <c r="X1525" s="1">
        <v>-122.55</v>
      </c>
      <c r="Y1525" s="1" t="s">
        <v>624</v>
      </c>
      <c r="Z1525" s="1" t="s">
        <v>49</v>
      </c>
      <c r="AA1525" s="1" t="s">
        <v>50</v>
      </c>
      <c r="AB1525" s="1" t="s">
        <v>66</v>
      </c>
      <c r="AC1525" s="1" t="s">
        <v>169</v>
      </c>
      <c r="AD1525" s="1" t="s">
        <v>170</v>
      </c>
      <c r="AE1525" s="1" t="s">
        <v>170</v>
      </c>
      <c r="AF1525" s="1" t="s">
        <v>60</v>
      </c>
      <c r="AG1525" s="1" t="s">
        <v>61</v>
      </c>
      <c r="AH1525" s="1" t="s">
        <v>627</v>
      </c>
      <c r="AI1525" s="1" t="s">
        <v>55</v>
      </c>
      <c r="AJ1525" s="1" t="s">
        <v>49</v>
      </c>
      <c r="AK1525" s="1">
        <v>300</v>
      </c>
      <c r="AL1525" s="4">
        <v>0.53</v>
      </c>
      <c r="AM1525" s="1">
        <v>5.66</v>
      </c>
      <c r="AN1525" s="1">
        <f>(0.18*AM1525)^2</f>
        <v>1.0379534399999999</v>
      </c>
      <c r="AO1525" s="1" t="s">
        <v>49</v>
      </c>
      <c r="AP1525" s="6">
        <v>1</v>
      </c>
      <c r="AQ1525" s="6" t="s">
        <v>49</v>
      </c>
      <c r="AR1525" s="6" t="s">
        <v>49</v>
      </c>
      <c r="AS1525" s="1">
        <f t="shared" si="124"/>
        <v>0.55011532320000001</v>
      </c>
      <c r="AT1525" s="4">
        <f t="shared" si="125"/>
        <v>1.7172000000000001</v>
      </c>
      <c r="AU1525" s="5">
        <v>0</v>
      </c>
      <c r="AV1525" s="4">
        <f t="shared" si="126"/>
        <v>1.5227999999999999</v>
      </c>
      <c r="AW1525" s="9" t="s">
        <v>628</v>
      </c>
    </row>
    <row r="1526" spans="1:49">
      <c r="A1526" s="1">
        <v>19</v>
      </c>
      <c r="B1526" s="1" t="s">
        <v>38</v>
      </c>
      <c r="C1526" s="1" t="s">
        <v>38</v>
      </c>
      <c r="D1526" s="1" t="s">
        <v>622</v>
      </c>
      <c r="E1526" s="1" t="s">
        <v>40</v>
      </c>
      <c r="F1526" s="1">
        <v>1996</v>
      </c>
      <c r="G1526" s="3" t="s">
        <v>72</v>
      </c>
      <c r="H1526" s="3" t="s">
        <v>73</v>
      </c>
      <c r="I1526" s="3" t="s">
        <v>74</v>
      </c>
      <c r="J1526" s="3" t="s">
        <v>75</v>
      </c>
      <c r="K1526" s="1" t="s">
        <v>45</v>
      </c>
      <c r="L1526" s="3" t="s">
        <v>46</v>
      </c>
      <c r="M1526" s="1" t="s">
        <v>12</v>
      </c>
      <c r="N1526" s="1" t="s">
        <v>76</v>
      </c>
      <c r="O1526" s="1">
        <v>0.61099999999999999</v>
      </c>
      <c r="P1526" s="1">
        <v>0.7</v>
      </c>
      <c r="Q1526" s="1">
        <v>0.7</v>
      </c>
      <c r="R1526" s="1">
        <v>1</v>
      </c>
      <c r="S1526" s="1" t="s">
        <v>77</v>
      </c>
      <c r="T1526" s="1" t="s">
        <v>78</v>
      </c>
      <c r="U1526" s="1" t="s">
        <v>398</v>
      </c>
      <c r="V1526" s="1" t="s">
        <v>623</v>
      </c>
      <c r="W1526" s="1">
        <v>39.15</v>
      </c>
      <c r="X1526" s="1">
        <v>-122.55</v>
      </c>
      <c r="Y1526" s="1" t="s">
        <v>624</v>
      </c>
      <c r="Z1526" s="1" t="s">
        <v>49</v>
      </c>
      <c r="AA1526" s="1" t="s">
        <v>50</v>
      </c>
      <c r="AB1526" s="1" t="s">
        <v>292</v>
      </c>
      <c r="AC1526" s="1" t="s">
        <v>328</v>
      </c>
      <c r="AD1526" s="1" t="s">
        <v>506</v>
      </c>
      <c r="AE1526" s="1" t="s">
        <v>506</v>
      </c>
      <c r="AF1526" s="1" t="s">
        <v>60</v>
      </c>
      <c r="AG1526" s="1" t="s">
        <v>60</v>
      </c>
      <c r="AH1526" s="1" t="s">
        <v>627</v>
      </c>
      <c r="AI1526" s="1" t="s">
        <v>55</v>
      </c>
      <c r="AJ1526" s="1" t="s">
        <v>49</v>
      </c>
      <c r="AK1526" s="1">
        <v>300</v>
      </c>
      <c r="AL1526" s="4">
        <v>0.32</v>
      </c>
      <c r="AM1526" s="1">
        <v>0.9</v>
      </c>
      <c r="AN1526" s="1">
        <f>(0.16*AM1526)^2</f>
        <v>2.0736000000000004E-2</v>
      </c>
      <c r="AO1526" s="1" t="s">
        <v>49</v>
      </c>
      <c r="AP1526" s="6">
        <v>1</v>
      </c>
      <c r="AQ1526" s="6" t="s">
        <v>49</v>
      </c>
      <c r="AR1526" s="6" t="s">
        <v>49</v>
      </c>
      <c r="AS1526" s="1">
        <f t="shared" si="124"/>
        <v>6.6355200000000015E-3</v>
      </c>
      <c r="AT1526" s="4">
        <f t="shared" si="125"/>
        <v>0.81920000000000015</v>
      </c>
      <c r="AU1526" s="5">
        <v>0</v>
      </c>
      <c r="AV1526" s="4">
        <f t="shared" si="126"/>
        <v>1.7408000000000003</v>
      </c>
      <c r="AW1526" s="9" t="s">
        <v>628</v>
      </c>
    </row>
    <row r="1527" spans="1:49">
      <c r="A1527" s="1">
        <v>19</v>
      </c>
      <c r="B1527" s="1" t="s">
        <v>38</v>
      </c>
      <c r="C1527" s="1" t="s">
        <v>38</v>
      </c>
      <c r="D1527" s="1" t="s">
        <v>622</v>
      </c>
      <c r="E1527" s="1" t="s">
        <v>40</v>
      </c>
      <c r="F1527" s="1">
        <v>1996</v>
      </c>
      <c r="G1527" s="3" t="s">
        <v>72</v>
      </c>
      <c r="H1527" s="3" t="s">
        <v>73</v>
      </c>
      <c r="I1527" s="3" t="s">
        <v>74</v>
      </c>
      <c r="J1527" s="3" t="s">
        <v>75</v>
      </c>
      <c r="K1527" s="1" t="s">
        <v>45</v>
      </c>
      <c r="L1527" s="3" t="s">
        <v>46</v>
      </c>
      <c r="M1527" s="1" t="s">
        <v>12</v>
      </c>
      <c r="N1527" s="1" t="s">
        <v>76</v>
      </c>
      <c r="O1527" s="1">
        <v>0.61099999999999999</v>
      </c>
      <c r="P1527" s="1">
        <v>0.7</v>
      </c>
      <c r="Q1527" s="1">
        <v>0.7</v>
      </c>
      <c r="R1527" s="1">
        <v>1</v>
      </c>
      <c r="S1527" s="1" t="s">
        <v>77</v>
      </c>
      <c r="T1527" s="1" t="s">
        <v>78</v>
      </c>
      <c r="U1527" s="1" t="s">
        <v>398</v>
      </c>
      <c r="V1527" s="1" t="s">
        <v>623</v>
      </c>
      <c r="W1527" s="1">
        <v>39.15</v>
      </c>
      <c r="X1527" s="1">
        <v>-122.55</v>
      </c>
      <c r="Y1527" s="1" t="s">
        <v>624</v>
      </c>
      <c r="Z1527" s="1" t="s">
        <v>49</v>
      </c>
      <c r="AA1527" s="1" t="s">
        <v>50</v>
      </c>
      <c r="AB1527" s="1" t="s">
        <v>292</v>
      </c>
      <c r="AC1527" s="1" t="s">
        <v>328</v>
      </c>
      <c r="AD1527" s="1" t="s">
        <v>630</v>
      </c>
      <c r="AE1527" s="1" t="s">
        <v>630</v>
      </c>
      <c r="AF1527" s="1" t="s">
        <v>60</v>
      </c>
      <c r="AG1527" s="1" t="s">
        <v>60</v>
      </c>
      <c r="AH1527" s="1" t="s">
        <v>627</v>
      </c>
      <c r="AI1527" s="1" t="s">
        <v>55</v>
      </c>
      <c r="AJ1527" s="1" t="s">
        <v>49</v>
      </c>
      <c r="AK1527" s="1">
        <v>300</v>
      </c>
      <c r="AL1527" s="4">
        <v>0.65</v>
      </c>
      <c r="AM1527" s="1">
        <v>2.0299999999999998</v>
      </c>
      <c r="AN1527" s="1">
        <f>(0.16*AM1527)^2</f>
        <v>0.10549503999999998</v>
      </c>
      <c r="AO1527" s="1" t="s">
        <v>49</v>
      </c>
      <c r="AP1527" s="6">
        <v>1</v>
      </c>
      <c r="AQ1527" s="6" t="s">
        <v>49</v>
      </c>
      <c r="AR1527" s="6" t="s">
        <v>49</v>
      </c>
      <c r="AS1527" s="1">
        <f t="shared" si="124"/>
        <v>6.8571775999999987E-2</v>
      </c>
      <c r="AT1527" s="4">
        <f t="shared" si="125"/>
        <v>1.6640000000000001</v>
      </c>
      <c r="AU1527" s="5">
        <v>0</v>
      </c>
      <c r="AV1527" s="4">
        <f t="shared" si="126"/>
        <v>0.89600000000000002</v>
      </c>
      <c r="AW1527" s="9" t="s">
        <v>628</v>
      </c>
    </row>
    <row r="1528" spans="1:49">
      <c r="A1528" s="1">
        <v>19</v>
      </c>
      <c r="B1528" s="1" t="s">
        <v>38</v>
      </c>
      <c r="C1528" s="1" t="s">
        <v>38</v>
      </c>
      <c r="D1528" s="1" t="s">
        <v>622</v>
      </c>
      <c r="E1528" s="1" t="s">
        <v>40</v>
      </c>
      <c r="F1528" s="1">
        <v>1996</v>
      </c>
      <c r="G1528" s="3" t="s">
        <v>72</v>
      </c>
      <c r="H1528" s="3" t="s">
        <v>73</v>
      </c>
      <c r="I1528" s="3" t="s">
        <v>74</v>
      </c>
      <c r="J1528" s="3" t="s">
        <v>75</v>
      </c>
      <c r="K1528" s="1" t="s">
        <v>45</v>
      </c>
      <c r="L1528" s="3" t="s">
        <v>46</v>
      </c>
      <c r="M1528" s="1" t="s">
        <v>12</v>
      </c>
      <c r="N1528" s="1" t="s">
        <v>76</v>
      </c>
      <c r="O1528" s="1">
        <v>0.61099999999999999</v>
      </c>
      <c r="P1528" s="1">
        <v>0.7</v>
      </c>
      <c r="Q1528" s="1">
        <v>0.7</v>
      </c>
      <c r="R1528" s="1">
        <v>1</v>
      </c>
      <c r="S1528" s="1" t="s">
        <v>77</v>
      </c>
      <c r="T1528" s="1" t="s">
        <v>78</v>
      </c>
      <c r="U1528" s="1" t="s">
        <v>398</v>
      </c>
      <c r="V1528" s="1" t="s">
        <v>623</v>
      </c>
      <c r="W1528" s="1">
        <v>39.15</v>
      </c>
      <c r="X1528" s="1">
        <v>-122.55</v>
      </c>
      <c r="Y1528" s="1" t="s">
        <v>624</v>
      </c>
      <c r="Z1528" s="1" t="s">
        <v>49</v>
      </c>
      <c r="AA1528" s="1" t="s">
        <v>50</v>
      </c>
      <c r="AB1528" s="1" t="s">
        <v>196</v>
      </c>
      <c r="AC1528" s="1" t="s">
        <v>625</v>
      </c>
      <c r="AD1528" s="1" t="s">
        <v>626</v>
      </c>
      <c r="AE1528" s="1" t="s">
        <v>626</v>
      </c>
      <c r="AF1528" s="1" t="s">
        <v>60</v>
      </c>
      <c r="AG1528" s="1" t="s">
        <v>60</v>
      </c>
      <c r="AH1528" s="1" t="s">
        <v>627</v>
      </c>
      <c r="AI1528" s="1" t="s">
        <v>55</v>
      </c>
      <c r="AJ1528" s="1" t="s">
        <v>49</v>
      </c>
      <c r="AK1528" s="1">
        <v>300</v>
      </c>
      <c r="AL1528" s="4">
        <v>-0.09</v>
      </c>
      <c r="AM1528" s="1">
        <v>0.44</v>
      </c>
      <c r="AN1528" s="1">
        <f>(0.91*AM1528)^2</f>
        <v>0.16032016000000002</v>
      </c>
      <c r="AO1528" s="1" t="s">
        <v>49</v>
      </c>
      <c r="AP1528" s="6">
        <v>1</v>
      </c>
      <c r="AQ1528" s="6" t="s">
        <v>49</v>
      </c>
      <c r="AR1528" s="6" t="s">
        <v>49</v>
      </c>
      <c r="AS1528" s="1">
        <f t="shared" si="124"/>
        <v>-1.4428814400000002E-2</v>
      </c>
      <c r="AT1528" s="4">
        <f t="shared" si="125"/>
        <v>-7.4529000000000014</v>
      </c>
      <c r="AU1528" s="5">
        <v>0</v>
      </c>
      <c r="AV1528" s="4">
        <f t="shared" si="126"/>
        <v>90.26290000000003</v>
      </c>
      <c r="AW1528" s="9" t="s">
        <v>628</v>
      </c>
    </row>
    <row r="1529" spans="1:49">
      <c r="A1529" s="1">
        <v>19</v>
      </c>
      <c r="B1529" s="1" t="s">
        <v>38</v>
      </c>
      <c r="C1529" s="1" t="s">
        <v>38</v>
      </c>
      <c r="D1529" s="1" t="s">
        <v>622</v>
      </c>
      <c r="E1529" s="1" t="s">
        <v>40</v>
      </c>
      <c r="F1529" s="1">
        <v>1996</v>
      </c>
      <c r="G1529" s="3" t="s">
        <v>72</v>
      </c>
      <c r="H1529" s="3" t="s">
        <v>73</v>
      </c>
      <c r="I1529" s="3" t="s">
        <v>74</v>
      </c>
      <c r="J1529" s="3" t="s">
        <v>75</v>
      </c>
      <c r="K1529" s="1" t="s">
        <v>45</v>
      </c>
      <c r="L1529" s="3" t="s">
        <v>46</v>
      </c>
      <c r="M1529" s="1" t="s">
        <v>12</v>
      </c>
      <c r="N1529" s="1" t="s">
        <v>76</v>
      </c>
      <c r="O1529" s="1">
        <v>0.61099999999999999</v>
      </c>
      <c r="P1529" s="1">
        <v>0.7</v>
      </c>
      <c r="Q1529" s="1">
        <v>0.7</v>
      </c>
      <c r="R1529" s="1">
        <v>1</v>
      </c>
      <c r="S1529" s="1" t="s">
        <v>77</v>
      </c>
      <c r="T1529" s="1" t="s">
        <v>78</v>
      </c>
      <c r="U1529" s="1" t="s">
        <v>398</v>
      </c>
      <c r="V1529" s="1" t="s">
        <v>623</v>
      </c>
      <c r="W1529" s="1">
        <v>39.15</v>
      </c>
      <c r="X1529" s="1">
        <v>-122.55</v>
      </c>
      <c r="Y1529" s="1" t="s">
        <v>624</v>
      </c>
      <c r="Z1529" s="1" t="s">
        <v>49</v>
      </c>
      <c r="AA1529" s="1" t="s">
        <v>50</v>
      </c>
      <c r="AB1529" s="1" t="s">
        <v>196</v>
      </c>
      <c r="AC1529" s="1" t="s">
        <v>625</v>
      </c>
      <c r="AD1529" s="1" t="s">
        <v>629</v>
      </c>
      <c r="AE1529" s="1" t="s">
        <v>629</v>
      </c>
      <c r="AF1529" s="1" t="s">
        <v>60</v>
      </c>
      <c r="AG1529" s="1" t="s">
        <v>60</v>
      </c>
      <c r="AH1529" s="1" t="s">
        <v>627</v>
      </c>
      <c r="AI1529" s="1" t="s">
        <v>55</v>
      </c>
      <c r="AJ1529" s="1" t="s">
        <v>49</v>
      </c>
      <c r="AK1529" s="1">
        <v>300</v>
      </c>
      <c r="AL1529" s="4">
        <v>0.41</v>
      </c>
      <c r="AM1529" s="1">
        <v>0.47</v>
      </c>
      <c r="AN1529" s="1">
        <f>(0.22*AM1529)^2</f>
        <v>1.0691559999999998E-2</v>
      </c>
      <c r="AO1529" s="1" t="s">
        <v>49</v>
      </c>
      <c r="AP1529" s="6">
        <v>1</v>
      </c>
      <c r="AQ1529" s="6" t="s">
        <v>49</v>
      </c>
      <c r="AR1529" s="6" t="s">
        <v>49</v>
      </c>
      <c r="AS1529" s="1">
        <f t="shared" si="124"/>
        <v>4.383539599999999E-3</v>
      </c>
      <c r="AT1529" s="4">
        <f t="shared" si="125"/>
        <v>1.9843999999999997</v>
      </c>
      <c r="AU1529" s="5">
        <v>0</v>
      </c>
      <c r="AV1529" s="4">
        <f t="shared" si="126"/>
        <v>2.8555999999999999</v>
      </c>
      <c r="AW1529" s="9" t="s">
        <v>628</v>
      </c>
    </row>
    <row r="1530" spans="1:49">
      <c r="A1530" s="1">
        <v>19</v>
      </c>
      <c r="B1530" s="1" t="s">
        <v>38</v>
      </c>
      <c r="C1530" s="1" t="s">
        <v>38</v>
      </c>
      <c r="D1530" s="1" t="s">
        <v>622</v>
      </c>
      <c r="E1530" s="1" t="s">
        <v>40</v>
      </c>
      <c r="F1530" s="1">
        <v>1996</v>
      </c>
      <c r="G1530" s="3" t="s">
        <v>72</v>
      </c>
      <c r="H1530" s="3" t="s">
        <v>73</v>
      </c>
      <c r="I1530" s="3" t="s">
        <v>74</v>
      </c>
      <c r="J1530" s="3" t="s">
        <v>75</v>
      </c>
      <c r="K1530" s="1" t="s">
        <v>45</v>
      </c>
      <c r="L1530" s="3" t="s">
        <v>46</v>
      </c>
      <c r="M1530" s="1" t="s">
        <v>12</v>
      </c>
      <c r="N1530" s="1" t="s">
        <v>76</v>
      </c>
      <c r="O1530" s="1">
        <v>0.61099999999999999</v>
      </c>
      <c r="P1530" s="1">
        <v>0.7</v>
      </c>
      <c r="Q1530" s="1">
        <v>0.7</v>
      </c>
      <c r="R1530" s="1">
        <v>1</v>
      </c>
      <c r="S1530" s="1" t="s">
        <v>77</v>
      </c>
      <c r="T1530" s="1" t="s">
        <v>78</v>
      </c>
      <c r="U1530" s="1" t="s">
        <v>398</v>
      </c>
      <c r="V1530" s="1" t="s">
        <v>623</v>
      </c>
      <c r="W1530" s="1">
        <v>39.15</v>
      </c>
      <c r="X1530" s="1">
        <v>-122.55</v>
      </c>
      <c r="Y1530" s="1" t="s">
        <v>624</v>
      </c>
      <c r="Z1530" s="1" t="s">
        <v>49</v>
      </c>
      <c r="AA1530" s="6" t="s">
        <v>49</v>
      </c>
      <c r="AB1530" s="6" t="s">
        <v>49</v>
      </c>
      <c r="AC1530" s="6" t="s">
        <v>49</v>
      </c>
      <c r="AD1530" s="1" t="s">
        <v>89</v>
      </c>
      <c r="AE1530" s="1" t="s">
        <v>170</v>
      </c>
      <c r="AF1530" s="6" t="s">
        <v>49</v>
      </c>
      <c r="AG1530" s="6" t="s">
        <v>49</v>
      </c>
      <c r="AH1530" s="1" t="s">
        <v>627</v>
      </c>
      <c r="AI1530" s="1" t="s">
        <v>55</v>
      </c>
      <c r="AJ1530" s="20" t="s">
        <v>49</v>
      </c>
      <c r="AK1530" s="20" t="s">
        <v>49</v>
      </c>
      <c r="AL1530" s="20" t="s">
        <v>49</v>
      </c>
      <c r="AM1530" s="20" t="s">
        <v>49</v>
      </c>
      <c r="AN1530" s="1" t="s">
        <v>49</v>
      </c>
      <c r="AO1530" s="1" t="s">
        <v>49</v>
      </c>
      <c r="AP1530" s="6">
        <v>1</v>
      </c>
      <c r="AQ1530" s="6">
        <v>1.34</v>
      </c>
      <c r="AR1530" s="6" t="s">
        <v>49</v>
      </c>
      <c r="AS1530" s="6" t="s">
        <v>49</v>
      </c>
      <c r="AT1530" s="6" t="s">
        <v>49</v>
      </c>
      <c r="AU1530" s="6" t="s">
        <v>49</v>
      </c>
      <c r="AV1530" s="6" t="s">
        <v>49</v>
      </c>
      <c r="AW1530" s="9" t="s">
        <v>631</v>
      </c>
    </row>
    <row r="1531" spans="1:49">
      <c r="A1531" s="1">
        <v>19</v>
      </c>
      <c r="B1531" s="1" t="s">
        <v>38</v>
      </c>
      <c r="C1531" s="1" t="s">
        <v>38</v>
      </c>
      <c r="D1531" s="1" t="s">
        <v>622</v>
      </c>
      <c r="E1531" s="1" t="s">
        <v>40</v>
      </c>
      <c r="F1531" s="1">
        <v>1996</v>
      </c>
      <c r="G1531" s="3" t="s">
        <v>72</v>
      </c>
      <c r="H1531" s="3" t="s">
        <v>73</v>
      </c>
      <c r="I1531" s="3" t="s">
        <v>74</v>
      </c>
      <c r="J1531" s="3" t="s">
        <v>75</v>
      </c>
      <c r="K1531" s="1" t="s">
        <v>45</v>
      </c>
      <c r="L1531" s="3" t="s">
        <v>46</v>
      </c>
      <c r="M1531" s="1" t="s">
        <v>12</v>
      </c>
      <c r="N1531" s="1" t="s">
        <v>76</v>
      </c>
      <c r="O1531" s="1">
        <v>0.61099999999999999</v>
      </c>
      <c r="P1531" s="1">
        <v>0.7</v>
      </c>
      <c r="Q1531" s="1">
        <v>0.7</v>
      </c>
      <c r="R1531" s="1">
        <v>1</v>
      </c>
      <c r="S1531" s="1" t="s">
        <v>77</v>
      </c>
      <c r="T1531" s="1" t="s">
        <v>78</v>
      </c>
      <c r="U1531" s="1" t="s">
        <v>398</v>
      </c>
      <c r="V1531" s="1" t="s">
        <v>623</v>
      </c>
      <c r="W1531" s="1">
        <v>39.15</v>
      </c>
      <c r="X1531" s="1">
        <v>-122.55</v>
      </c>
      <c r="Y1531" s="1" t="s">
        <v>624</v>
      </c>
      <c r="Z1531" s="1" t="s">
        <v>49</v>
      </c>
      <c r="AA1531" s="6" t="s">
        <v>49</v>
      </c>
      <c r="AB1531" s="6" t="s">
        <v>49</v>
      </c>
      <c r="AC1531" s="6" t="s">
        <v>49</v>
      </c>
      <c r="AD1531" s="1" t="s">
        <v>89</v>
      </c>
      <c r="AE1531" s="1" t="s">
        <v>506</v>
      </c>
      <c r="AF1531" s="6" t="s">
        <v>49</v>
      </c>
      <c r="AG1531" s="6" t="s">
        <v>49</v>
      </c>
      <c r="AH1531" s="1" t="s">
        <v>627</v>
      </c>
      <c r="AI1531" s="1" t="s">
        <v>55</v>
      </c>
      <c r="AJ1531" s="20" t="s">
        <v>49</v>
      </c>
      <c r="AK1531" s="20" t="s">
        <v>49</v>
      </c>
      <c r="AL1531" s="20" t="s">
        <v>49</v>
      </c>
      <c r="AM1531" s="20" t="s">
        <v>49</v>
      </c>
      <c r="AN1531" s="1" t="s">
        <v>49</v>
      </c>
      <c r="AO1531" s="1" t="s">
        <v>49</v>
      </c>
      <c r="AP1531" s="6">
        <v>1</v>
      </c>
      <c r="AQ1531" s="6">
        <v>-1.91</v>
      </c>
      <c r="AR1531" s="6" t="s">
        <v>49</v>
      </c>
      <c r="AS1531" s="6" t="s">
        <v>49</v>
      </c>
      <c r="AT1531" s="6" t="s">
        <v>49</v>
      </c>
      <c r="AU1531" s="6" t="s">
        <v>49</v>
      </c>
      <c r="AV1531" s="6" t="s">
        <v>49</v>
      </c>
      <c r="AW1531" s="9" t="s">
        <v>631</v>
      </c>
    </row>
    <row r="1532" spans="1:49">
      <c r="A1532" s="1">
        <v>19</v>
      </c>
      <c r="B1532" s="1" t="s">
        <v>38</v>
      </c>
      <c r="C1532" s="1" t="s">
        <v>38</v>
      </c>
      <c r="D1532" s="1" t="s">
        <v>622</v>
      </c>
      <c r="E1532" s="1" t="s">
        <v>40</v>
      </c>
      <c r="F1532" s="1">
        <v>1996</v>
      </c>
      <c r="G1532" s="3" t="s">
        <v>72</v>
      </c>
      <c r="H1532" s="3" t="s">
        <v>73</v>
      </c>
      <c r="I1532" s="3" t="s">
        <v>74</v>
      </c>
      <c r="J1532" s="3" t="s">
        <v>75</v>
      </c>
      <c r="K1532" s="1" t="s">
        <v>45</v>
      </c>
      <c r="L1532" s="3" t="s">
        <v>46</v>
      </c>
      <c r="M1532" s="1" t="s">
        <v>12</v>
      </c>
      <c r="N1532" s="1" t="s">
        <v>76</v>
      </c>
      <c r="O1532" s="1">
        <v>0.61099999999999999</v>
      </c>
      <c r="P1532" s="1">
        <v>0.7</v>
      </c>
      <c r="Q1532" s="1">
        <v>0.7</v>
      </c>
      <c r="R1532" s="1">
        <v>1</v>
      </c>
      <c r="S1532" s="1" t="s">
        <v>77</v>
      </c>
      <c r="T1532" s="1" t="s">
        <v>78</v>
      </c>
      <c r="U1532" s="1" t="s">
        <v>398</v>
      </c>
      <c r="V1532" s="1" t="s">
        <v>623</v>
      </c>
      <c r="W1532" s="1">
        <v>39.15</v>
      </c>
      <c r="X1532" s="1">
        <v>-122.55</v>
      </c>
      <c r="Y1532" s="1" t="s">
        <v>624</v>
      </c>
      <c r="Z1532" s="1" t="s">
        <v>49</v>
      </c>
      <c r="AA1532" s="6" t="s">
        <v>49</v>
      </c>
      <c r="AB1532" s="6" t="s">
        <v>49</v>
      </c>
      <c r="AC1532" s="6" t="s">
        <v>49</v>
      </c>
      <c r="AD1532" s="1" t="s">
        <v>89</v>
      </c>
      <c r="AE1532" s="1" t="s">
        <v>630</v>
      </c>
      <c r="AF1532" s="6" t="s">
        <v>49</v>
      </c>
      <c r="AG1532" s="6" t="s">
        <v>49</v>
      </c>
      <c r="AH1532" s="1" t="s">
        <v>627</v>
      </c>
      <c r="AI1532" s="1" t="s">
        <v>55</v>
      </c>
      <c r="AJ1532" s="20" t="s">
        <v>49</v>
      </c>
      <c r="AK1532" s="20" t="s">
        <v>49</v>
      </c>
      <c r="AL1532" s="20" t="s">
        <v>49</v>
      </c>
      <c r="AM1532" s="20" t="s">
        <v>49</v>
      </c>
      <c r="AN1532" s="1" t="s">
        <v>49</v>
      </c>
      <c r="AO1532" s="1" t="s">
        <v>49</v>
      </c>
      <c r="AP1532" s="6">
        <v>1</v>
      </c>
      <c r="AQ1532" s="6">
        <v>-0.44</v>
      </c>
      <c r="AR1532" s="6" t="s">
        <v>49</v>
      </c>
      <c r="AS1532" s="6" t="s">
        <v>49</v>
      </c>
      <c r="AT1532" s="6" t="s">
        <v>49</v>
      </c>
      <c r="AU1532" s="6" t="s">
        <v>49</v>
      </c>
      <c r="AV1532" s="6" t="s">
        <v>49</v>
      </c>
      <c r="AW1532" s="9" t="s">
        <v>631</v>
      </c>
    </row>
    <row r="1533" spans="1:49">
      <c r="A1533" s="1">
        <v>19</v>
      </c>
      <c r="B1533" s="1" t="s">
        <v>38</v>
      </c>
      <c r="C1533" s="1" t="s">
        <v>38</v>
      </c>
      <c r="D1533" s="1" t="s">
        <v>622</v>
      </c>
      <c r="E1533" s="1" t="s">
        <v>40</v>
      </c>
      <c r="F1533" s="1">
        <v>1996</v>
      </c>
      <c r="G1533" s="3" t="s">
        <v>72</v>
      </c>
      <c r="H1533" s="3" t="s">
        <v>73</v>
      </c>
      <c r="I1533" s="3" t="s">
        <v>74</v>
      </c>
      <c r="J1533" s="3" t="s">
        <v>75</v>
      </c>
      <c r="K1533" s="1" t="s">
        <v>45</v>
      </c>
      <c r="L1533" s="3" t="s">
        <v>46</v>
      </c>
      <c r="M1533" s="1" t="s">
        <v>12</v>
      </c>
      <c r="N1533" s="1" t="s">
        <v>76</v>
      </c>
      <c r="O1533" s="1">
        <v>0.61099999999999999</v>
      </c>
      <c r="P1533" s="1">
        <v>0.7</v>
      </c>
      <c r="Q1533" s="1">
        <v>0.7</v>
      </c>
      <c r="R1533" s="1">
        <v>1</v>
      </c>
      <c r="S1533" s="1" t="s">
        <v>77</v>
      </c>
      <c r="T1533" s="1" t="s">
        <v>78</v>
      </c>
      <c r="U1533" s="1" t="s">
        <v>398</v>
      </c>
      <c r="V1533" s="1" t="s">
        <v>623</v>
      </c>
      <c r="W1533" s="1">
        <v>39.15</v>
      </c>
      <c r="X1533" s="1">
        <v>-122.55</v>
      </c>
      <c r="Y1533" s="1" t="s">
        <v>624</v>
      </c>
      <c r="Z1533" s="1" t="s">
        <v>49</v>
      </c>
      <c r="AA1533" s="6" t="s">
        <v>49</v>
      </c>
      <c r="AB1533" s="6" t="s">
        <v>49</v>
      </c>
      <c r="AC1533" s="6" t="s">
        <v>49</v>
      </c>
      <c r="AD1533" s="1" t="s">
        <v>89</v>
      </c>
      <c r="AE1533" s="1" t="s">
        <v>626</v>
      </c>
      <c r="AF1533" s="6" t="s">
        <v>49</v>
      </c>
      <c r="AG1533" s="6" t="s">
        <v>49</v>
      </c>
      <c r="AH1533" s="1" t="s">
        <v>627</v>
      </c>
      <c r="AI1533" s="1" t="s">
        <v>55</v>
      </c>
      <c r="AJ1533" s="20" t="s">
        <v>49</v>
      </c>
      <c r="AK1533" s="20" t="s">
        <v>49</v>
      </c>
      <c r="AL1533" s="20" t="s">
        <v>49</v>
      </c>
      <c r="AM1533" s="20" t="s">
        <v>49</v>
      </c>
      <c r="AN1533" s="1" t="s">
        <v>49</v>
      </c>
      <c r="AO1533" s="1" t="s">
        <v>49</v>
      </c>
      <c r="AP1533" s="6">
        <v>1</v>
      </c>
      <c r="AQ1533" s="6">
        <v>0.62</v>
      </c>
      <c r="AR1533" s="6" t="s">
        <v>49</v>
      </c>
      <c r="AS1533" s="6" t="s">
        <v>49</v>
      </c>
      <c r="AT1533" s="6" t="s">
        <v>49</v>
      </c>
      <c r="AU1533" s="6" t="s">
        <v>49</v>
      </c>
      <c r="AV1533" s="6" t="s">
        <v>49</v>
      </c>
      <c r="AW1533" s="9" t="s">
        <v>631</v>
      </c>
    </row>
    <row r="1534" spans="1:49">
      <c r="A1534" s="1">
        <v>19</v>
      </c>
      <c r="B1534" s="1" t="s">
        <v>38</v>
      </c>
      <c r="C1534" s="1" t="s">
        <v>38</v>
      </c>
      <c r="D1534" s="1" t="s">
        <v>622</v>
      </c>
      <c r="E1534" s="1" t="s">
        <v>40</v>
      </c>
      <c r="F1534" s="1">
        <v>1996</v>
      </c>
      <c r="G1534" s="3" t="s">
        <v>72</v>
      </c>
      <c r="H1534" s="3" t="s">
        <v>73</v>
      </c>
      <c r="I1534" s="3" t="s">
        <v>74</v>
      </c>
      <c r="J1534" s="3" t="s">
        <v>75</v>
      </c>
      <c r="K1534" s="1" t="s">
        <v>45</v>
      </c>
      <c r="L1534" s="3" t="s">
        <v>46</v>
      </c>
      <c r="M1534" s="1" t="s">
        <v>12</v>
      </c>
      <c r="N1534" s="1" t="s">
        <v>76</v>
      </c>
      <c r="O1534" s="1">
        <v>0.61099999999999999</v>
      </c>
      <c r="P1534" s="1">
        <v>0.7</v>
      </c>
      <c r="Q1534" s="1">
        <v>0.7</v>
      </c>
      <c r="R1534" s="1">
        <v>1</v>
      </c>
      <c r="S1534" s="1" t="s">
        <v>77</v>
      </c>
      <c r="T1534" s="1" t="s">
        <v>78</v>
      </c>
      <c r="U1534" s="1" t="s">
        <v>398</v>
      </c>
      <c r="V1534" s="1" t="s">
        <v>623</v>
      </c>
      <c r="W1534" s="1">
        <v>39.15</v>
      </c>
      <c r="X1534" s="1">
        <v>-122.55</v>
      </c>
      <c r="Y1534" s="1" t="s">
        <v>624</v>
      </c>
      <c r="Z1534" s="1" t="s">
        <v>49</v>
      </c>
      <c r="AA1534" s="6" t="s">
        <v>49</v>
      </c>
      <c r="AB1534" s="6" t="s">
        <v>49</v>
      </c>
      <c r="AC1534" s="6" t="s">
        <v>49</v>
      </c>
      <c r="AD1534" s="1" t="s">
        <v>89</v>
      </c>
      <c r="AE1534" s="1" t="s">
        <v>629</v>
      </c>
      <c r="AF1534" s="6" t="s">
        <v>49</v>
      </c>
      <c r="AG1534" s="6" t="s">
        <v>49</v>
      </c>
      <c r="AH1534" s="1" t="s">
        <v>627</v>
      </c>
      <c r="AI1534" s="1" t="s">
        <v>55</v>
      </c>
      <c r="AJ1534" s="20" t="s">
        <v>49</v>
      </c>
      <c r="AK1534" s="20" t="s">
        <v>49</v>
      </c>
      <c r="AL1534" s="20" t="s">
        <v>49</v>
      </c>
      <c r="AM1534" s="20" t="s">
        <v>49</v>
      </c>
      <c r="AN1534" s="1" t="s">
        <v>49</v>
      </c>
      <c r="AO1534" s="1" t="s">
        <v>49</v>
      </c>
      <c r="AP1534" s="6">
        <v>1</v>
      </c>
      <c r="AQ1534" s="6">
        <v>0.09</v>
      </c>
      <c r="AR1534" s="6" t="s">
        <v>49</v>
      </c>
      <c r="AS1534" s="6" t="s">
        <v>49</v>
      </c>
      <c r="AT1534" s="6" t="s">
        <v>49</v>
      </c>
      <c r="AU1534" s="6" t="s">
        <v>49</v>
      </c>
      <c r="AV1534" s="6" t="s">
        <v>49</v>
      </c>
      <c r="AW1534" s="9" t="s">
        <v>631</v>
      </c>
    </row>
    <row r="1535" spans="1:49">
      <c r="A1535" s="1">
        <v>19</v>
      </c>
      <c r="B1535" s="1" t="s">
        <v>38</v>
      </c>
      <c r="C1535" s="1" t="s">
        <v>38</v>
      </c>
      <c r="D1535" s="1" t="s">
        <v>622</v>
      </c>
      <c r="E1535" s="1" t="s">
        <v>40</v>
      </c>
      <c r="F1535" s="1">
        <v>1996</v>
      </c>
      <c r="G1535" s="3" t="s">
        <v>72</v>
      </c>
      <c r="H1535" s="3" t="s">
        <v>73</v>
      </c>
      <c r="I1535" s="3" t="s">
        <v>74</v>
      </c>
      <c r="J1535" s="3" t="s">
        <v>75</v>
      </c>
      <c r="K1535" s="1" t="s">
        <v>45</v>
      </c>
      <c r="L1535" s="3" t="s">
        <v>46</v>
      </c>
      <c r="M1535" s="1" t="s">
        <v>12</v>
      </c>
      <c r="N1535" s="1" t="s">
        <v>76</v>
      </c>
      <c r="O1535" s="1">
        <v>0.61099999999999999</v>
      </c>
      <c r="P1535" s="1">
        <v>0.7</v>
      </c>
      <c r="Q1535" s="1">
        <v>0.7</v>
      </c>
      <c r="R1535" s="1">
        <v>1</v>
      </c>
      <c r="S1535" s="1" t="s">
        <v>77</v>
      </c>
      <c r="T1535" s="1" t="s">
        <v>78</v>
      </c>
      <c r="U1535" s="1" t="s">
        <v>398</v>
      </c>
      <c r="V1535" s="1" t="s">
        <v>623</v>
      </c>
      <c r="W1535" s="1">
        <v>39.15</v>
      </c>
      <c r="X1535" s="1">
        <v>-122.55</v>
      </c>
      <c r="Y1535" s="1" t="s">
        <v>624</v>
      </c>
      <c r="Z1535" s="1" t="s">
        <v>49</v>
      </c>
      <c r="AA1535" s="6" t="s">
        <v>49</v>
      </c>
      <c r="AB1535" s="6" t="s">
        <v>49</v>
      </c>
      <c r="AC1535" s="6" t="s">
        <v>49</v>
      </c>
      <c r="AD1535" s="1" t="s">
        <v>170</v>
      </c>
      <c r="AE1535" s="1" t="s">
        <v>506</v>
      </c>
      <c r="AF1535" s="6" t="s">
        <v>49</v>
      </c>
      <c r="AG1535" s="6" t="s">
        <v>49</v>
      </c>
      <c r="AH1535" s="1" t="s">
        <v>627</v>
      </c>
      <c r="AI1535" s="1" t="s">
        <v>55</v>
      </c>
      <c r="AJ1535" s="20" t="s">
        <v>49</v>
      </c>
      <c r="AK1535" s="20" t="s">
        <v>49</v>
      </c>
      <c r="AL1535" s="20" t="s">
        <v>49</v>
      </c>
      <c r="AM1535" s="20" t="s">
        <v>49</v>
      </c>
      <c r="AN1535" s="1" t="s">
        <v>49</v>
      </c>
      <c r="AO1535" s="1" t="s">
        <v>49</v>
      </c>
      <c r="AP1535" s="6">
        <v>1</v>
      </c>
      <c r="AQ1535" s="6">
        <v>-1.54</v>
      </c>
      <c r="AR1535" s="6" t="s">
        <v>49</v>
      </c>
      <c r="AS1535" s="6" t="s">
        <v>49</v>
      </c>
      <c r="AT1535" s="6" t="s">
        <v>49</v>
      </c>
      <c r="AU1535" s="6" t="s">
        <v>49</v>
      </c>
      <c r="AV1535" s="6" t="s">
        <v>49</v>
      </c>
      <c r="AW1535" s="9" t="s">
        <v>631</v>
      </c>
    </row>
    <row r="1536" spans="1:49">
      <c r="A1536" s="1">
        <v>19</v>
      </c>
      <c r="B1536" s="1" t="s">
        <v>38</v>
      </c>
      <c r="C1536" s="1" t="s">
        <v>38</v>
      </c>
      <c r="D1536" s="1" t="s">
        <v>622</v>
      </c>
      <c r="E1536" s="1" t="s">
        <v>40</v>
      </c>
      <c r="F1536" s="1">
        <v>1996</v>
      </c>
      <c r="G1536" s="3" t="s">
        <v>72</v>
      </c>
      <c r="H1536" s="3" t="s">
        <v>73</v>
      </c>
      <c r="I1536" s="3" t="s">
        <v>74</v>
      </c>
      <c r="J1536" s="3" t="s">
        <v>75</v>
      </c>
      <c r="K1536" s="1" t="s">
        <v>45</v>
      </c>
      <c r="L1536" s="3" t="s">
        <v>46</v>
      </c>
      <c r="M1536" s="1" t="s">
        <v>12</v>
      </c>
      <c r="N1536" s="1" t="s">
        <v>76</v>
      </c>
      <c r="O1536" s="1">
        <v>0.61099999999999999</v>
      </c>
      <c r="P1536" s="1">
        <v>0.7</v>
      </c>
      <c r="Q1536" s="1">
        <v>0.7</v>
      </c>
      <c r="R1536" s="1">
        <v>1</v>
      </c>
      <c r="S1536" s="1" t="s">
        <v>77</v>
      </c>
      <c r="T1536" s="1" t="s">
        <v>78</v>
      </c>
      <c r="U1536" s="1" t="s">
        <v>398</v>
      </c>
      <c r="V1536" s="1" t="s">
        <v>623</v>
      </c>
      <c r="W1536" s="1">
        <v>39.15</v>
      </c>
      <c r="X1536" s="1">
        <v>-122.55</v>
      </c>
      <c r="Y1536" s="1" t="s">
        <v>624</v>
      </c>
      <c r="Z1536" s="1" t="s">
        <v>49</v>
      </c>
      <c r="AA1536" s="6" t="s">
        <v>49</v>
      </c>
      <c r="AB1536" s="6" t="s">
        <v>49</v>
      </c>
      <c r="AC1536" s="6" t="s">
        <v>49</v>
      </c>
      <c r="AD1536" s="1" t="s">
        <v>170</v>
      </c>
      <c r="AE1536" s="1" t="s">
        <v>630</v>
      </c>
      <c r="AF1536" s="6" t="s">
        <v>49</v>
      </c>
      <c r="AG1536" s="6" t="s">
        <v>49</v>
      </c>
      <c r="AH1536" s="1" t="s">
        <v>627</v>
      </c>
      <c r="AI1536" s="1" t="s">
        <v>55</v>
      </c>
      <c r="AJ1536" s="20" t="s">
        <v>49</v>
      </c>
      <c r="AK1536" s="20" t="s">
        <v>49</v>
      </c>
      <c r="AL1536" s="20" t="s">
        <v>49</v>
      </c>
      <c r="AM1536" s="20" t="s">
        <v>49</v>
      </c>
      <c r="AN1536" s="1" t="s">
        <v>49</v>
      </c>
      <c r="AO1536" s="1" t="s">
        <v>49</v>
      </c>
      <c r="AP1536" s="6">
        <v>1</v>
      </c>
      <c r="AQ1536" s="6">
        <v>-0.28999999999999998</v>
      </c>
      <c r="AR1536" s="6" t="s">
        <v>49</v>
      </c>
      <c r="AS1536" s="6" t="s">
        <v>49</v>
      </c>
      <c r="AT1536" s="6" t="s">
        <v>49</v>
      </c>
      <c r="AU1536" s="6" t="s">
        <v>49</v>
      </c>
      <c r="AV1536" s="6" t="s">
        <v>49</v>
      </c>
      <c r="AW1536" s="9" t="s">
        <v>631</v>
      </c>
    </row>
    <row r="1537" spans="1:49">
      <c r="A1537" s="1">
        <v>19</v>
      </c>
      <c r="B1537" s="1" t="s">
        <v>38</v>
      </c>
      <c r="C1537" s="1" t="s">
        <v>38</v>
      </c>
      <c r="D1537" s="1" t="s">
        <v>622</v>
      </c>
      <c r="E1537" s="1" t="s">
        <v>40</v>
      </c>
      <c r="F1537" s="1">
        <v>1996</v>
      </c>
      <c r="G1537" s="3" t="s">
        <v>72</v>
      </c>
      <c r="H1537" s="3" t="s">
        <v>73</v>
      </c>
      <c r="I1537" s="3" t="s">
        <v>74</v>
      </c>
      <c r="J1537" s="3" t="s">
        <v>75</v>
      </c>
      <c r="K1537" s="1" t="s">
        <v>45</v>
      </c>
      <c r="L1537" s="3" t="s">
        <v>46</v>
      </c>
      <c r="M1537" s="1" t="s">
        <v>12</v>
      </c>
      <c r="N1537" s="1" t="s">
        <v>76</v>
      </c>
      <c r="O1537" s="1">
        <v>0.61099999999999999</v>
      </c>
      <c r="P1537" s="1">
        <v>0.7</v>
      </c>
      <c r="Q1537" s="1">
        <v>0.7</v>
      </c>
      <c r="R1537" s="1">
        <v>1</v>
      </c>
      <c r="S1537" s="1" t="s">
        <v>77</v>
      </c>
      <c r="T1537" s="1" t="s">
        <v>78</v>
      </c>
      <c r="U1537" s="1" t="s">
        <v>398</v>
      </c>
      <c r="V1537" s="1" t="s">
        <v>623</v>
      </c>
      <c r="W1537" s="1">
        <v>39.15</v>
      </c>
      <c r="X1537" s="1">
        <v>-122.55</v>
      </c>
      <c r="Y1537" s="1" t="s">
        <v>624</v>
      </c>
      <c r="Z1537" s="1" t="s">
        <v>49</v>
      </c>
      <c r="AA1537" s="6" t="s">
        <v>49</v>
      </c>
      <c r="AB1537" s="6" t="s">
        <v>49</v>
      </c>
      <c r="AC1537" s="6" t="s">
        <v>49</v>
      </c>
      <c r="AD1537" s="1" t="s">
        <v>170</v>
      </c>
      <c r="AE1537" s="1" t="s">
        <v>626</v>
      </c>
      <c r="AF1537" s="6" t="s">
        <v>49</v>
      </c>
      <c r="AG1537" s="6" t="s">
        <v>49</v>
      </c>
      <c r="AH1537" s="1" t="s">
        <v>627</v>
      </c>
      <c r="AI1537" s="1" t="s">
        <v>55</v>
      </c>
      <c r="AJ1537" s="20" t="s">
        <v>49</v>
      </c>
      <c r="AK1537" s="20" t="s">
        <v>49</v>
      </c>
      <c r="AL1537" s="20" t="s">
        <v>49</v>
      </c>
      <c r="AM1537" s="20" t="s">
        <v>49</v>
      </c>
      <c r="AN1537" s="1" t="s">
        <v>49</v>
      </c>
      <c r="AO1537" s="1" t="s">
        <v>49</v>
      </c>
      <c r="AP1537" s="6">
        <v>1</v>
      </c>
      <c r="AQ1537" s="6">
        <v>0.13</v>
      </c>
      <c r="AR1537" s="6" t="s">
        <v>49</v>
      </c>
      <c r="AS1537" s="6" t="s">
        <v>49</v>
      </c>
      <c r="AT1537" s="6" t="s">
        <v>49</v>
      </c>
      <c r="AU1537" s="6" t="s">
        <v>49</v>
      </c>
      <c r="AV1537" s="6" t="s">
        <v>49</v>
      </c>
      <c r="AW1537" s="9" t="s">
        <v>631</v>
      </c>
    </row>
    <row r="1538" spans="1:49">
      <c r="A1538" s="1">
        <v>19</v>
      </c>
      <c r="B1538" s="1" t="s">
        <v>38</v>
      </c>
      <c r="C1538" s="1" t="s">
        <v>38</v>
      </c>
      <c r="D1538" s="1" t="s">
        <v>622</v>
      </c>
      <c r="E1538" s="1" t="s">
        <v>40</v>
      </c>
      <c r="F1538" s="1">
        <v>1996</v>
      </c>
      <c r="G1538" s="3" t="s">
        <v>72</v>
      </c>
      <c r="H1538" s="3" t="s">
        <v>73</v>
      </c>
      <c r="I1538" s="3" t="s">
        <v>74</v>
      </c>
      <c r="J1538" s="3" t="s">
        <v>75</v>
      </c>
      <c r="K1538" s="1" t="s">
        <v>45</v>
      </c>
      <c r="L1538" s="3" t="s">
        <v>46</v>
      </c>
      <c r="M1538" s="1" t="s">
        <v>12</v>
      </c>
      <c r="N1538" s="1" t="s">
        <v>76</v>
      </c>
      <c r="O1538" s="1">
        <v>0.61099999999999999</v>
      </c>
      <c r="P1538" s="1">
        <v>0.7</v>
      </c>
      <c r="Q1538" s="1">
        <v>0.7</v>
      </c>
      <c r="R1538" s="1">
        <v>1</v>
      </c>
      <c r="S1538" s="1" t="s">
        <v>77</v>
      </c>
      <c r="T1538" s="1" t="s">
        <v>78</v>
      </c>
      <c r="U1538" s="1" t="s">
        <v>398</v>
      </c>
      <c r="V1538" s="1" t="s">
        <v>623</v>
      </c>
      <c r="W1538" s="1">
        <v>39.15</v>
      </c>
      <c r="X1538" s="1">
        <v>-122.55</v>
      </c>
      <c r="Y1538" s="1" t="s">
        <v>624</v>
      </c>
      <c r="Z1538" s="1" t="s">
        <v>49</v>
      </c>
      <c r="AA1538" s="6" t="s">
        <v>49</v>
      </c>
      <c r="AB1538" s="6" t="s">
        <v>49</v>
      </c>
      <c r="AC1538" s="6" t="s">
        <v>49</v>
      </c>
      <c r="AD1538" s="1" t="s">
        <v>170</v>
      </c>
      <c r="AE1538" s="1" t="s">
        <v>629</v>
      </c>
      <c r="AF1538" s="6" t="s">
        <v>49</v>
      </c>
      <c r="AG1538" s="6" t="s">
        <v>49</v>
      </c>
      <c r="AH1538" s="1" t="s">
        <v>627</v>
      </c>
      <c r="AI1538" s="1" t="s">
        <v>55</v>
      </c>
      <c r="AJ1538" s="20" t="s">
        <v>49</v>
      </c>
      <c r="AK1538" s="20" t="s">
        <v>49</v>
      </c>
      <c r="AL1538" s="20" t="s">
        <v>49</v>
      </c>
      <c r="AM1538" s="20" t="s">
        <v>49</v>
      </c>
      <c r="AN1538" s="1" t="s">
        <v>49</v>
      </c>
      <c r="AO1538" s="1" t="s">
        <v>49</v>
      </c>
      <c r="AP1538" s="6">
        <v>1</v>
      </c>
      <c r="AQ1538" s="6">
        <v>0.18</v>
      </c>
      <c r="AR1538" s="6" t="s">
        <v>49</v>
      </c>
      <c r="AS1538" s="6" t="s">
        <v>49</v>
      </c>
      <c r="AT1538" s="6" t="s">
        <v>49</v>
      </c>
      <c r="AU1538" s="6" t="s">
        <v>49</v>
      </c>
      <c r="AV1538" s="6" t="s">
        <v>49</v>
      </c>
      <c r="AW1538" s="9" t="s">
        <v>631</v>
      </c>
    </row>
    <row r="1539" spans="1:49">
      <c r="A1539" s="1">
        <v>19</v>
      </c>
      <c r="B1539" s="1" t="s">
        <v>38</v>
      </c>
      <c r="C1539" s="1" t="s">
        <v>38</v>
      </c>
      <c r="D1539" s="1" t="s">
        <v>622</v>
      </c>
      <c r="E1539" s="1" t="s">
        <v>40</v>
      </c>
      <c r="F1539" s="1">
        <v>1996</v>
      </c>
      <c r="G1539" s="3" t="s">
        <v>72</v>
      </c>
      <c r="H1539" s="3" t="s">
        <v>73</v>
      </c>
      <c r="I1539" s="3" t="s">
        <v>74</v>
      </c>
      <c r="J1539" s="3" t="s">
        <v>75</v>
      </c>
      <c r="K1539" s="1" t="s">
        <v>45</v>
      </c>
      <c r="L1539" s="3" t="s">
        <v>46</v>
      </c>
      <c r="M1539" s="1" t="s">
        <v>12</v>
      </c>
      <c r="N1539" s="1" t="s">
        <v>76</v>
      </c>
      <c r="O1539" s="1">
        <v>0.61099999999999999</v>
      </c>
      <c r="P1539" s="1">
        <v>0.7</v>
      </c>
      <c r="Q1539" s="1">
        <v>0.7</v>
      </c>
      <c r="R1539" s="1">
        <v>1</v>
      </c>
      <c r="S1539" s="1" t="s">
        <v>77</v>
      </c>
      <c r="T1539" s="1" t="s">
        <v>78</v>
      </c>
      <c r="U1539" s="1" t="s">
        <v>398</v>
      </c>
      <c r="V1539" s="1" t="s">
        <v>623</v>
      </c>
      <c r="W1539" s="1">
        <v>39.15</v>
      </c>
      <c r="X1539" s="1">
        <v>-122.55</v>
      </c>
      <c r="Y1539" s="1" t="s">
        <v>624</v>
      </c>
      <c r="Z1539" s="1" t="s">
        <v>49</v>
      </c>
      <c r="AA1539" s="6" t="s">
        <v>49</v>
      </c>
      <c r="AB1539" s="6" t="s">
        <v>49</v>
      </c>
      <c r="AC1539" s="6" t="s">
        <v>49</v>
      </c>
      <c r="AD1539" s="1" t="s">
        <v>506</v>
      </c>
      <c r="AE1539" s="1" t="s">
        <v>630</v>
      </c>
      <c r="AF1539" s="6" t="s">
        <v>49</v>
      </c>
      <c r="AG1539" s="6" t="s">
        <v>49</v>
      </c>
      <c r="AH1539" s="1" t="s">
        <v>627</v>
      </c>
      <c r="AI1539" s="1" t="s">
        <v>55</v>
      </c>
      <c r="AJ1539" s="20" t="s">
        <v>49</v>
      </c>
      <c r="AK1539" s="20" t="s">
        <v>49</v>
      </c>
      <c r="AL1539" s="20" t="s">
        <v>49</v>
      </c>
      <c r="AM1539" s="20" t="s">
        <v>49</v>
      </c>
      <c r="AN1539" s="1" t="s">
        <v>49</v>
      </c>
      <c r="AO1539" s="1" t="s">
        <v>49</v>
      </c>
      <c r="AP1539" s="6">
        <v>1</v>
      </c>
      <c r="AQ1539" s="6">
        <v>1.2</v>
      </c>
      <c r="AR1539" s="6" t="s">
        <v>49</v>
      </c>
      <c r="AS1539" s="6" t="s">
        <v>49</v>
      </c>
      <c r="AT1539" s="6" t="s">
        <v>49</v>
      </c>
      <c r="AU1539" s="6" t="s">
        <v>49</v>
      </c>
      <c r="AV1539" s="6" t="s">
        <v>49</v>
      </c>
      <c r="AW1539" s="9" t="s">
        <v>631</v>
      </c>
    </row>
    <row r="1540" spans="1:49">
      <c r="A1540" s="1">
        <v>19</v>
      </c>
      <c r="B1540" s="1" t="s">
        <v>38</v>
      </c>
      <c r="C1540" s="1" t="s">
        <v>38</v>
      </c>
      <c r="D1540" s="1" t="s">
        <v>622</v>
      </c>
      <c r="E1540" s="1" t="s">
        <v>40</v>
      </c>
      <c r="F1540" s="1">
        <v>1996</v>
      </c>
      <c r="G1540" s="3" t="s">
        <v>72</v>
      </c>
      <c r="H1540" s="3" t="s">
        <v>73</v>
      </c>
      <c r="I1540" s="3" t="s">
        <v>74</v>
      </c>
      <c r="J1540" s="3" t="s">
        <v>75</v>
      </c>
      <c r="K1540" s="1" t="s">
        <v>45</v>
      </c>
      <c r="L1540" s="3" t="s">
        <v>46</v>
      </c>
      <c r="M1540" s="1" t="s">
        <v>12</v>
      </c>
      <c r="N1540" s="1" t="s">
        <v>76</v>
      </c>
      <c r="O1540" s="1">
        <v>0.61099999999999999</v>
      </c>
      <c r="P1540" s="1">
        <v>0.7</v>
      </c>
      <c r="Q1540" s="1">
        <v>0.7</v>
      </c>
      <c r="R1540" s="1">
        <v>1</v>
      </c>
      <c r="S1540" s="1" t="s">
        <v>77</v>
      </c>
      <c r="T1540" s="1" t="s">
        <v>78</v>
      </c>
      <c r="U1540" s="1" t="s">
        <v>398</v>
      </c>
      <c r="V1540" s="1" t="s">
        <v>623</v>
      </c>
      <c r="W1540" s="1">
        <v>39.15</v>
      </c>
      <c r="X1540" s="1">
        <v>-122.55</v>
      </c>
      <c r="Y1540" s="1" t="s">
        <v>624</v>
      </c>
      <c r="Z1540" s="1" t="s">
        <v>49</v>
      </c>
      <c r="AA1540" s="6" t="s">
        <v>49</v>
      </c>
      <c r="AB1540" s="6" t="s">
        <v>49</v>
      </c>
      <c r="AC1540" s="6" t="s">
        <v>49</v>
      </c>
      <c r="AD1540" s="1" t="s">
        <v>506</v>
      </c>
      <c r="AE1540" s="1" t="s">
        <v>626</v>
      </c>
      <c r="AF1540" s="6" t="s">
        <v>49</v>
      </c>
      <c r="AG1540" s="6" t="s">
        <v>49</v>
      </c>
      <c r="AH1540" s="1" t="s">
        <v>627</v>
      </c>
      <c r="AI1540" s="1" t="s">
        <v>55</v>
      </c>
      <c r="AJ1540" s="20" t="s">
        <v>49</v>
      </c>
      <c r="AK1540" s="20" t="s">
        <v>49</v>
      </c>
      <c r="AL1540" s="20" t="s">
        <v>49</v>
      </c>
      <c r="AM1540" s="20" t="s">
        <v>49</v>
      </c>
      <c r="AN1540" s="1" t="s">
        <v>49</v>
      </c>
      <c r="AO1540" s="1" t="s">
        <v>49</v>
      </c>
      <c r="AP1540" s="6">
        <v>1</v>
      </c>
      <c r="AQ1540" s="6">
        <v>-1.2</v>
      </c>
      <c r="AR1540" s="6" t="s">
        <v>49</v>
      </c>
      <c r="AS1540" s="6" t="s">
        <v>49</v>
      </c>
      <c r="AT1540" s="6" t="s">
        <v>49</v>
      </c>
      <c r="AU1540" s="6" t="s">
        <v>49</v>
      </c>
      <c r="AV1540" s="6" t="s">
        <v>49</v>
      </c>
      <c r="AW1540" s="9" t="s">
        <v>631</v>
      </c>
    </row>
    <row r="1541" spans="1:49">
      <c r="A1541" s="1">
        <v>19</v>
      </c>
      <c r="B1541" s="1" t="s">
        <v>38</v>
      </c>
      <c r="C1541" s="1" t="s">
        <v>38</v>
      </c>
      <c r="D1541" s="1" t="s">
        <v>622</v>
      </c>
      <c r="E1541" s="1" t="s">
        <v>40</v>
      </c>
      <c r="F1541" s="1">
        <v>1996</v>
      </c>
      <c r="G1541" s="3" t="s">
        <v>72</v>
      </c>
      <c r="H1541" s="3" t="s">
        <v>73</v>
      </c>
      <c r="I1541" s="3" t="s">
        <v>74</v>
      </c>
      <c r="J1541" s="3" t="s">
        <v>75</v>
      </c>
      <c r="K1541" s="1" t="s">
        <v>45</v>
      </c>
      <c r="L1541" s="3" t="s">
        <v>46</v>
      </c>
      <c r="M1541" s="1" t="s">
        <v>12</v>
      </c>
      <c r="N1541" s="1" t="s">
        <v>76</v>
      </c>
      <c r="O1541" s="1">
        <v>0.61099999999999999</v>
      </c>
      <c r="P1541" s="1">
        <v>0.7</v>
      </c>
      <c r="Q1541" s="1">
        <v>0.7</v>
      </c>
      <c r="R1541" s="1">
        <v>1</v>
      </c>
      <c r="S1541" s="1" t="s">
        <v>77</v>
      </c>
      <c r="T1541" s="1" t="s">
        <v>78</v>
      </c>
      <c r="U1541" s="1" t="s">
        <v>398</v>
      </c>
      <c r="V1541" s="1" t="s">
        <v>623</v>
      </c>
      <c r="W1541" s="1">
        <v>39.15</v>
      </c>
      <c r="X1541" s="1">
        <v>-122.55</v>
      </c>
      <c r="Y1541" s="1" t="s">
        <v>624</v>
      </c>
      <c r="Z1541" s="1" t="s">
        <v>49</v>
      </c>
      <c r="AA1541" s="6" t="s">
        <v>49</v>
      </c>
      <c r="AB1541" s="6" t="s">
        <v>49</v>
      </c>
      <c r="AC1541" s="6" t="s">
        <v>49</v>
      </c>
      <c r="AD1541" s="1" t="s">
        <v>506</v>
      </c>
      <c r="AE1541" s="1" t="s">
        <v>629</v>
      </c>
      <c r="AF1541" s="6" t="s">
        <v>49</v>
      </c>
      <c r="AG1541" s="6" t="s">
        <v>49</v>
      </c>
      <c r="AH1541" s="1" t="s">
        <v>627</v>
      </c>
      <c r="AI1541" s="1" t="s">
        <v>55</v>
      </c>
      <c r="AJ1541" s="20" t="s">
        <v>49</v>
      </c>
      <c r="AK1541" s="20" t="s">
        <v>49</v>
      </c>
      <c r="AL1541" s="20" t="s">
        <v>49</v>
      </c>
      <c r="AM1541" s="20" t="s">
        <v>49</v>
      </c>
      <c r="AN1541" s="1" t="s">
        <v>49</v>
      </c>
      <c r="AO1541" s="1" t="s">
        <v>49</v>
      </c>
      <c r="AP1541" s="6">
        <v>1</v>
      </c>
      <c r="AQ1541" s="6">
        <v>-0.1</v>
      </c>
      <c r="AR1541" s="6" t="s">
        <v>49</v>
      </c>
      <c r="AS1541" s="6" t="s">
        <v>49</v>
      </c>
      <c r="AT1541" s="6" t="s">
        <v>49</v>
      </c>
      <c r="AU1541" s="6" t="s">
        <v>49</v>
      </c>
      <c r="AV1541" s="6" t="s">
        <v>49</v>
      </c>
      <c r="AW1541" s="9" t="s">
        <v>631</v>
      </c>
    </row>
    <row r="1542" spans="1:49">
      <c r="A1542" s="1">
        <v>19</v>
      </c>
      <c r="B1542" s="1" t="s">
        <v>38</v>
      </c>
      <c r="C1542" s="1" t="s">
        <v>38</v>
      </c>
      <c r="D1542" s="1" t="s">
        <v>622</v>
      </c>
      <c r="E1542" s="1" t="s">
        <v>40</v>
      </c>
      <c r="F1542" s="1">
        <v>1996</v>
      </c>
      <c r="G1542" s="3" t="s">
        <v>72</v>
      </c>
      <c r="H1542" s="3" t="s">
        <v>73</v>
      </c>
      <c r="I1542" s="3" t="s">
        <v>74</v>
      </c>
      <c r="J1542" s="3" t="s">
        <v>75</v>
      </c>
      <c r="K1542" s="1" t="s">
        <v>45</v>
      </c>
      <c r="L1542" s="3" t="s">
        <v>46</v>
      </c>
      <c r="M1542" s="1" t="s">
        <v>12</v>
      </c>
      <c r="N1542" s="1" t="s">
        <v>76</v>
      </c>
      <c r="O1542" s="1">
        <v>0.61099999999999999</v>
      </c>
      <c r="P1542" s="1">
        <v>0.7</v>
      </c>
      <c r="Q1542" s="1">
        <v>0.7</v>
      </c>
      <c r="R1542" s="1">
        <v>1</v>
      </c>
      <c r="S1542" s="1" t="s">
        <v>77</v>
      </c>
      <c r="T1542" s="1" t="s">
        <v>78</v>
      </c>
      <c r="U1542" s="1" t="s">
        <v>398</v>
      </c>
      <c r="V1542" s="1" t="s">
        <v>623</v>
      </c>
      <c r="W1542" s="1">
        <v>39.15</v>
      </c>
      <c r="X1542" s="1">
        <v>-122.55</v>
      </c>
      <c r="Y1542" s="1" t="s">
        <v>624</v>
      </c>
      <c r="Z1542" s="1" t="s">
        <v>49</v>
      </c>
      <c r="AA1542" s="6" t="s">
        <v>49</v>
      </c>
      <c r="AB1542" s="6" t="s">
        <v>49</v>
      </c>
      <c r="AC1542" s="6" t="s">
        <v>49</v>
      </c>
      <c r="AD1542" s="1" t="s">
        <v>630</v>
      </c>
      <c r="AE1542" s="1" t="s">
        <v>626</v>
      </c>
      <c r="AF1542" s="6" t="s">
        <v>49</v>
      </c>
      <c r="AG1542" s="6" t="s">
        <v>49</v>
      </c>
      <c r="AH1542" s="1" t="s">
        <v>627</v>
      </c>
      <c r="AI1542" s="1" t="s">
        <v>55</v>
      </c>
      <c r="AJ1542" s="20" t="s">
        <v>49</v>
      </c>
      <c r="AK1542" s="20" t="s">
        <v>49</v>
      </c>
      <c r="AL1542" s="20" t="s">
        <v>49</v>
      </c>
      <c r="AM1542" s="20" t="s">
        <v>49</v>
      </c>
      <c r="AN1542" s="1" t="s">
        <v>49</v>
      </c>
      <c r="AO1542" s="1" t="s">
        <v>49</v>
      </c>
      <c r="AP1542" s="6">
        <v>1</v>
      </c>
      <c r="AQ1542" s="6">
        <v>0.48</v>
      </c>
      <c r="AR1542" s="6" t="s">
        <v>49</v>
      </c>
      <c r="AS1542" s="6" t="s">
        <v>49</v>
      </c>
      <c r="AT1542" s="6" t="s">
        <v>49</v>
      </c>
      <c r="AU1542" s="6" t="s">
        <v>49</v>
      </c>
      <c r="AV1542" s="6" t="s">
        <v>49</v>
      </c>
      <c r="AW1542" s="9" t="s">
        <v>631</v>
      </c>
    </row>
    <row r="1543" spans="1:49">
      <c r="A1543" s="1">
        <v>19</v>
      </c>
      <c r="B1543" s="1" t="s">
        <v>38</v>
      </c>
      <c r="C1543" s="1" t="s">
        <v>38</v>
      </c>
      <c r="D1543" s="1" t="s">
        <v>622</v>
      </c>
      <c r="E1543" s="1" t="s">
        <v>40</v>
      </c>
      <c r="F1543" s="1">
        <v>1996</v>
      </c>
      <c r="G1543" s="3" t="s">
        <v>72</v>
      </c>
      <c r="H1543" s="3" t="s">
        <v>73</v>
      </c>
      <c r="I1543" s="3" t="s">
        <v>74</v>
      </c>
      <c r="J1543" s="3" t="s">
        <v>75</v>
      </c>
      <c r="K1543" s="1" t="s">
        <v>45</v>
      </c>
      <c r="L1543" s="3" t="s">
        <v>46</v>
      </c>
      <c r="M1543" s="1" t="s">
        <v>12</v>
      </c>
      <c r="N1543" s="1" t="s">
        <v>76</v>
      </c>
      <c r="O1543" s="1">
        <v>0.61099999999999999</v>
      </c>
      <c r="P1543" s="1">
        <v>0.7</v>
      </c>
      <c r="Q1543" s="1">
        <v>0.7</v>
      </c>
      <c r="R1543" s="1">
        <v>1</v>
      </c>
      <c r="S1543" s="1" t="s">
        <v>77</v>
      </c>
      <c r="T1543" s="1" t="s">
        <v>78</v>
      </c>
      <c r="U1543" s="1" t="s">
        <v>398</v>
      </c>
      <c r="V1543" s="1" t="s">
        <v>623</v>
      </c>
      <c r="W1543" s="1">
        <v>39.15</v>
      </c>
      <c r="X1543" s="1">
        <v>-122.55</v>
      </c>
      <c r="Y1543" s="1" t="s">
        <v>624</v>
      </c>
      <c r="Z1543" s="1" t="s">
        <v>49</v>
      </c>
      <c r="AA1543" s="6" t="s">
        <v>49</v>
      </c>
      <c r="AB1543" s="6" t="s">
        <v>49</v>
      </c>
      <c r="AC1543" s="6" t="s">
        <v>49</v>
      </c>
      <c r="AD1543" s="1" t="s">
        <v>630</v>
      </c>
      <c r="AE1543" s="1" t="s">
        <v>629</v>
      </c>
      <c r="AF1543" s="6" t="s">
        <v>49</v>
      </c>
      <c r="AG1543" s="6" t="s">
        <v>49</v>
      </c>
      <c r="AH1543" s="1" t="s">
        <v>627</v>
      </c>
      <c r="AI1543" s="1" t="s">
        <v>55</v>
      </c>
      <c r="AJ1543" s="20" t="s">
        <v>49</v>
      </c>
      <c r="AK1543" s="20" t="s">
        <v>49</v>
      </c>
      <c r="AL1543" s="20" t="s">
        <v>49</v>
      </c>
      <c r="AM1543" s="20" t="s">
        <v>49</v>
      </c>
      <c r="AN1543" s="1" t="s">
        <v>49</v>
      </c>
      <c r="AO1543" s="1" t="s">
        <v>49</v>
      </c>
      <c r="AP1543" s="6">
        <v>1</v>
      </c>
      <c r="AQ1543" s="6">
        <v>-0.87</v>
      </c>
      <c r="AR1543" s="6" t="s">
        <v>49</v>
      </c>
      <c r="AS1543" s="6" t="s">
        <v>49</v>
      </c>
      <c r="AT1543" s="6" t="s">
        <v>49</v>
      </c>
      <c r="AU1543" s="6" t="s">
        <v>49</v>
      </c>
      <c r="AV1543" s="6" t="s">
        <v>49</v>
      </c>
      <c r="AW1543" s="9" t="s">
        <v>631</v>
      </c>
    </row>
    <row r="1544" spans="1:49">
      <c r="A1544" s="1">
        <v>19</v>
      </c>
      <c r="B1544" s="1" t="s">
        <v>38</v>
      </c>
      <c r="C1544" s="1" t="s">
        <v>38</v>
      </c>
      <c r="D1544" s="1" t="s">
        <v>622</v>
      </c>
      <c r="E1544" s="1" t="s">
        <v>40</v>
      </c>
      <c r="F1544" s="1">
        <v>1996</v>
      </c>
      <c r="G1544" s="3" t="s">
        <v>72</v>
      </c>
      <c r="H1544" s="3" t="s">
        <v>73</v>
      </c>
      <c r="I1544" s="3" t="s">
        <v>74</v>
      </c>
      <c r="J1544" s="3" t="s">
        <v>75</v>
      </c>
      <c r="K1544" s="1" t="s">
        <v>45</v>
      </c>
      <c r="L1544" s="3" t="s">
        <v>46</v>
      </c>
      <c r="M1544" s="1" t="s">
        <v>12</v>
      </c>
      <c r="N1544" s="1" t="s">
        <v>76</v>
      </c>
      <c r="O1544" s="1">
        <v>0.61099999999999999</v>
      </c>
      <c r="P1544" s="1">
        <v>0.7</v>
      </c>
      <c r="Q1544" s="1">
        <v>0.7</v>
      </c>
      <c r="R1544" s="1">
        <v>1</v>
      </c>
      <c r="S1544" s="1" t="s">
        <v>77</v>
      </c>
      <c r="T1544" s="1" t="s">
        <v>78</v>
      </c>
      <c r="U1544" s="1" t="s">
        <v>398</v>
      </c>
      <c r="V1544" s="1" t="s">
        <v>623</v>
      </c>
      <c r="W1544" s="1">
        <v>39.15</v>
      </c>
      <c r="X1544" s="1">
        <v>-122.55</v>
      </c>
      <c r="Y1544" s="1" t="s">
        <v>624</v>
      </c>
      <c r="Z1544" s="1" t="s">
        <v>49</v>
      </c>
      <c r="AA1544" s="6" t="s">
        <v>49</v>
      </c>
      <c r="AB1544" s="6" t="s">
        <v>49</v>
      </c>
      <c r="AC1544" s="6" t="s">
        <v>49</v>
      </c>
      <c r="AD1544" s="1" t="s">
        <v>626</v>
      </c>
      <c r="AE1544" s="1" t="s">
        <v>629</v>
      </c>
      <c r="AF1544" s="6" t="s">
        <v>49</v>
      </c>
      <c r="AG1544" s="6" t="s">
        <v>49</v>
      </c>
      <c r="AH1544" s="1" t="s">
        <v>627</v>
      </c>
      <c r="AI1544" s="1" t="s">
        <v>55</v>
      </c>
      <c r="AJ1544" s="20" t="s">
        <v>49</v>
      </c>
      <c r="AK1544" s="20" t="s">
        <v>49</v>
      </c>
      <c r="AL1544" s="20" t="s">
        <v>49</v>
      </c>
      <c r="AM1544" s="20" t="s">
        <v>49</v>
      </c>
      <c r="AN1544" s="1" t="s">
        <v>49</v>
      </c>
      <c r="AO1544" s="1" t="s">
        <v>49</v>
      </c>
      <c r="AP1544" s="6">
        <v>1</v>
      </c>
      <c r="AQ1544" s="6">
        <v>-0.4</v>
      </c>
      <c r="AR1544" s="6" t="s">
        <v>49</v>
      </c>
      <c r="AS1544" s="6" t="s">
        <v>49</v>
      </c>
      <c r="AT1544" s="6" t="s">
        <v>49</v>
      </c>
      <c r="AU1544" s="6" t="s">
        <v>49</v>
      </c>
      <c r="AV1544" s="6" t="s">
        <v>49</v>
      </c>
      <c r="AW1544" s="9" t="s">
        <v>631</v>
      </c>
    </row>
    <row r="1545" spans="1:49">
      <c r="A1545" s="1">
        <v>35</v>
      </c>
      <c r="B1545" s="1" t="s">
        <v>38</v>
      </c>
      <c r="C1545" s="1" t="s">
        <v>38</v>
      </c>
      <c r="D1545" s="1" t="s">
        <v>632</v>
      </c>
      <c r="E1545" s="1" t="s">
        <v>584</v>
      </c>
      <c r="F1545" s="1">
        <v>2012</v>
      </c>
      <c r="G1545" s="1" t="s">
        <v>72</v>
      </c>
      <c r="H1545" s="3" t="s">
        <v>73</v>
      </c>
      <c r="I1545" s="3" t="s">
        <v>74</v>
      </c>
      <c r="J1545" s="1" t="s">
        <v>75</v>
      </c>
      <c r="K1545" s="1" t="s">
        <v>45</v>
      </c>
      <c r="L1545" s="1" t="s">
        <v>46</v>
      </c>
      <c r="M1545" s="1" t="s">
        <v>12</v>
      </c>
      <c r="N1545" s="1" t="s">
        <v>76</v>
      </c>
      <c r="O1545" s="1">
        <v>0.61099999999999999</v>
      </c>
      <c r="P1545" s="1" t="s">
        <v>49</v>
      </c>
      <c r="Q1545" s="1">
        <v>0.61</v>
      </c>
      <c r="R1545" s="1">
        <v>1</v>
      </c>
      <c r="S1545" s="1" t="s">
        <v>77</v>
      </c>
      <c r="T1545" s="1" t="s">
        <v>78</v>
      </c>
      <c r="U1545" s="1" t="s">
        <v>633</v>
      </c>
      <c r="V1545" s="1" t="s">
        <v>634</v>
      </c>
      <c r="W1545" s="1">
        <v>38.549999999999997</v>
      </c>
      <c r="X1545" s="1">
        <v>-122.36666700000001</v>
      </c>
      <c r="Y1545" s="1" t="s">
        <v>635</v>
      </c>
      <c r="Z1545" s="1" t="s">
        <v>49</v>
      </c>
      <c r="AA1545" s="1" t="s">
        <v>50</v>
      </c>
      <c r="AB1545" s="1" t="s">
        <v>66</v>
      </c>
      <c r="AC1545" s="1" t="s">
        <v>428</v>
      </c>
      <c r="AD1545" s="1" t="s">
        <v>636</v>
      </c>
      <c r="AE1545" s="1" t="s">
        <v>636</v>
      </c>
      <c r="AF1545" s="1" t="s">
        <v>60</v>
      </c>
      <c r="AG1545" s="1" t="s">
        <v>61</v>
      </c>
      <c r="AH1545" s="1" t="s">
        <v>478</v>
      </c>
      <c r="AI1545" s="1" t="s">
        <v>55</v>
      </c>
      <c r="AJ1545" s="1">
        <v>98</v>
      </c>
      <c r="AK1545" s="1">
        <v>575</v>
      </c>
      <c r="AL1545" s="4">
        <v>0.154</v>
      </c>
      <c r="AM1545" s="1">
        <v>16.8</v>
      </c>
      <c r="AN1545" s="1">
        <v>6.6660000000000004</v>
      </c>
      <c r="AO1545" s="1" t="s">
        <v>49</v>
      </c>
      <c r="AP1545" s="6">
        <v>1</v>
      </c>
      <c r="AQ1545" s="6" t="s">
        <v>49</v>
      </c>
      <c r="AR1545" s="6" t="s">
        <v>49</v>
      </c>
      <c r="AS1545" s="1">
        <f>AN1545*AL1545</f>
        <v>1.026564</v>
      </c>
      <c r="AT1545" s="4">
        <f>AS1545/(AM1545^2)*100</f>
        <v>0.36372023809523812</v>
      </c>
      <c r="AU1545" s="5">
        <v>0</v>
      </c>
      <c r="AV1545" s="4">
        <f>AT1545*(1-AL1545)/AL1545</f>
        <v>1.9980994897959183</v>
      </c>
      <c r="AW1545" s="9" t="s">
        <v>637</v>
      </c>
    </row>
    <row r="1546" spans="1:49">
      <c r="A1546" s="1">
        <v>35</v>
      </c>
      <c r="B1546" s="1" t="s">
        <v>38</v>
      </c>
      <c r="C1546" s="1" t="s">
        <v>38</v>
      </c>
      <c r="D1546" s="1" t="s">
        <v>632</v>
      </c>
      <c r="E1546" s="1" t="s">
        <v>584</v>
      </c>
      <c r="F1546" s="1">
        <v>2012</v>
      </c>
      <c r="G1546" s="1" t="s">
        <v>72</v>
      </c>
      <c r="H1546" s="3" t="s">
        <v>73</v>
      </c>
      <c r="I1546" s="3" t="s">
        <v>74</v>
      </c>
      <c r="J1546" s="1" t="s">
        <v>75</v>
      </c>
      <c r="K1546" s="1" t="s">
        <v>45</v>
      </c>
      <c r="L1546" s="1" t="s">
        <v>46</v>
      </c>
      <c r="M1546" s="1" t="s">
        <v>12</v>
      </c>
      <c r="N1546" s="1" t="s">
        <v>76</v>
      </c>
      <c r="O1546" s="1">
        <v>0.61099999999999999</v>
      </c>
      <c r="P1546" s="1" t="s">
        <v>49</v>
      </c>
      <c r="Q1546" s="1">
        <v>0.61</v>
      </c>
      <c r="R1546" s="1">
        <v>1</v>
      </c>
      <c r="S1546" s="1" t="s">
        <v>77</v>
      </c>
      <c r="T1546" s="1" t="s">
        <v>78</v>
      </c>
      <c r="U1546" s="1" t="s">
        <v>640</v>
      </c>
      <c r="V1546" s="1" t="s">
        <v>634</v>
      </c>
      <c r="W1546" s="1">
        <v>38.549999999999997</v>
      </c>
      <c r="X1546" s="1">
        <v>-122.36666700000001</v>
      </c>
      <c r="Y1546" s="1" t="s">
        <v>635</v>
      </c>
      <c r="Z1546" s="1" t="s">
        <v>49</v>
      </c>
      <c r="AA1546" s="1" t="s">
        <v>50</v>
      </c>
      <c r="AB1546" s="1" t="s">
        <v>91</v>
      </c>
      <c r="AC1546" s="1" t="s">
        <v>91</v>
      </c>
      <c r="AD1546" s="1" t="s">
        <v>641</v>
      </c>
      <c r="AE1546" s="1" t="s">
        <v>641</v>
      </c>
      <c r="AF1546" s="1" t="s">
        <v>60</v>
      </c>
      <c r="AG1546" s="1" t="s">
        <v>61</v>
      </c>
      <c r="AH1546" s="1" t="s">
        <v>478</v>
      </c>
      <c r="AI1546" s="1" t="s">
        <v>55</v>
      </c>
      <c r="AJ1546" s="1">
        <v>98</v>
      </c>
      <c r="AK1546" s="1">
        <v>575</v>
      </c>
      <c r="AL1546" s="4">
        <v>0.38100000000000001</v>
      </c>
      <c r="AM1546" s="1">
        <v>2.4</v>
      </c>
      <c r="AN1546" s="1">
        <v>0.88</v>
      </c>
      <c r="AO1546" s="1" t="s">
        <v>49</v>
      </c>
      <c r="AP1546" s="6">
        <v>1</v>
      </c>
      <c r="AQ1546" s="6" t="s">
        <v>49</v>
      </c>
      <c r="AR1546" s="6" t="s">
        <v>49</v>
      </c>
      <c r="AS1546" s="1">
        <v>0.33528000000000002</v>
      </c>
      <c r="AT1546" s="4">
        <v>5.8208333333333337</v>
      </c>
      <c r="AU1546" s="5">
        <v>0</v>
      </c>
      <c r="AV1546" s="4">
        <f>AT1546*(1-AL1546)/AL1546</f>
        <v>9.4569444444444457</v>
      </c>
      <c r="AW1546" s="9" t="s">
        <v>637</v>
      </c>
    </row>
    <row r="1547" spans="1:49">
      <c r="A1547" s="1">
        <v>35</v>
      </c>
      <c r="B1547" s="1" t="s">
        <v>38</v>
      </c>
      <c r="C1547" s="1" t="s">
        <v>38</v>
      </c>
      <c r="D1547" s="1" t="s">
        <v>632</v>
      </c>
      <c r="E1547" s="1" t="s">
        <v>584</v>
      </c>
      <c r="F1547" s="1">
        <v>2012</v>
      </c>
      <c r="G1547" s="1" t="s">
        <v>72</v>
      </c>
      <c r="H1547" s="3" t="s">
        <v>73</v>
      </c>
      <c r="I1547" s="3" t="s">
        <v>74</v>
      </c>
      <c r="J1547" s="1" t="s">
        <v>75</v>
      </c>
      <c r="K1547" s="1" t="s">
        <v>45</v>
      </c>
      <c r="L1547" s="1" t="s">
        <v>46</v>
      </c>
      <c r="M1547" s="1" t="s">
        <v>12</v>
      </c>
      <c r="N1547" s="1" t="s">
        <v>76</v>
      </c>
      <c r="O1547" s="1">
        <v>0.61099999999999999</v>
      </c>
      <c r="P1547" s="1" t="s">
        <v>49</v>
      </c>
      <c r="Q1547" s="1">
        <v>0.61</v>
      </c>
      <c r="R1547" s="1">
        <v>1</v>
      </c>
      <c r="S1547" s="1" t="s">
        <v>77</v>
      </c>
      <c r="T1547" s="1" t="s">
        <v>78</v>
      </c>
      <c r="U1547" s="1" t="s">
        <v>640</v>
      </c>
      <c r="V1547" s="1" t="s">
        <v>634</v>
      </c>
      <c r="W1547" s="1">
        <v>38.549999999999997</v>
      </c>
      <c r="X1547" s="1">
        <v>-122.36666700000001</v>
      </c>
      <c r="Y1547" s="1" t="s">
        <v>635</v>
      </c>
      <c r="Z1547" s="1" t="s">
        <v>49</v>
      </c>
      <c r="AA1547" s="1" t="s">
        <v>50</v>
      </c>
      <c r="AB1547" s="1" t="s">
        <v>91</v>
      </c>
      <c r="AC1547" s="1" t="s">
        <v>91</v>
      </c>
      <c r="AD1547" s="1" t="s">
        <v>636</v>
      </c>
      <c r="AE1547" s="1" t="s">
        <v>641</v>
      </c>
      <c r="AF1547" s="6" t="s">
        <v>49</v>
      </c>
      <c r="AG1547" s="6" t="s">
        <v>49</v>
      </c>
      <c r="AH1547" s="1" t="s">
        <v>478</v>
      </c>
      <c r="AI1547" s="1" t="s">
        <v>55</v>
      </c>
      <c r="AJ1547" s="6" t="s">
        <v>49</v>
      </c>
      <c r="AK1547" s="6" t="s">
        <v>49</v>
      </c>
      <c r="AL1547" s="6" t="s">
        <v>49</v>
      </c>
      <c r="AM1547" s="6" t="s">
        <v>49</v>
      </c>
      <c r="AN1547" s="6" t="s">
        <v>49</v>
      </c>
      <c r="AO1547" s="6" t="s">
        <v>49</v>
      </c>
      <c r="AP1547" s="6">
        <v>1</v>
      </c>
      <c r="AQ1547" s="6">
        <v>0.17</v>
      </c>
      <c r="AR1547" s="6" t="s">
        <v>49</v>
      </c>
      <c r="AS1547" s="6" t="s">
        <v>49</v>
      </c>
      <c r="AT1547" s="6" t="s">
        <v>49</v>
      </c>
      <c r="AU1547" s="6" t="s">
        <v>49</v>
      </c>
      <c r="AV1547" s="6" t="s">
        <v>49</v>
      </c>
      <c r="AW1547" s="9" t="s">
        <v>643</v>
      </c>
    </row>
    <row r="1548" spans="1:49">
      <c r="A1548" s="1">
        <v>35</v>
      </c>
      <c r="B1548" s="1" t="s">
        <v>38</v>
      </c>
      <c r="C1548" s="1" t="s">
        <v>38</v>
      </c>
      <c r="D1548" s="1" t="s">
        <v>632</v>
      </c>
      <c r="E1548" s="1" t="s">
        <v>584</v>
      </c>
      <c r="F1548" s="1">
        <v>2012</v>
      </c>
      <c r="G1548" s="1" t="s">
        <v>72</v>
      </c>
      <c r="H1548" s="3" t="s">
        <v>73</v>
      </c>
      <c r="I1548" s="3" t="s">
        <v>74</v>
      </c>
      <c r="J1548" s="1" t="s">
        <v>75</v>
      </c>
      <c r="K1548" s="1" t="s">
        <v>45</v>
      </c>
      <c r="L1548" s="1" t="s">
        <v>46</v>
      </c>
      <c r="M1548" s="1" t="s">
        <v>12</v>
      </c>
      <c r="N1548" s="1" t="s">
        <v>76</v>
      </c>
      <c r="O1548" s="1">
        <v>0.61099999999999999</v>
      </c>
      <c r="P1548" s="1" t="s">
        <v>49</v>
      </c>
      <c r="Q1548" s="1">
        <v>0.61</v>
      </c>
      <c r="R1548" s="1">
        <v>1</v>
      </c>
      <c r="S1548" s="1" t="s">
        <v>77</v>
      </c>
      <c r="T1548" s="1" t="s">
        <v>78</v>
      </c>
      <c r="U1548" s="1" t="s">
        <v>638</v>
      </c>
      <c r="V1548" s="1" t="s">
        <v>634</v>
      </c>
      <c r="W1548" s="1">
        <v>38.549999999999997</v>
      </c>
      <c r="X1548" s="1">
        <v>-122.36666700000001</v>
      </c>
      <c r="Y1548" s="1" t="s">
        <v>639</v>
      </c>
      <c r="Z1548" s="1" t="s">
        <v>49</v>
      </c>
      <c r="AA1548" s="1" t="s">
        <v>50</v>
      </c>
      <c r="AB1548" s="1" t="s">
        <v>66</v>
      </c>
      <c r="AC1548" s="1" t="s">
        <v>428</v>
      </c>
      <c r="AD1548" s="1" t="s">
        <v>636</v>
      </c>
      <c r="AE1548" s="1" t="s">
        <v>636</v>
      </c>
      <c r="AF1548" s="1" t="s">
        <v>60</v>
      </c>
      <c r="AG1548" s="1" t="s">
        <v>61</v>
      </c>
      <c r="AH1548" s="1" t="s">
        <v>478</v>
      </c>
      <c r="AI1548" s="1" t="s">
        <v>55</v>
      </c>
      <c r="AJ1548" s="1">
        <v>98</v>
      </c>
      <c r="AK1548" s="1">
        <v>575</v>
      </c>
      <c r="AL1548" s="4">
        <v>0.70299999999999996</v>
      </c>
      <c r="AM1548" s="1">
        <v>16.2</v>
      </c>
      <c r="AN1548" s="1">
        <v>8.5280000000000005</v>
      </c>
      <c r="AO1548" s="1" t="s">
        <v>49</v>
      </c>
      <c r="AP1548" s="6">
        <v>1</v>
      </c>
      <c r="AQ1548" s="6" t="s">
        <v>49</v>
      </c>
      <c r="AR1548" s="6" t="s">
        <v>49</v>
      </c>
      <c r="AS1548" s="1">
        <f>AN1548*AL1548</f>
        <v>5.9951840000000001</v>
      </c>
      <c r="AT1548" s="4">
        <f>AS1548/(AM1548^2)*100</f>
        <v>2.2844017680231672</v>
      </c>
      <c r="AU1548" s="5">
        <v>0</v>
      </c>
      <c r="AV1548" s="4">
        <f>AT1548*(1-AL1548)/AL1548</f>
        <v>0.96510288065843641</v>
      </c>
      <c r="AW1548" s="9" t="s">
        <v>637</v>
      </c>
    </row>
    <row r="1549" spans="1:49">
      <c r="A1549" s="1">
        <v>35</v>
      </c>
      <c r="B1549" s="1" t="s">
        <v>38</v>
      </c>
      <c r="C1549" s="1" t="s">
        <v>38</v>
      </c>
      <c r="D1549" s="1" t="s">
        <v>632</v>
      </c>
      <c r="E1549" s="1" t="s">
        <v>584</v>
      </c>
      <c r="F1549" s="1">
        <v>2012</v>
      </c>
      <c r="G1549" s="1" t="s">
        <v>72</v>
      </c>
      <c r="H1549" s="3" t="s">
        <v>73</v>
      </c>
      <c r="I1549" s="3" t="s">
        <v>74</v>
      </c>
      <c r="J1549" s="1" t="s">
        <v>75</v>
      </c>
      <c r="K1549" s="1" t="s">
        <v>45</v>
      </c>
      <c r="L1549" s="1" t="s">
        <v>46</v>
      </c>
      <c r="M1549" s="1" t="s">
        <v>12</v>
      </c>
      <c r="N1549" s="1" t="s">
        <v>76</v>
      </c>
      <c r="O1549" s="1">
        <v>0.61099999999999999</v>
      </c>
      <c r="P1549" s="1" t="s">
        <v>49</v>
      </c>
      <c r="Q1549" s="1">
        <v>0.61</v>
      </c>
      <c r="R1549" s="1">
        <v>1</v>
      </c>
      <c r="S1549" s="1" t="s">
        <v>77</v>
      </c>
      <c r="T1549" s="1" t="s">
        <v>78</v>
      </c>
      <c r="U1549" s="1" t="s">
        <v>642</v>
      </c>
      <c r="V1549" s="1" t="s">
        <v>634</v>
      </c>
      <c r="W1549" s="1">
        <v>38.549999999999997</v>
      </c>
      <c r="X1549" s="1">
        <v>-122.36666700000001</v>
      </c>
      <c r="Y1549" s="1" t="s">
        <v>639</v>
      </c>
      <c r="Z1549" s="1" t="s">
        <v>49</v>
      </c>
      <c r="AA1549" s="1" t="s">
        <v>50</v>
      </c>
      <c r="AB1549" s="1" t="s">
        <v>91</v>
      </c>
      <c r="AC1549" s="1" t="s">
        <v>91</v>
      </c>
      <c r="AD1549" s="1" t="s">
        <v>641</v>
      </c>
      <c r="AE1549" s="1" t="s">
        <v>641</v>
      </c>
      <c r="AF1549" s="1" t="s">
        <v>60</v>
      </c>
      <c r="AG1549" s="1" t="s">
        <v>61</v>
      </c>
      <c r="AH1549" s="1" t="s">
        <v>478</v>
      </c>
      <c r="AI1549" s="1" t="s">
        <v>55</v>
      </c>
      <c r="AJ1549" s="1">
        <v>98</v>
      </c>
      <c r="AK1549" s="1">
        <v>575</v>
      </c>
      <c r="AL1549" s="4">
        <v>0.15</v>
      </c>
      <c r="AM1549" s="1">
        <v>2.4</v>
      </c>
      <c r="AN1549" s="1">
        <v>0.88500000000000001</v>
      </c>
      <c r="AO1549" s="1" t="s">
        <v>49</v>
      </c>
      <c r="AP1549" s="6">
        <v>1</v>
      </c>
      <c r="AQ1549" s="6" t="s">
        <v>49</v>
      </c>
      <c r="AR1549" s="6" t="s">
        <v>49</v>
      </c>
      <c r="AS1549" s="1">
        <v>0.13275000000000001</v>
      </c>
      <c r="AT1549" s="4">
        <v>2.3046875</v>
      </c>
      <c r="AU1549" s="5">
        <v>0</v>
      </c>
      <c r="AV1549" s="4">
        <f>AT1549*(1-AL1549)/AL1549</f>
        <v>13.059895833333334</v>
      </c>
      <c r="AW1549" s="9" t="s">
        <v>637</v>
      </c>
    </row>
    <row r="1550" spans="1:49">
      <c r="A1550" s="1">
        <v>35</v>
      </c>
      <c r="B1550" s="1" t="s">
        <v>38</v>
      </c>
      <c r="C1550" s="1" t="s">
        <v>38</v>
      </c>
      <c r="D1550" s="1" t="s">
        <v>632</v>
      </c>
      <c r="E1550" s="1" t="s">
        <v>584</v>
      </c>
      <c r="F1550" s="1">
        <v>2012</v>
      </c>
      <c r="G1550" s="1" t="s">
        <v>72</v>
      </c>
      <c r="H1550" s="3" t="s">
        <v>73</v>
      </c>
      <c r="I1550" s="3" t="s">
        <v>74</v>
      </c>
      <c r="J1550" s="1" t="s">
        <v>75</v>
      </c>
      <c r="K1550" s="1" t="s">
        <v>45</v>
      </c>
      <c r="L1550" s="1" t="s">
        <v>46</v>
      </c>
      <c r="M1550" s="1" t="s">
        <v>12</v>
      </c>
      <c r="N1550" s="1" t="s">
        <v>76</v>
      </c>
      <c r="O1550" s="1">
        <v>0.61099999999999999</v>
      </c>
      <c r="P1550" s="1" t="s">
        <v>49</v>
      </c>
      <c r="Q1550" s="1">
        <v>0.61</v>
      </c>
      <c r="R1550" s="1">
        <v>1</v>
      </c>
      <c r="S1550" s="1" t="s">
        <v>77</v>
      </c>
      <c r="T1550" s="1" t="s">
        <v>78</v>
      </c>
      <c r="U1550" s="1" t="s">
        <v>642</v>
      </c>
      <c r="V1550" s="1" t="s">
        <v>634</v>
      </c>
      <c r="W1550" s="1">
        <v>38.549999999999997</v>
      </c>
      <c r="X1550" s="1">
        <v>-122.36666700000001</v>
      </c>
      <c r="Y1550" s="1" t="s">
        <v>639</v>
      </c>
      <c r="Z1550" s="1" t="s">
        <v>49</v>
      </c>
      <c r="AA1550" s="1" t="s">
        <v>50</v>
      </c>
      <c r="AB1550" s="1" t="s">
        <v>91</v>
      </c>
      <c r="AC1550" s="1" t="s">
        <v>91</v>
      </c>
      <c r="AD1550" s="1" t="s">
        <v>636</v>
      </c>
      <c r="AE1550" s="1" t="s">
        <v>641</v>
      </c>
      <c r="AF1550" s="6" t="s">
        <v>49</v>
      </c>
      <c r="AG1550" s="6" t="s">
        <v>49</v>
      </c>
      <c r="AH1550" s="1" t="s">
        <v>478</v>
      </c>
      <c r="AI1550" s="1" t="s">
        <v>55</v>
      </c>
      <c r="AJ1550" s="6" t="s">
        <v>49</v>
      </c>
      <c r="AK1550" s="6" t="s">
        <v>49</v>
      </c>
      <c r="AL1550" s="6" t="s">
        <v>49</v>
      </c>
      <c r="AM1550" s="6" t="s">
        <v>49</v>
      </c>
      <c r="AN1550" s="6" t="s">
        <v>49</v>
      </c>
      <c r="AO1550" s="6" t="s">
        <v>49</v>
      </c>
      <c r="AP1550" s="6">
        <v>1</v>
      </c>
      <c r="AQ1550" s="6">
        <v>0.26</v>
      </c>
      <c r="AR1550" s="6" t="s">
        <v>49</v>
      </c>
      <c r="AS1550" s="6" t="s">
        <v>49</v>
      </c>
      <c r="AT1550" s="6" t="s">
        <v>49</v>
      </c>
      <c r="AU1550" s="6" t="s">
        <v>49</v>
      </c>
      <c r="AV1550" s="6" t="s">
        <v>49</v>
      </c>
      <c r="AW1550" s="9" t="s">
        <v>643</v>
      </c>
    </row>
    <row r="1551" spans="1:49" ht="14.4" customHeight="1">
      <c r="A1551" s="1">
        <v>21</v>
      </c>
      <c r="B1551" s="1" t="s">
        <v>38</v>
      </c>
      <c r="C1551" s="1" t="s">
        <v>38</v>
      </c>
      <c r="D1551" s="3" t="s">
        <v>644</v>
      </c>
      <c r="E1551" s="3" t="s">
        <v>645</v>
      </c>
      <c r="F1551" s="3">
        <v>2014</v>
      </c>
      <c r="G1551" s="3" t="s">
        <v>303</v>
      </c>
      <c r="H1551" s="3" t="s">
        <v>304</v>
      </c>
      <c r="I1551" s="3" t="s">
        <v>646</v>
      </c>
      <c r="J1551" s="3" t="s">
        <v>647</v>
      </c>
      <c r="K1551" s="3" t="s">
        <v>433</v>
      </c>
      <c r="L1551" s="3" t="s">
        <v>46</v>
      </c>
      <c r="M1551" s="1" t="s">
        <v>12</v>
      </c>
      <c r="N1551" s="1" t="s">
        <v>80</v>
      </c>
      <c r="O1551" s="1" t="s">
        <v>49</v>
      </c>
      <c r="P1551" s="1" t="s">
        <v>49</v>
      </c>
      <c r="Q1551" s="1" t="s">
        <v>49</v>
      </c>
      <c r="R1551" s="1">
        <v>0.5</v>
      </c>
      <c r="S1551" s="1" t="s">
        <v>77</v>
      </c>
      <c r="T1551" s="1" t="s">
        <v>648</v>
      </c>
      <c r="U1551" s="1" t="s">
        <v>251</v>
      </c>
      <c r="V1551" s="3" t="s">
        <v>649</v>
      </c>
      <c r="W1551" s="3">
        <v>8.35</v>
      </c>
      <c r="X1551" s="3">
        <v>-71.766666999999998</v>
      </c>
      <c r="Y1551" s="1" t="s">
        <v>48</v>
      </c>
      <c r="Z1551" s="1" t="s">
        <v>49</v>
      </c>
      <c r="AA1551" s="1" t="s">
        <v>50</v>
      </c>
      <c r="AB1551" s="1" t="s">
        <v>58</v>
      </c>
      <c r="AC1551" s="1" t="s">
        <v>311</v>
      </c>
      <c r="AD1551" s="1" t="s">
        <v>312</v>
      </c>
      <c r="AE1551" s="1" t="s">
        <v>312</v>
      </c>
      <c r="AF1551" s="1" t="s">
        <v>60</v>
      </c>
      <c r="AG1551" s="1" t="s">
        <v>61</v>
      </c>
      <c r="AH1551" s="1" t="s">
        <v>152</v>
      </c>
      <c r="AI1551" s="1" t="s">
        <v>55</v>
      </c>
      <c r="AJ1551" s="7">
        <f>5*9</f>
        <v>45</v>
      </c>
      <c r="AK1551" s="7">
        <v>821</v>
      </c>
      <c r="AL1551" s="2">
        <f>AS1551/AN1551</f>
        <v>0.33783783783783783</v>
      </c>
      <c r="AM1551" s="3">
        <v>1.1299999999999999</v>
      </c>
      <c r="AN1551" s="3">
        <f>(0.5+0.21+0.77)/100*(AM1551^2)</f>
        <v>1.8898119999999997E-2</v>
      </c>
      <c r="AO1551" s="1" t="s">
        <v>49</v>
      </c>
      <c r="AP1551" s="6">
        <v>0</v>
      </c>
      <c r="AQ1551" s="6" t="s">
        <v>49</v>
      </c>
      <c r="AR1551" s="6" t="s">
        <v>49</v>
      </c>
      <c r="AS1551" s="1">
        <f>(AT1551)/100*(AM1551^2)</f>
        <v>6.3844999999999987E-3</v>
      </c>
      <c r="AT1551" s="4">
        <v>0.5</v>
      </c>
      <c r="AU1551" s="5">
        <v>0</v>
      </c>
      <c r="AV1551" s="4">
        <f t="shared" ref="AV1551:AV1567" si="127">AT1551*(1-AL1551)/AL1551</f>
        <v>0.98000000000000009</v>
      </c>
      <c r="AW1551" s="9" t="s">
        <v>650</v>
      </c>
    </row>
    <row r="1552" spans="1:49" ht="14.4" customHeight="1">
      <c r="A1552" s="1">
        <v>21</v>
      </c>
      <c r="B1552" s="1" t="s">
        <v>38</v>
      </c>
      <c r="C1552" s="1" t="s">
        <v>38</v>
      </c>
      <c r="D1552" s="3" t="s">
        <v>644</v>
      </c>
      <c r="E1552" s="3" t="s">
        <v>645</v>
      </c>
      <c r="F1552" s="3">
        <v>2014</v>
      </c>
      <c r="G1552" s="3" t="s">
        <v>303</v>
      </c>
      <c r="H1552" s="3" t="s">
        <v>304</v>
      </c>
      <c r="I1552" s="3" t="s">
        <v>646</v>
      </c>
      <c r="J1552" s="3" t="s">
        <v>647</v>
      </c>
      <c r="K1552" s="3" t="s">
        <v>433</v>
      </c>
      <c r="L1552" s="3" t="s">
        <v>46</v>
      </c>
      <c r="M1552" s="1" t="s">
        <v>12</v>
      </c>
      <c r="N1552" s="1" t="s">
        <v>80</v>
      </c>
      <c r="O1552" s="1" t="s">
        <v>49</v>
      </c>
      <c r="P1552" s="1" t="s">
        <v>49</v>
      </c>
      <c r="Q1552" s="1" t="s">
        <v>49</v>
      </c>
      <c r="R1552" s="1">
        <v>0.5</v>
      </c>
      <c r="S1552" s="1" t="s">
        <v>77</v>
      </c>
      <c r="T1552" s="1" t="s">
        <v>648</v>
      </c>
      <c r="U1552" s="1" t="s">
        <v>251</v>
      </c>
      <c r="V1552" s="3" t="s">
        <v>649</v>
      </c>
      <c r="W1552" s="3">
        <v>8.35</v>
      </c>
      <c r="X1552" s="3">
        <v>-71.766666999999998</v>
      </c>
      <c r="Y1552" s="1" t="s">
        <v>48</v>
      </c>
      <c r="Z1552" s="1" t="s">
        <v>49</v>
      </c>
      <c r="AA1552" s="1" t="s">
        <v>50</v>
      </c>
      <c r="AB1552" s="1" t="s">
        <v>57</v>
      </c>
      <c r="AC1552" s="1" t="s">
        <v>58</v>
      </c>
      <c r="AD1552" s="1" t="s">
        <v>313</v>
      </c>
      <c r="AE1552" s="1" t="s">
        <v>313</v>
      </c>
      <c r="AF1552" s="1" t="s">
        <v>60</v>
      </c>
      <c r="AG1552" s="1" t="s">
        <v>61</v>
      </c>
      <c r="AH1552" s="1" t="s">
        <v>152</v>
      </c>
      <c r="AI1552" s="1" t="s">
        <v>55</v>
      </c>
      <c r="AJ1552" s="7">
        <f>5*9</f>
        <v>45</v>
      </c>
      <c r="AK1552" s="7">
        <v>821</v>
      </c>
      <c r="AL1552" s="2">
        <f>AS1552/AN1552</f>
        <v>0.33620689655172414</v>
      </c>
      <c r="AM1552" s="3">
        <v>5.47</v>
      </c>
      <c r="AN1552" s="3">
        <f>(0.78+0.2+1.34)/100*(AM1552^2)</f>
        <v>0.69416487999999998</v>
      </c>
      <c r="AO1552" s="1" t="s">
        <v>49</v>
      </c>
      <c r="AP1552" s="6">
        <v>0</v>
      </c>
      <c r="AQ1552" s="6" t="s">
        <v>49</v>
      </c>
      <c r="AR1552" s="6" t="s">
        <v>49</v>
      </c>
      <c r="AS1552" s="1">
        <f>AT1552/100*(AM1552^2)</f>
        <v>0.23338302</v>
      </c>
      <c r="AT1552" s="4">
        <v>0.78</v>
      </c>
      <c r="AU1552" s="5">
        <v>0</v>
      </c>
      <c r="AV1552" s="4">
        <f t="shared" si="127"/>
        <v>1.54</v>
      </c>
      <c r="AW1552" s="9" t="s">
        <v>650</v>
      </c>
    </row>
    <row r="1553" spans="1:57" ht="15" customHeight="1">
      <c r="A1553" s="1">
        <v>21</v>
      </c>
      <c r="B1553" s="1" t="s">
        <v>38</v>
      </c>
      <c r="C1553" s="1" t="s">
        <v>38</v>
      </c>
      <c r="D1553" s="3" t="s">
        <v>644</v>
      </c>
      <c r="E1553" s="3" t="s">
        <v>645</v>
      </c>
      <c r="F1553" s="3">
        <v>2014</v>
      </c>
      <c r="G1553" s="3" t="s">
        <v>303</v>
      </c>
      <c r="H1553" s="3" t="s">
        <v>304</v>
      </c>
      <c r="I1553" s="3" t="s">
        <v>646</v>
      </c>
      <c r="J1553" s="3" t="s">
        <v>647</v>
      </c>
      <c r="K1553" s="3" t="s">
        <v>433</v>
      </c>
      <c r="L1553" s="3" t="s">
        <v>46</v>
      </c>
      <c r="M1553" s="1" t="s">
        <v>12</v>
      </c>
      <c r="N1553" s="1" t="s">
        <v>80</v>
      </c>
      <c r="O1553" s="1" t="s">
        <v>49</v>
      </c>
      <c r="P1553" s="1" t="s">
        <v>49</v>
      </c>
      <c r="Q1553" s="1" t="s">
        <v>49</v>
      </c>
      <c r="R1553" s="1">
        <v>0.5</v>
      </c>
      <c r="S1553" s="1" t="s">
        <v>77</v>
      </c>
      <c r="T1553" s="1" t="s">
        <v>648</v>
      </c>
      <c r="U1553" s="1" t="s">
        <v>251</v>
      </c>
      <c r="V1553" s="3" t="s">
        <v>649</v>
      </c>
      <c r="W1553" s="3">
        <v>8.35</v>
      </c>
      <c r="X1553" s="3">
        <v>-71.766666999999998</v>
      </c>
      <c r="Y1553" s="1" t="s">
        <v>48</v>
      </c>
      <c r="Z1553" s="1" t="s">
        <v>49</v>
      </c>
      <c r="AA1553" s="1" t="s">
        <v>50</v>
      </c>
      <c r="AB1553" s="1" t="s">
        <v>57</v>
      </c>
      <c r="AC1553" s="1" t="s">
        <v>86</v>
      </c>
      <c r="AD1553" s="1" t="s">
        <v>314</v>
      </c>
      <c r="AE1553" s="1" t="s">
        <v>314</v>
      </c>
      <c r="AF1553" s="1" t="s">
        <v>60</v>
      </c>
      <c r="AG1553" s="1" t="s">
        <v>61</v>
      </c>
      <c r="AH1553" s="1" t="s">
        <v>152</v>
      </c>
      <c r="AI1553" s="1" t="s">
        <v>55</v>
      </c>
      <c r="AJ1553" s="7">
        <f>5*9</f>
        <v>45</v>
      </c>
      <c r="AK1553" s="7">
        <v>821</v>
      </c>
      <c r="AL1553" s="2">
        <f>AS1553/AN1553</f>
        <v>0.39719626168224309</v>
      </c>
      <c r="AM1553" s="3">
        <v>3.22</v>
      </c>
      <c r="AN1553" s="3">
        <f>(0.85+0.35+0.94)/100*(AM1553^2)</f>
        <v>0.22188375999999999</v>
      </c>
      <c r="AO1553" s="1" t="s">
        <v>49</v>
      </c>
      <c r="AP1553" s="6">
        <v>0</v>
      </c>
      <c r="AQ1553" s="6" t="s">
        <v>49</v>
      </c>
      <c r="AR1553" s="6" t="s">
        <v>49</v>
      </c>
      <c r="AS1553" s="1">
        <f>AT1553/100*(AM1553^2)</f>
        <v>8.8131400000000013E-2</v>
      </c>
      <c r="AT1553" s="4">
        <v>0.85</v>
      </c>
      <c r="AU1553" s="5">
        <v>0</v>
      </c>
      <c r="AV1553" s="4">
        <f t="shared" si="127"/>
        <v>1.2899999999999994</v>
      </c>
      <c r="AW1553" s="9" t="s">
        <v>650</v>
      </c>
    </row>
    <row r="1554" spans="1:57" ht="15" customHeight="1">
      <c r="A1554" s="1">
        <v>21</v>
      </c>
      <c r="B1554" s="1" t="s">
        <v>38</v>
      </c>
      <c r="C1554" s="1" t="s">
        <v>38</v>
      </c>
      <c r="D1554" s="3" t="s">
        <v>644</v>
      </c>
      <c r="E1554" s="3" t="s">
        <v>645</v>
      </c>
      <c r="F1554" s="3">
        <v>2014</v>
      </c>
      <c r="G1554" s="3" t="s">
        <v>303</v>
      </c>
      <c r="H1554" s="3" t="s">
        <v>304</v>
      </c>
      <c r="I1554" s="3" t="s">
        <v>646</v>
      </c>
      <c r="J1554" s="3" t="s">
        <v>647</v>
      </c>
      <c r="K1554" s="3" t="s">
        <v>433</v>
      </c>
      <c r="L1554" s="3" t="s">
        <v>46</v>
      </c>
      <c r="M1554" s="1" t="s">
        <v>12</v>
      </c>
      <c r="N1554" s="1" t="s">
        <v>80</v>
      </c>
      <c r="O1554" s="1" t="s">
        <v>49</v>
      </c>
      <c r="P1554" s="1" t="s">
        <v>49</v>
      </c>
      <c r="Q1554" s="1" t="s">
        <v>49</v>
      </c>
      <c r="R1554" s="1">
        <v>0.5</v>
      </c>
      <c r="S1554" s="1" t="s">
        <v>77</v>
      </c>
      <c r="T1554" s="1" t="s">
        <v>648</v>
      </c>
      <c r="U1554" s="1" t="s">
        <v>251</v>
      </c>
      <c r="V1554" s="3" t="s">
        <v>649</v>
      </c>
      <c r="W1554" s="3">
        <v>8.35</v>
      </c>
      <c r="X1554" s="3">
        <v>-71.766666999999998</v>
      </c>
      <c r="Y1554" s="1" t="s">
        <v>48</v>
      </c>
      <c r="Z1554" s="1" t="s">
        <v>49</v>
      </c>
      <c r="AA1554" s="1" t="s">
        <v>50</v>
      </c>
      <c r="AB1554" s="1" t="s">
        <v>66</v>
      </c>
      <c r="AC1554" s="1" t="s">
        <v>315</v>
      </c>
      <c r="AD1554" s="1" t="s">
        <v>651</v>
      </c>
      <c r="AE1554" s="1" t="s">
        <v>651</v>
      </c>
      <c r="AF1554" s="1" t="s">
        <v>60</v>
      </c>
      <c r="AG1554" s="1" t="s">
        <v>61</v>
      </c>
      <c r="AH1554" s="1" t="s">
        <v>152</v>
      </c>
      <c r="AI1554" s="1" t="s">
        <v>55</v>
      </c>
      <c r="AJ1554" s="7">
        <f>5*9</f>
        <v>45</v>
      </c>
      <c r="AK1554" s="7">
        <v>821</v>
      </c>
      <c r="AL1554" s="2">
        <f>AS1554/AN1554</f>
        <v>0.36781609195402298</v>
      </c>
      <c r="AM1554" s="3">
        <v>37.94</v>
      </c>
      <c r="AN1554" s="3">
        <f>(0.32+0.09+0.46)/100*(AM1554^2)</f>
        <v>12.52315932</v>
      </c>
      <c r="AO1554" s="1" t="s">
        <v>49</v>
      </c>
      <c r="AP1554" s="6">
        <v>0</v>
      </c>
      <c r="AQ1554" s="6" t="s">
        <v>49</v>
      </c>
      <c r="AR1554" s="6" t="s">
        <v>49</v>
      </c>
      <c r="AS1554" s="1">
        <f>AT1554/100*(AM1554^2)</f>
        <v>4.6062195199999998</v>
      </c>
      <c r="AT1554" s="4">
        <v>0.32</v>
      </c>
      <c r="AU1554" s="5">
        <v>0</v>
      </c>
      <c r="AV1554" s="4">
        <f t="shared" si="127"/>
        <v>0.55000000000000004</v>
      </c>
      <c r="AW1554" s="9" t="s">
        <v>650</v>
      </c>
    </row>
    <row r="1555" spans="1:57" ht="15" customHeight="1">
      <c r="A1555" s="1">
        <v>21</v>
      </c>
      <c r="B1555" s="1" t="s">
        <v>38</v>
      </c>
      <c r="C1555" s="1" t="s">
        <v>38</v>
      </c>
      <c r="D1555" s="3" t="s">
        <v>644</v>
      </c>
      <c r="E1555" s="3" t="s">
        <v>645</v>
      </c>
      <c r="F1555" s="3">
        <v>2014</v>
      </c>
      <c r="G1555" s="3" t="s">
        <v>303</v>
      </c>
      <c r="H1555" s="3" t="s">
        <v>304</v>
      </c>
      <c r="I1555" s="3" t="s">
        <v>646</v>
      </c>
      <c r="J1555" s="3" t="s">
        <v>647</v>
      </c>
      <c r="K1555" s="3" t="s">
        <v>433</v>
      </c>
      <c r="L1555" s="3" t="s">
        <v>46</v>
      </c>
      <c r="M1555" s="1" t="s">
        <v>12</v>
      </c>
      <c r="N1555" s="1" t="s">
        <v>80</v>
      </c>
      <c r="O1555" s="1" t="s">
        <v>49</v>
      </c>
      <c r="P1555" s="1" t="s">
        <v>49</v>
      </c>
      <c r="Q1555" s="1" t="s">
        <v>49</v>
      </c>
      <c r="R1555" s="1">
        <v>0.5</v>
      </c>
      <c r="S1555" s="1" t="s">
        <v>77</v>
      </c>
      <c r="T1555" s="1" t="s">
        <v>648</v>
      </c>
      <c r="U1555" s="1" t="s">
        <v>251</v>
      </c>
      <c r="V1555" s="3" t="s">
        <v>649</v>
      </c>
      <c r="W1555" s="3">
        <v>8.35</v>
      </c>
      <c r="X1555" s="3">
        <v>-71.766666999999998</v>
      </c>
      <c r="Y1555" s="1" t="s">
        <v>48</v>
      </c>
      <c r="Z1555" s="1" t="s">
        <v>49</v>
      </c>
      <c r="AA1555" s="1" t="s">
        <v>50</v>
      </c>
      <c r="AB1555" s="1" t="s">
        <v>185</v>
      </c>
      <c r="AC1555" s="1" t="s">
        <v>322</v>
      </c>
      <c r="AD1555" s="1" t="s">
        <v>327</v>
      </c>
      <c r="AE1555" s="1" t="s">
        <v>327</v>
      </c>
      <c r="AF1555" s="1" t="s">
        <v>60</v>
      </c>
      <c r="AG1555" s="1" t="s">
        <v>61</v>
      </c>
      <c r="AH1555" s="1" t="s">
        <v>152</v>
      </c>
      <c r="AI1555" s="1" t="s">
        <v>55</v>
      </c>
      <c r="AJ1555" s="7">
        <f>5*9</f>
        <v>45</v>
      </c>
      <c r="AK1555" s="7">
        <v>821</v>
      </c>
      <c r="AL1555" s="2">
        <f>AS1555/AN1555</f>
        <v>0.25581395348837205</v>
      </c>
      <c r="AM1555" s="3">
        <v>4.1500000000000004</v>
      </c>
      <c r="AN1555" s="3">
        <f>(0.22+0.1+0.54)/100*(AM1555^2)</f>
        <v>0.14811350000000006</v>
      </c>
      <c r="AO1555" s="1" t="s">
        <v>49</v>
      </c>
      <c r="AP1555" s="6">
        <v>0</v>
      </c>
      <c r="AQ1555" s="6" t="s">
        <v>49</v>
      </c>
      <c r="AR1555" s="6" t="s">
        <v>49</v>
      </c>
      <c r="AS1555" s="1">
        <f>(AT1555)/100*(AM1555^2)</f>
        <v>3.7889500000000013E-2</v>
      </c>
      <c r="AT1555" s="4">
        <v>0.22</v>
      </c>
      <c r="AU1555" s="5">
        <v>0</v>
      </c>
      <c r="AV1555" s="4">
        <f t="shared" si="127"/>
        <v>0.64</v>
      </c>
      <c r="AW1555" s="9" t="s">
        <v>650</v>
      </c>
    </row>
    <row r="1556" spans="1:57">
      <c r="A1556" s="1">
        <v>84</v>
      </c>
      <c r="B1556" s="1" t="s">
        <v>38</v>
      </c>
      <c r="C1556" s="1" t="s">
        <v>49</v>
      </c>
      <c r="D1556" s="1" t="s">
        <v>652</v>
      </c>
      <c r="E1556" s="1" t="s">
        <v>71</v>
      </c>
      <c r="F1556" s="1">
        <v>2001</v>
      </c>
      <c r="G1556" s="1" t="s">
        <v>276</v>
      </c>
      <c r="H1556" s="1" t="s">
        <v>585</v>
      </c>
      <c r="I1556" s="1" t="s">
        <v>653</v>
      </c>
      <c r="J1556" s="1" t="s">
        <v>654</v>
      </c>
      <c r="K1556" s="1" t="s">
        <v>114</v>
      </c>
      <c r="L1556" s="3" t="s">
        <v>46</v>
      </c>
      <c r="M1556" s="1" t="s">
        <v>115</v>
      </c>
      <c r="N1556" s="1" t="s">
        <v>116</v>
      </c>
      <c r="O1556" s="1" t="s">
        <v>49</v>
      </c>
      <c r="P1556" s="1" t="s">
        <v>49</v>
      </c>
      <c r="Q1556" s="1" t="s">
        <v>49</v>
      </c>
      <c r="R1556" s="1">
        <v>0.5</v>
      </c>
      <c r="S1556" s="1" t="s">
        <v>294</v>
      </c>
      <c r="T1556" s="1" t="s">
        <v>655</v>
      </c>
      <c r="U1556" s="1" t="s">
        <v>656</v>
      </c>
      <c r="V1556" s="1" t="s">
        <v>657</v>
      </c>
      <c r="W1556" s="1">
        <v>43.77</v>
      </c>
      <c r="X1556" s="1">
        <v>3.87</v>
      </c>
      <c r="Y1556" s="1" t="s">
        <v>121</v>
      </c>
      <c r="Z1556" s="1" t="s">
        <v>49</v>
      </c>
      <c r="AA1556" s="1" t="s">
        <v>50</v>
      </c>
      <c r="AB1556" s="1" t="s">
        <v>658</v>
      </c>
      <c r="AC1556" s="1" t="s">
        <v>658</v>
      </c>
      <c r="AD1556" s="1" t="s">
        <v>659</v>
      </c>
      <c r="AE1556" s="1" t="s">
        <v>659</v>
      </c>
      <c r="AF1556" s="1" t="s">
        <v>53</v>
      </c>
      <c r="AG1556" s="1" t="s">
        <v>53</v>
      </c>
      <c r="AH1556" s="1" t="s">
        <v>152</v>
      </c>
      <c r="AI1556" s="1" t="s">
        <v>55</v>
      </c>
      <c r="AJ1556" s="29">
        <v>63</v>
      </c>
      <c r="AK1556" s="29">
        <v>291</v>
      </c>
      <c r="AL1556" s="38">
        <v>0.32200000000000001</v>
      </c>
      <c r="AM1556" s="29">
        <v>8.9</v>
      </c>
      <c r="AN1556" s="14">
        <f t="shared" ref="AN1556:AN1567" si="128">AS1556/AL1556</f>
        <v>1.4906832298136645</v>
      </c>
      <c r="AO1556" s="6" t="s">
        <v>49</v>
      </c>
      <c r="AP1556" s="6">
        <v>1</v>
      </c>
      <c r="AQ1556" s="6" t="s">
        <v>49</v>
      </c>
      <c r="AR1556" s="6" t="s">
        <v>49</v>
      </c>
      <c r="AS1556" s="29">
        <v>0.48</v>
      </c>
      <c r="AT1556" s="38">
        <f t="shared" ref="AT1556:AT1567" si="129">AS1556/(AM1556^2)*100</f>
        <v>0.60598409291756083</v>
      </c>
      <c r="AU1556" s="39">
        <v>0</v>
      </c>
      <c r="AV1556" s="38">
        <f t="shared" si="127"/>
        <v>1.2759540838450505</v>
      </c>
      <c r="AW1556" s="29" t="s">
        <v>660</v>
      </c>
      <c r="AX1556" s="30"/>
      <c r="BE1556" s="37"/>
    </row>
    <row r="1557" spans="1:57">
      <c r="A1557" s="1">
        <v>84</v>
      </c>
      <c r="B1557" s="1" t="s">
        <v>38</v>
      </c>
      <c r="C1557" s="1" t="s">
        <v>49</v>
      </c>
      <c r="D1557" s="1" t="s">
        <v>652</v>
      </c>
      <c r="E1557" s="1" t="s">
        <v>71</v>
      </c>
      <c r="F1557" s="1">
        <v>2001</v>
      </c>
      <c r="G1557" s="1" t="s">
        <v>276</v>
      </c>
      <c r="H1557" s="1" t="s">
        <v>585</v>
      </c>
      <c r="I1557" s="1" t="s">
        <v>653</v>
      </c>
      <c r="J1557" s="1" t="s">
        <v>654</v>
      </c>
      <c r="K1557" s="1" t="s">
        <v>114</v>
      </c>
      <c r="L1557" s="3" t="s">
        <v>46</v>
      </c>
      <c r="M1557" s="1" t="s">
        <v>115</v>
      </c>
      <c r="N1557" s="1" t="s">
        <v>116</v>
      </c>
      <c r="O1557" s="1" t="s">
        <v>49</v>
      </c>
      <c r="P1557" s="1" t="s">
        <v>49</v>
      </c>
      <c r="Q1557" s="1" t="s">
        <v>49</v>
      </c>
      <c r="R1557" s="1">
        <v>0.5</v>
      </c>
      <c r="S1557" s="1" t="s">
        <v>294</v>
      </c>
      <c r="T1557" s="1" t="s">
        <v>655</v>
      </c>
      <c r="U1557" s="1" t="s">
        <v>656</v>
      </c>
      <c r="V1557" s="1" t="s">
        <v>657</v>
      </c>
      <c r="W1557" s="1">
        <v>43.77</v>
      </c>
      <c r="X1557" s="1">
        <v>3.87</v>
      </c>
      <c r="Y1557" s="1" t="s">
        <v>121</v>
      </c>
      <c r="Z1557" s="1" t="s">
        <v>49</v>
      </c>
      <c r="AA1557" s="1" t="s">
        <v>50</v>
      </c>
      <c r="AB1557" s="1" t="s">
        <v>658</v>
      </c>
      <c r="AC1557" s="1" t="s">
        <v>658</v>
      </c>
      <c r="AD1557" s="1" t="s">
        <v>661</v>
      </c>
      <c r="AE1557" s="1" t="s">
        <v>661</v>
      </c>
      <c r="AF1557" s="1" t="s">
        <v>53</v>
      </c>
      <c r="AG1557" s="1" t="s">
        <v>53</v>
      </c>
      <c r="AH1557" s="1" t="s">
        <v>152</v>
      </c>
      <c r="AI1557" s="1" t="s">
        <v>55</v>
      </c>
      <c r="AJ1557" s="29">
        <v>63</v>
      </c>
      <c r="AK1557" s="29">
        <v>291</v>
      </c>
      <c r="AL1557" s="38">
        <v>0.16200000000000001</v>
      </c>
      <c r="AM1557" s="29">
        <v>13.2</v>
      </c>
      <c r="AN1557" s="14">
        <f t="shared" si="128"/>
        <v>0.49382716049382713</v>
      </c>
      <c r="AO1557" s="6" t="s">
        <v>49</v>
      </c>
      <c r="AP1557" s="6">
        <v>1</v>
      </c>
      <c r="AQ1557" s="6" t="s">
        <v>49</v>
      </c>
      <c r="AR1557" s="6" t="s">
        <v>49</v>
      </c>
      <c r="AS1557" s="29">
        <v>0.08</v>
      </c>
      <c r="AT1557" s="38">
        <f t="shared" si="129"/>
        <v>4.5913682277318645E-2</v>
      </c>
      <c r="AU1557" s="39">
        <v>0</v>
      </c>
      <c r="AV1557" s="38">
        <f t="shared" si="127"/>
        <v>0.2375041095579816</v>
      </c>
      <c r="AW1557" s="29" t="s">
        <v>660</v>
      </c>
      <c r="AX1557" s="30"/>
      <c r="BE1557" s="37"/>
    </row>
    <row r="1558" spans="1:57">
      <c r="A1558" s="1">
        <v>84</v>
      </c>
      <c r="B1558" s="1" t="s">
        <v>38</v>
      </c>
      <c r="C1558" s="1" t="s">
        <v>49</v>
      </c>
      <c r="D1558" s="1" t="s">
        <v>652</v>
      </c>
      <c r="E1558" s="1" t="s">
        <v>71</v>
      </c>
      <c r="F1558" s="1">
        <v>2001</v>
      </c>
      <c r="G1558" s="1" t="s">
        <v>276</v>
      </c>
      <c r="H1558" s="1" t="s">
        <v>585</v>
      </c>
      <c r="I1558" s="1" t="s">
        <v>653</v>
      </c>
      <c r="J1558" s="1" t="s">
        <v>654</v>
      </c>
      <c r="K1558" s="1" t="s">
        <v>114</v>
      </c>
      <c r="L1558" s="3" t="s">
        <v>46</v>
      </c>
      <c r="M1558" s="1" t="s">
        <v>115</v>
      </c>
      <c r="N1558" s="1" t="s">
        <v>116</v>
      </c>
      <c r="O1558" s="1" t="s">
        <v>49</v>
      </c>
      <c r="P1558" s="1" t="s">
        <v>49</v>
      </c>
      <c r="Q1558" s="1" t="s">
        <v>49</v>
      </c>
      <c r="R1558" s="1">
        <v>0.5</v>
      </c>
      <c r="S1558" s="1" t="s">
        <v>294</v>
      </c>
      <c r="T1558" s="1" t="s">
        <v>655</v>
      </c>
      <c r="U1558" s="1" t="s">
        <v>656</v>
      </c>
      <c r="V1558" s="1" t="s">
        <v>657</v>
      </c>
      <c r="W1558" s="1">
        <v>43.77</v>
      </c>
      <c r="X1558" s="1">
        <v>3.87</v>
      </c>
      <c r="Y1558" s="1" t="s">
        <v>121</v>
      </c>
      <c r="Z1558" s="1" t="s">
        <v>49</v>
      </c>
      <c r="AA1558" s="1" t="s">
        <v>50</v>
      </c>
      <c r="AB1558" s="1" t="s">
        <v>658</v>
      </c>
      <c r="AC1558" s="1" t="s">
        <v>658</v>
      </c>
      <c r="AD1558" s="1" t="s">
        <v>662</v>
      </c>
      <c r="AE1558" s="1" t="s">
        <v>662</v>
      </c>
      <c r="AF1558" s="1" t="s">
        <v>53</v>
      </c>
      <c r="AG1558" s="1" t="s">
        <v>53</v>
      </c>
      <c r="AH1558" s="1" t="s">
        <v>152</v>
      </c>
      <c r="AI1558" s="1" t="s">
        <v>55</v>
      </c>
      <c r="AJ1558" s="29">
        <v>63</v>
      </c>
      <c r="AK1558" s="29">
        <v>291</v>
      </c>
      <c r="AL1558" s="38">
        <v>0.27700000000000002</v>
      </c>
      <c r="AM1558" s="29">
        <v>22.1</v>
      </c>
      <c r="AN1558" s="14">
        <f t="shared" si="128"/>
        <v>2.6714801444043319</v>
      </c>
      <c r="AO1558" s="6" t="s">
        <v>49</v>
      </c>
      <c r="AP1558" s="6">
        <v>1</v>
      </c>
      <c r="AQ1558" s="6" t="s">
        <v>49</v>
      </c>
      <c r="AR1558" s="6" t="s">
        <v>49</v>
      </c>
      <c r="AS1558" s="29">
        <v>0.74</v>
      </c>
      <c r="AT1558" s="38">
        <f t="shared" si="129"/>
        <v>0.15151204930283982</v>
      </c>
      <c r="AU1558" s="39">
        <v>0</v>
      </c>
      <c r="AV1558" s="38">
        <f t="shared" si="127"/>
        <v>0.39546285792762875</v>
      </c>
      <c r="AW1558" s="29" t="s">
        <v>660</v>
      </c>
      <c r="AX1558" s="30"/>
      <c r="BE1558" s="37"/>
    </row>
    <row r="1559" spans="1:57">
      <c r="A1559" s="1">
        <v>84</v>
      </c>
      <c r="B1559" s="1" t="s">
        <v>38</v>
      </c>
      <c r="C1559" s="1" t="s">
        <v>49</v>
      </c>
      <c r="D1559" s="1" t="s">
        <v>652</v>
      </c>
      <c r="E1559" s="1" t="s">
        <v>71</v>
      </c>
      <c r="F1559" s="1">
        <v>2001</v>
      </c>
      <c r="G1559" s="1" t="s">
        <v>276</v>
      </c>
      <c r="H1559" s="1" t="s">
        <v>585</v>
      </c>
      <c r="I1559" s="1" t="s">
        <v>653</v>
      </c>
      <c r="J1559" s="1" t="s">
        <v>654</v>
      </c>
      <c r="K1559" s="1" t="s">
        <v>114</v>
      </c>
      <c r="L1559" s="3" t="s">
        <v>46</v>
      </c>
      <c r="M1559" s="1" t="s">
        <v>115</v>
      </c>
      <c r="N1559" s="1" t="s">
        <v>116</v>
      </c>
      <c r="O1559" s="1" t="s">
        <v>49</v>
      </c>
      <c r="P1559" s="1" t="s">
        <v>49</v>
      </c>
      <c r="Q1559" s="1" t="s">
        <v>49</v>
      </c>
      <c r="R1559" s="1">
        <v>0.5</v>
      </c>
      <c r="S1559" s="1" t="s">
        <v>294</v>
      </c>
      <c r="T1559" s="1" t="s">
        <v>655</v>
      </c>
      <c r="U1559" s="1" t="s">
        <v>656</v>
      </c>
      <c r="V1559" s="1" t="s">
        <v>657</v>
      </c>
      <c r="W1559" s="1">
        <v>43.77</v>
      </c>
      <c r="X1559" s="1">
        <v>3.87</v>
      </c>
      <c r="Y1559" s="1" t="s">
        <v>121</v>
      </c>
      <c r="Z1559" s="1" t="s">
        <v>49</v>
      </c>
      <c r="AA1559" s="1" t="s">
        <v>50</v>
      </c>
      <c r="AB1559" s="1" t="s">
        <v>658</v>
      </c>
      <c r="AC1559" s="1" t="s">
        <v>658</v>
      </c>
      <c r="AD1559" s="1" t="s">
        <v>663</v>
      </c>
      <c r="AE1559" s="1" t="s">
        <v>663</v>
      </c>
      <c r="AF1559" s="1" t="s">
        <v>53</v>
      </c>
      <c r="AG1559" s="1" t="s">
        <v>53</v>
      </c>
      <c r="AH1559" s="1" t="s">
        <v>152</v>
      </c>
      <c r="AI1559" s="1" t="s">
        <v>55</v>
      </c>
      <c r="AJ1559" s="29">
        <v>63</v>
      </c>
      <c r="AK1559" s="29">
        <v>291</v>
      </c>
      <c r="AL1559" s="38">
        <v>0.24399999999999999</v>
      </c>
      <c r="AM1559" s="29">
        <v>79.8</v>
      </c>
      <c r="AN1559" s="14">
        <f t="shared" si="128"/>
        <v>124.59016393442623</v>
      </c>
      <c r="AO1559" s="6" t="s">
        <v>49</v>
      </c>
      <c r="AP1559" s="6">
        <v>1</v>
      </c>
      <c r="AQ1559" s="6" t="s">
        <v>49</v>
      </c>
      <c r="AR1559" s="6" t="s">
        <v>49</v>
      </c>
      <c r="AS1559" s="29">
        <v>30.4</v>
      </c>
      <c r="AT1559" s="38">
        <f t="shared" si="129"/>
        <v>0.47738393603055251</v>
      </c>
      <c r="AU1559" s="39">
        <v>0</v>
      </c>
      <c r="AV1559" s="38">
        <f t="shared" si="127"/>
        <v>1.4791076050782694</v>
      </c>
      <c r="AW1559" s="29" t="s">
        <v>660</v>
      </c>
      <c r="AX1559" s="30"/>
      <c r="BE1559" s="37"/>
    </row>
    <row r="1560" spans="1:57">
      <c r="A1560" s="1">
        <v>84</v>
      </c>
      <c r="B1560" s="1" t="s">
        <v>38</v>
      </c>
      <c r="C1560" s="1" t="s">
        <v>49</v>
      </c>
      <c r="D1560" s="1" t="s">
        <v>652</v>
      </c>
      <c r="E1560" s="1" t="s">
        <v>71</v>
      </c>
      <c r="F1560" s="1">
        <v>2001</v>
      </c>
      <c r="G1560" s="1" t="s">
        <v>276</v>
      </c>
      <c r="H1560" s="1" t="s">
        <v>585</v>
      </c>
      <c r="I1560" s="1" t="s">
        <v>653</v>
      </c>
      <c r="J1560" s="1" t="s">
        <v>654</v>
      </c>
      <c r="K1560" s="1" t="s">
        <v>114</v>
      </c>
      <c r="L1560" s="3" t="s">
        <v>46</v>
      </c>
      <c r="M1560" s="1" t="s">
        <v>115</v>
      </c>
      <c r="N1560" s="1" t="s">
        <v>116</v>
      </c>
      <c r="O1560" s="1" t="s">
        <v>49</v>
      </c>
      <c r="P1560" s="1" t="s">
        <v>49</v>
      </c>
      <c r="Q1560" s="1" t="s">
        <v>49</v>
      </c>
      <c r="R1560" s="1">
        <v>0.5</v>
      </c>
      <c r="S1560" s="1" t="s">
        <v>294</v>
      </c>
      <c r="T1560" s="1" t="s">
        <v>655</v>
      </c>
      <c r="U1560" s="1" t="s">
        <v>656</v>
      </c>
      <c r="V1560" s="1" t="s">
        <v>657</v>
      </c>
      <c r="W1560" s="1">
        <v>43.77</v>
      </c>
      <c r="X1560" s="1">
        <v>3.87</v>
      </c>
      <c r="Y1560" s="1" t="s">
        <v>121</v>
      </c>
      <c r="Z1560" s="1" t="s">
        <v>49</v>
      </c>
      <c r="AA1560" s="1" t="s">
        <v>50</v>
      </c>
      <c r="AB1560" s="1" t="s">
        <v>658</v>
      </c>
      <c r="AC1560" s="1" t="s">
        <v>658</v>
      </c>
      <c r="AD1560" s="1" t="s">
        <v>664</v>
      </c>
      <c r="AE1560" s="1" t="s">
        <v>664</v>
      </c>
      <c r="AF1560" s="1" t="s">
        <v>60</v>
      </c>
      <c r="AG1560" s="1" t="s">
        <v>60</v>
      </c>
      <c r="AH1560" s="1" t="s">
        <v>152</v>
      </c>
      <c r="AI1560" s="1" t="s">
        <v>55</v>
      </c>
      <c r="AJ1560" s="29">
        <v>63</v>
      </c>
      <c r="AK1560" s="29">
        <v>291</v>
      </c>
      <c r="AL1560" s="38">
        <v>0.314</v>
      </c>
      <c r="AM1560" s="29">
        <v>6.1</v>
      </c>
      <c r="AN1560" s="14">
        <f t="shared" si="128"/>
        <v>0.60509554140127386</v>
      </c>
      <c r="AO1560" s="6" t="s">
        <v>49</v>
      </c>
      <c r="AP1560" s="6">
        <v>1</v>
      </c>
      <c r="AQ1560" s="6" t="s">
        <v>49</v>
      </c>
      <c r="AR1560" s="6" t="s">
        <v>49</v>
      </c>
      <c r="AS1560" s="29">
        <v>0.19</v>
      </c>
      <c r="AT1560" s="38">
        <f t="shared" si="129"/>
        <v>0.51061542596076326</v>
      </c>
      <c r="AU1560" s="39">
        <v>0</v>
      </c>
      <c r="AV1560" s="38">
        <f t="shared" si="127"/>
        <v>1.1155483509843427</v>
      </c>
      <c r="AW1560" s="29" t="s">
        <v>660</v>
      </c>
      <c r="AX1560" s="30"/>
      <c r="BE1560" s="37"/>
    </row>
    <row r="1561" spans="1:57">
      <c r="A1561" s="1">
        <v>84</v>
      </c>
      <c r="B1561" s="1" t="s">
        <v>38</v>
      </c>
      <c r="C1561" s="1" t="s">
        <v>49</v>
      </c>
      <c r="D1561" s="1" t="s">
        <v>652</v>
      </c>
      <c r="E1561" s="1" t="s">
        <v>71</v>
      </c>
      <c r="F1561" s="1">
        <v>2001</v>
      </c>
      <c r="G1561" s="1" t="s">
        <v>276</v>
      </c>
      <c r="H1561" s="1" t="s">
        <v>585</v>
      </c>
      <c r="I1561" s="1" t="s">
        <v>653</v>
      </c>
      <c r="J1561" s="1" t="s">
        <v>654</v>
      </c>
      <c r="K1561" s="1" t="s">
        <v>114</v>
      </c>
      <c r="L1561" s="3" t="s">
        <v>46</v>
      </c>
      <c r="M1561" s="1" t="s">
        <v>115</v>
      </c>
      <c r="N1561" s="1" t="s">
        <v>116</v>
      </c>
      <c r="O1561" s="1" t="s">
        <v>49</v>
      </c>
      <c r="P1561" s="1" t="s">
        <v>49</v>
      </c>
      <c r="Q1561" s="1" t="s">
        <v>49</v>
      </c>
      <c r="R1561" s="1">
        <v>0.5</v>
      </c>
      <c r="S1561" s="1" t="s">
        <v>294</v>
      </c>
      <c r="T1561" s="1" t="s">
        <v>655</v>
      </c>
      <c r="U1561" s="1" t="s">
        <v>656</v>
      </c>
      <c r="V1561" s="1" t="s">
        <v>657</v>
      </c>
      <c r="W1561" s="1">
        <v>43.77</v>
      </c>
      <c r="X1561" s="1">
        <v>3.87</v>
      </c>
      <c r="Y1561" s="1" t="s">
        <v>121</v>
      </c>
      <c r="Z1561" s="1" t="s">
        <v>49</v>
      </c>
      <c r="AA1561" s="1" t="s">
        <v>50</v>
      </c>
      <c r="AB1561" s="1" t="s">
        <v>658</v>
      </c>
      <c r="AC1561" s="1" t="s">
        <v>658</v>
      </c>
      <c r="AD1561" s="1" t="s">
        <v>665</v>
      </c>
      <c r="AE1561" s="1" t="s">
        <v>665</v>
      </c>
      <c r="AF1561" s="1" t="s">
        <v>53</v>
      </c>
      <c r="AG1561" s="1" t="s">
        <v>53</v>
      </c>
      <c r="AH1561" s="1" t="s">
        <v>152</v>
      </c>
      <c r="AI1561" s="1" t="s">
        <v>55</v>
      </c>
      <c r="AJ1561" s="29">
        <v>63</v>
      </c>
      <c r="AK1561" s="29">
        <v>291</v>
      </c>
      <c r="AL1561" s="38">
        <v>9.4E-2</v>
      </c>
      <c r="AM1561" s="29">
        <v>9.6</v>
      </c>
      <c r="AN1561" s="14">
        <f t="shared" si="128"/>
        <v>3.4042553191489362</v>
      </c>
      <c r="AO1561" s="6" t="s">
        <v>49</v>
      </c>
      <c r="AP1561" s="6">
        <v>1</v>
      </c>
      <c r="AQ1561" s="6" t="s">
        <v>49</v>
      </c>
      <c r="AR1561" s="6" t="s">
        <v>49</v>
      </c>
      <c r="AS1561" s="29">
        <v>0.32</v>
      </c>
      <c r="AT1561" s="38">
        <f t="shared" si="129"/>
        <v>0.34722222222222227</v>
      </c>
      <c r="AU1561" s="39">
        <v>0</v>
      </c>
      <c r="AV1561" s="38">
        <f t="shared" si="127"/>
        <v>3.3466312056737593</v>
      </c>
      <c r="AW1561" s="29" t="s">
        <v>660</v>
      </c>
      <c r="AX1561" s="30"/>
      <c r="BE1561" s="37"/>
    </row>
    <row r="1562" spans="1:57">
      <c r="A1562" s="1">
        <v>84</v>
      </c>
      <c r="B1562" s="1" t="s">
        <v>38</v>
      </c>
      <c r="C1562" s="1" t="s">
        <v>49</v>
      </c>
      <c r="D1562" s="1" t="s">
        <v>652</v>
      </c>
      <c r="E1562" s="1" t="s">
        <v>71</v>
      </c>
      <c r="F1562" s="1">
        <v>2001</v>
      </c>
      <c r="G1562" s="1" t="s">
        <v>276</v>
      </c>
      <c r="H1562" s="1" t="s">
        <v>585</v>
      </c>
      <c r="I1562" s="1" t="s">
        <v>653</v>
      </c>
      <c r="J1562" s="1" t="s">
        <v>654</v>
      </c>
      <c r="K1562" s="1" t="s">
        <v>114</v>
      </c>
      <c r="L1562" s="3" t="s">
        <v>46</v>
      </c>
      <c r="M1562" s="1" t="s">
        <v>115</v>
      </c>
      <c r="N1562" s="1" t="s">
        <v>116</v>
      </c>
      <c r="O1562" s="1" t="s">
        <v>49</v>
      </c>
      <c r="P1562" s="1" t="s">
        <v>49</v>
      </c>
      <c r="Q1562" s="1" t="s">
        <v>49</v>
      </c>
      <c r="R1562" s="1">
        <v>0.5</v>
      </c>
      <c r="S1562" s="1" t="s">
        <v>294</v>
      </c>
      <c r="T1562" s="1" t="s">
        <v>655</v>
      </c>
      <c r="U1562" s="1" t="s">
        <v>656</v>
      </c>
      <c r="V1562" s="1" t="s">
        <v>657</v>
      </c>
      <c r="W1562" s="1">
        <v>43.77</v>
      </c>
      <c r="X1562" s="1">
        <v>3.87</v>
      </c>
      <c r="Y1562" s="1" t="s">
        <v>121</v>
      </c>
      <c r="Z1562" s="1" t="s">
        <v>49</v>
      </c>
      <c r="AA1562" s="1" t="s">
        <v>50</v>
      </c>
      <c r="AB1562" s="1" t="s">
        <v>658</v>
      </c>
      <c r="AC1562" s="1" t="s">
        <v>658</v>
      </c>
      <c r="AD1562" s="1" t="s">
        <v>666</v>
      </c>
      <c r="AE1562" s="1" t="s">
        <v>666</v>
      </c>
      <c r="AF1562" s="1" t="s">
        <v>53</v>
      </c>
      <c r="AG1562" s="1" t="s">
        <v>53</v>
      </c>
      <c r="AH1562" s="1" t="s">
        <v>152</v>
      </c>
      <c r="AI1562" s="1" t="s">
        <v>55</v>
      </c>
      <c r="AJ1562" s="29">
        <v>63</v>
      </c>
      <c r="AK1562" s="29">
        <v>291</v>
      </c>
      <c r="AL1562" s="38">
        <v>0.753</v>
      </c>
      <c r="AM1562" s="29">
        <v>2.5</v>
      </c>
      <c r="AN1562" s="14">
        <f t="shared" si="128"/>
        <v>5.7901726427622844</v>
      </c>
      <c r="AO1562" s="6" t="s">
        <v>49</v>
      </c>
      <c r="AP1562" s="6">
        <v>1</v>
      </c>
      <c r="AQ1562" s="6" t="s">
        <v>49</v>
      </c>
      <c r="AR1562" s="6" t="s">
        <v>49</v>
      </c>
      <c r="AS1562" s="29">
        <v>4.3600000000000003</v>
      </c>
      <c r="AT1562" s="38">
        <f t="shared" si="129"/>
        <v>69.760000000000005</v>
      </c>
      <c r="AU1562" s="39">
        <v>0</v>
      </c>
      <c r="AV1562" s="38">
        <f t="shared" si="127"/>
        <v>22.882762284196549</v>
      </c>
      <c r="AW1562" s="29" t="s">
        <v>660</v>
      </c>
      <c r="AX1562" s="30"/>
      <c r="BE1562" s="37"/>
    </row>
    <row r="1563" spans="1:57">
      <c r="A1563" s="1">
        <v>84</v>
      </c>
      <c r="B1563" s="1" t="s">
        <v>38</v>
      </c>
      <c r="C1563" s="1" t="s">
        <v>49</v>
      </c>
      <c r="D1563" s="1" t="s">
        <v>652</v>
      </c>
      <c r="E1563" s="1" t="s">
        <v>71</v>
      </c>
      <c r="F1563" s="1">
        <v>2001</v>
      </c>
      <c r="G1563" s="1" t="s">
        <v>276</v>
      </c>
      <c r="H1563" s="1" t="s">
        <v>585</v>
      </c>
      <c r="I1563" s="1" t="s">
        <v>653</v>
      </c>
      <c r="J1563" s="1" t="s">
        <v>654</v>
      </c>
      <c r="K1563" s="1" t="s">
        <v>114</v>
      </c>
      <c r="L1563" s="3" t="s">
        <v>46</v>
      </c>
      <c r="M1563" s="1" t="s">
        <v>115</v>
      </c>
      <c r="N1563" s="1" t="s">
        <v>116</v>
      </c>
      <c r="O1563" s="1" t="s">
        <v>49</v>
      </c>
      <c r="P1563" s="1" t="s">
        <v>49</v>
      </c>
      <c r="Q1563" s="1" t="s">
        <v>49</v>
      </c>
      <c r="R1563" s="1">
        <v>0.5</v>
      </c>
      <c r="S1563" s="1" t="s">
        <v>294</v>
      </c>
      <c r="T1563" s="1" t="s">
        <v>655</v>
      </c>
      <c r="U1563" s="1" t="s">
        <v>656</v>
      </c>
      <c r="V1563" s="1" t="s">
        <v>657</v>
      </c>
      <c r="W1563" s="1">
        <v>43.77</v>
      </c>
      <c r="X1563" s="1">
        <v>3.87</v>
      </c>
      <c r="Y1563" s="1" t="s">
        <v>121</v>
      </c>
      <c r="Z1563" s="1" t="s">
        <v>49</v>
      </c>
      <c r="AA1563" s="1" t="s">
        <v>50</v>
      </c>
      <c r="AB1563" s="1" t="s">
        <v>658</v>
      </c>
      <c r="AC1563" s="1" t="s">
        <v>658</v>
      </c>
      <c r="AD1563" s="1" t="s">
        <v>667</v>
      </c>
      <c r="AE1563" s="1" t="s">
        <v>667</v>
      </c>
      <c r="AF1563" s="1" t="s">
        <v>53</v>
      </c>
      <c r="AG1563" s="1" t="s">
        <v>53</v>
      </c>
      <c r="AH1563" s="1" t="s">
        <v>152</v>
      </c>
      <c r="AI1563" s="1" t="s">
        <v>55</v>
      </c>
      <c r="AJ1563" s="29">
        <v>63</v>
      </c>
      <c r="AK1563" s="29">
        <v>291</v>
      </c>
      <c r="AL1563" s="38">
        <v>9.2999999999999999E-2</v>
      </c>
      <c r="AM1563" s="29">
        <v>60.8</v>
      </c>
      <c r="AN1563" s="14">
        <f t="shared" si="128"/>
        <v>192.36559139784947</v>
      </c>
      <c r="AO1563" s="6" t="s">
        <v>49</v>
      </c>
      <c r="AP1563" s="6">
        <v>1</v>
      </c>
      <c r="AQ1563" s="6" t="s">
        <v>49</v>
      </c>
      <c r="AR1563" s="6" t="s">
        <v>49</v>
      </c>
      <c r="AS1563" s="29">
        <v>17.89</v>
      </c>
      <c r="AT1563" s="38">
        <f t="shared" si="129"/>
        <v>0.48395299515235463</v>
      </c>
      <c r="AU1563" s="39">
        <v>0</v>
      </c>
      <c r="AV1563" s="38">
        <f t="shared" si="127"/>
        <v>4.7198426516471574</v>
      </c>
      <c r="AW1563" s="29" t="s">
        <v>660</v>
      </c>
      <c r="AX1563" s="30"/>
      <c r="BE1563" s="37"/>
    </row>
    <row r="1564" spans="1:57">
      <c r="A1564" s="1">
        <v>84</v>
      </c>
      <c r="B1564" s="1" t="s">
        <v>38</v>
      </c>
      <c r="C1564" s="1" t="s">
        <v>49</v>
      </c>
      <c r="D1564" s="1" t="s">
        <v>652</v>
      </c>
      <c r="E1564" s="1" t="s">
        <v>71</v>
      </c>
      <c r="F1564" s="1">
        <v>2001</v>
      </c>
      <c r="G1564" s="1" t="s">
        <v>276</v>
      </c>
      <c r="H1564" s="1" t="s">
        <v>585</v>
      </c>
      <c r="I1564" s="1" t="s">
        <v>653</v>
      </c>
      <c r="J1564" s="1" t="s">
        <v>654</v>
      </c>
      <c r="K1564" s="1" t="s">
        <v>114</v>
      </c>
      <c r="L1564" s="3" t="s">
        <v>46</v>
      </c>
      <c r="M1564" s="1" t="s">
        <v>115</v>
      </c>
      <c r="N1564" s="1" t="s">
        <v>116</v>
      </c>
      <c r="O1564" s="1" t="s">
        <v>49</v>
      </c>
      <c r="P1564" s="1" t="s">
        <v>49</v>
      </c>
      <c r="Q1564" s="1" t="s">
        <v>49</v>
      </c>
      <c r="R1564" s="1">
        <v>0.5</v>
      </c>
      <c r="S1564" s="1" t="s">
        <v>294</v>
      </c>
      <c r="T1564" s="1" t="s">
        <v>655</v>
      </c>
      <c r="U1564" s="1" t="s">
        <v>656</v>
      </c>
      <c r="V1564" s="1" t="s">
        <v>657</v>
      </c>
      <c r="W1564" s="1">
        <v>43.77</v>
      </c>
      <c r="X1564" s="1">
        <v>3.87</v>
      </c>
      <c r="Y1564" s="1" t="s">
        <v>121</v>
      </c>
      <c r="Z1564" s="1" t="s">
        <v>49</v>
      </c>
      <c r="AA1564" s="1" t="s">
        <v>50</v>
      </c>
      <c r="AB1564" s="1" t="s">
        <v>658</v>
      </c>
      <c r="AC1564" s="1" t="s">
        <v>658</v>
      </c>
      <c r="AD1564" s="1" t="s">
        <v>668</v>
      </c>
      <c r="AE1564" s="1" t="s">
        <v>668</v>
      </c>
      <c r="AF1564" s="1" t="s">
        <v>53</v>
      </c>
      <c r="AG1564" s="1" t="s">
        <v>53</v>
      </c>
      <c r="AH1564" s="1" t="s">
        <v>152</v>
      </c>
      <c r="AI1564" s="1" t="s">
        <v>55</v>
      </c>
      <c r="AJ1564" s="29">
        <v>63</v>
      </c>
      <c r="AK1564" s="29">
        <v>291</v>
      </c>
      <c r="AL1564" s="38">
        <v>7.2999999999999995E-2</v>
      </c>
      <c r="AM1564" s="29">
        <v>72.900000000000006</v>
      </c>
      <c r="AN1564" s="14">
        <f t="shared" si="128"/>
        <v>236.30136986301372</v>
      </c>
      <c r="AO1564" s="6" t="s">
        <v>49</v>
      </c>
      <c r="AP1564" s="6">
        <v>1</v>
      </c>
      <c r="AQ1564" s="6" t="s">
        <v>49</v>
      </c>
      <c r="AR1564" s="6" t="s">
        <v>49</v>
      </c>
      <c r="AS1564" s="29">
        <v>17.25</v>
      </c>
      <c r="AT1564" s="38">
        <f t="shared" si="129"/>
        <v>0.32458918299491379</v>
      </c>
      <c r="AU1564" s="39">
        <v>0</v>
      </c>
      <c r="AV1564" s="38">
        <f t="shared" si="127"/>
        <v>4.1218379813189738</v>
      </c>
      <c r="AW1564" s="29" t="s">
        <v>660</v>
      </c>
      <c r="AX1564" s="30"/>
      <c r="BE1564" s="37"/>
    </row>
    <row r="1565" spans="1:57">
      <c r="A1565" s="1">
        <v>84</v>
      </c>
      <c r="B1565" s="1" t="s">
        <v>38</v>
      </c>
      <c r="C1565" s="1" t="s">
        <v>49</v>
      </c>
      <c r="D1565" s="1" t="s">
        <v>652</v>
      </c>
      <c r="E1565" s="1" t="s">
        <v>71</v>
      </c>
      <c r="F1565" s="1">
        <v>2001</v>
      </c>
      <c r="G1565" s="1" t="s">
        <v>276</v>
      </c>
      <c r="H1565" s="1" t="s">
        <v>585</v>
      </c>
      <c r="I1565" s="1" t="s">
        <v>653</v>
      </c>
      <c r="J1565" s="1" t="s">
        <v>654</v>
      </c>
      <c r="K1565" s="1" t="s">
        <v>114</v>
      </c>
      <c r="L1565" s="3" t="s">
        <v>46</v>
      </c>
      <c r="M1565" s="1" t="s">
        <v>115</v>
      </c>
      <c r="N1565" s="1" t="s">
        <v>116</v>
      </c>
      <c r="O1565" s="1" t="s">
        <v>49</v>
      </c>
      <c r="P1565" s="1" t="s">
        <v>49</v>
      </c>
      <c r="Q1565" s="1" t="s">
        <v>49</v>
      </c>
      <c r="R1565" s="1">
        <v>0.5</v>
      </c>
      <c r="S1565" s="1" t="s">
        <v>294</v>
      </c>
      <c r="T1565" s="1" t="s">
        <v>655</v>
      </c>
      <c r="U1565" s="1" t="s">
        <v>656</v>
      </c>
      <c r="V1565" s="1" t="s">
        <v>657</v>
      </c>
      <c r="W1565" s="1">
        <v>43.77</v>
      </c>
      <c r="X1565" s="1">
        <v>3.87</v>
      </c>
      <c r="Y1565" s="1" t="s">
        <v>121</v>
      </c>
      <c r="Z1565" s="1" t="s">
        <v>49</v>
      </c>
      <c r="AA1565" s="1" t="s">
        <v>50</v>
      </c>
      <c r="AB1565" s="1" t="s">
        <v>292</v>
      </c>
      <c r="AC1565" s="1" t="s">
        <v>350</v>
      </c>
      <c r="AD1565" s="1" t="s">
        <v>669</v>
      </c>
      <c r="AE1565" s="1" t="s">
        <v>669</v>
      </c>
      <c r="AF1565" s="1" t="s">
        <v>60</v>
      </c>
      <c r="AG1565" s="1" t="s">
        <v>60</v>
      </c>
      <c r="AH1565" s="1" t="s">
        <v>152</v>
      </c>
      <c r="AI1565" s="1" t="s">
        <v>55</v>
      </c>
      <c r="AJ1565" s="29">
        <v>63</v>
      </c>
      <c r="AK1565" s="29">
        <v>291</v>
      </c>
      <c r="AL1565" s="38">
        <v>0.249</v>
      </c>
      <c r="AM1565" s="29">
        <v>13</v>
      </c>
      <c r="AN1565" s="14">
        <f t="shared" si="128"/>
        <v>49.959839357429715</v>
      </c>
      <c r="AO1565" s="6" t="s">
        <v>49</v>
      </c>
      <c r="AP1565" s="6">
        <v>1</v>
      </c>
      <c r="AQ1565" s="6" t="s">
        <v>49</v>
      </c>
      <c r="AR1565" s="6" t="s">
        <v>49</v>
      </c>
      <c r="AS1565" s="29">
        <v>12.44</v>
      </c>
      <c r="AT1565" s="38">
        <f t="shared" si="129"/>
        <v>7.3609467455621305</v>
      </c>
      <c r="AU1565" s="39">
        <v>0</v>
      </c>
      <c r="AV1565" s="38">
        <f t="shared" si="127"/>
        <v>22.201088377177349</v>
      </c>
      <c r="AW1565" s="29" t="s">
        <v>670</v>
      </c>
      <c r="AX1565" s="30"/>
      <c r="BE1565" s="1"/>
    </row>
    <row r="1566" spans="1:57">
      <c r="A1566" s="1">
        <v>84</v>
      </c>
      <c r="B1566" s="1" t="s">
        <v>38</v>
      </c>
      <c r="C1566" s="1" t="s">
        <v>49</v>
      </c>
      <c r="D1566" s="1" t="s">
        <v>652</v>
      </c>
      <c r="E1566" s="1" t="s">
        <v>71</v>
      </c>
      <c r="F1566" s="1">
        <v>2001</v>
      </c>
      <c r="G1566" s="1" t="s">
        <v>276</v>
      </c>
      <c r="H1566" s="1" t="s">
        <v>585</v>
      </c>
      <c r="I1566" s="1" t="s">
        <v>653</v>
      </c>
      <c r="J1566" s="1" t="s">
        <v>654</v>
      </c>
      <c r="K1566" s="1" t="s">
        <v>114</v>
      </c>
      <c r="L1566" s="3" t="s">
        <v>46</v>
      </c>
      <c r="M1566" s="1" t="s">
        <v>115</v>
      </c>
      <c r="N1566" s="1" t="s">
        <v>116</v>
      </c>
      <c r="O1566" s="1" t="s">
        <v>49</v>
      </c>
      <c r="P1566" s="1" t="s">
        <v>49</v>
      </c>
      <c r="Q1566" s="1" t="s">
        <v>49</v>
      </c>
      <c r="R1566" s="1">
        <v>0.5</v>
      </c>
      <c r="S1566" s="1" t="s">
        <v>294</v>
      </c>
      <c r="T1566" s="1" t="s">
        <v>655</v>
      </c>
      <c r="U1566" s="1" t="s">
        <v>656</v>
      </c>
      <c r="V1566" s="1" t="s">
        <v>657</v>
      </c>
      <c r="W1566" s="1">
        <v>43.77</v>
      </c>
      <c r="X1566" s="1">
        <v>3.87</v>
      </c>
      <c r="Y1566" s="1" t="s">
        <v>121</v>
      </c>
      <c r="Z1566" s="1" t="s">
        <v>49</v>
      </c>
      <c r="AA1566" s="1" t="s">
        <v>50</v>
      </c>
      <c r="AB1566" s="1" t="s">
        <v>292</v>
      </c>
      <c r="AC1566" s="1" t="s">
        <v>350</v>
      </c>
      <c r="AD1566" s="1" t="s">
        <v>671</v>
      </c>
      <c r="AE1566" s="1" t="s">
        <v>671</v>
      </c>
      <c r="AF1566" s="1" t="s">
        <v>60</v>
      </c>
      <c r="AG1566" s="1" t="s">
        <v>60</v>
      </c>
      <c r="AH1566" s="1" t="s">
        <v>152</v>
      </c>
      <c r="AI1566" s="1" t="s">
        <v>55</v>
      </c>
      <c r="AJ1566" s="29">
        <v>63</v>
      </c>
      <c r="AK1566" s="29">
        <v>291</v>
      </c>
      <c r="AL1566" s="38">
        <v>0.73699999999999999</v>
      </c>
      <c r="AM1566" s="29">
        <v>3</v>
      </c>
      <c r="AN1566" s="14">
        <f t="shared" si="128"/>
        <v>16.499321573948439</v>
      </c>
      <c r="AO1566" s="6" t="s">
        <v>49</v>
      </c>
      <c r="AP1566" s="6">
        <v>1</v>
      </c>
      <c r="AQ1566" s="6" t="s">
        <v>49</v>
      </c>
      <c r="AR1566" s="6" t="s">
        <v>49</v>
      </c>
      <c r="AS1566" s="29">
        <v>12.16</v>
      </c>
      <c r="AT1566" s="38">
        <f t="shared" si="129"/>
        <v>135.11111111111111</v>
      </c>
      <c r="AU1566" s="39">
        <v>0</v>
      </c>
      <c r="AV1566" s="38">
        <f t="shared" si="127"/>
        <v>48.21468415498267</v>
      </c>
      <c r="AW1566" s="29" t="s">
        <v>670</v>
      </c>
      <c r="AX1566" s="30"/>
      <c r="BE1566" s="1"/>
    </row>
    <row r="1567" spans="1:57">
      <c r="A1567" s="1">
        <v>84</v>
      </c>
      <c r="B1567" s="1" t="s">
        <v>38</v>
      </c>
      <c r="C1567" s="1" t="s">
        <v>49</v>
      </c>
      <c r="D1567" s="1" t="s">
        <v>652</v>
      </c>
      <c r="E1567" s="1" t="s">
        <v>71</v>
      </c>
      <c r="F1567" s="1">
        <v>2001</v>
      </c>
      <c r="G1567" s="1" t="s">
        <v>276</v>
      </c>
      <c r="H1567" s="1" t="s">
        <v>585</v>
      </c>
      <c r="I1567" s="1" t="s">
        <v>653</v>
      </c>
      <c r="J1567" s="1" t="s">
        <v>654</v>
      </c>
      <c r="K1567" s="1" t="s">
        <v>114</v>
      </c>
      <c r="L1567" s="3" t="s">
        <v>46</v>
      </c>
      <c r="M1567" s="1" t="s">
        <v>115</v>
      </c>
      <c r="N1567" s="1" t="s">
        <v>116</v>
      </c>
      <c r="O1567" s="1" t="s">
        <v>49</v>
      </c>
      <c r="P1567" s="1" t="s">
        <v>49</v>
      </c>
      <c r="Q1567" s="1" t="s">
        <v>49</v>
      </c>
      <c r="R1567" s="1">
        <v>0.5</v>
      </c>
      <c r="S1567" s="1" t="s">
        <v>294</v>
      </c>
      <c r="T1567" s="1" t="s">
        <v>655</v>
      </c>
      <c r="U1567" s="1" t="s">
        <v>656</v>
      </c>
      <c r="V1567" s="1" t="s">
        <v>657</v>
      </c>
      <c r="W1567" s="1">
        <v>43.77</v>
      </c>
      <c r="X1567" s="1">
        <v>3.87</v>
      </c>
      <c r="Y1567" s="1" t="s">
        <v>121</v>
      </c>
      <c r="Z1567" s="1" t="s">
        <v>49</v>
      </c>
      <c r="AA1567" s="1" t="s">
        <v>50</v>
      </c>
      <c r="AB1567" s="1" t="s">
        <v>292</v>
      </c>
      <c r="AC1567" s="1" t="s">
        <v>350</v>
      </c>
      <c r="AD1567" s="1" t="s">
        <v>672</v>
      </c>
      <c r="AE1567" s="1" t="s">
        <v>672</v>
      </c>
      <c r="AF1567" s="1" t="s">
        <v>60</v>
      </c>
      <c r="AG1567" s="1" t="s">
        <v>60</v>
      </c>
      <c r="AH1567" s="1" t="s">
        <v>152</v>
      </c>
      <c r="AI1567" s="1" t="s">
        <v>55</v>
      </c>
      <c r="AJ1567" s="29">
        <v>63</v>
      </c>
      <c r="AK1567" s="29">
        <v>291</v>
      </c>
      <c r="AL1567" s="38">
        <v>0.26600000000000001</v>
      </c>
      <c r="AM1567" s="29">
        <v>83</v>
      </c>
      <c r="AN1567" s="14">
        <f t="shared" si="128"/>
        <v>70.827067669172934</v>
      </c>
      <c r="AO1567" s="6" t="s">
        <v>49</v>
      </c>
      <c r="AP1567" s="6">
        <v>1</v>
      </c>
      <c r="AQ1567" s="6" t="s">
        <v>49</v>
      </c>
      <c r="AR1567" s="6" t="s">
        <v>49</v>
      </c>
      <c r="AS1567" s="29">
        <v>18.84</v>
      </c>
      <c r="AT1567" s="38">
        <f t="shared" si="129"/>
        <v>0.27347946000870954</v>
      </c>
      <c r="AU1567" s="39">
        <v>0</v>
      </c>
      <c r="AV1567" s="38">
        <f t="shared" si="127"/>
        <v>0.7546388107007248</v>
      </c>
      <c r="AW1567" s="29" t="s">
        <v>670</v>
      </c>
      <c r="AX1567" s="30"/>
      <c r="BE1567" s="1"/>
    </row>
    <row r="1568" spans="1:57">
      <c r="A1568" s="1">
        <v>84</v>
      </c>
      <c r="B1568" s="1" t="s">
        <v>38</v>
      </c>
      <c r="C1568" s="1" t="s">
        <v>49</v>
      </c>
      <c r="D1568" s="1" t="s">
        <v>652</v>
      </c>
      <c r="E1568" s="1" t="s">
        <v>71</v>
      </c>
      <c r="F1568" s="1">
        <v>2001</v>
      </c>
      <c r="G1568" s="1" t="s">
        <v>276</v>
      </c>
      <c r="H1568" s="1" t="s">
        <v>585</v>
      </c>
      <c r="I1568" s="1" t="s">
        <v>653</v>
      </c>
      <c r="J1568" s="1" t="s">
        <v>654</v>
      </c>
      <c r="K1568" s="1" t="s">
        <v>114</v>
      </c>
      <c r="L1568" s="3" t="s">
        <v>46</v>
      </c>
      <c r="M1568" s="1" t="s">
        <v>115</v>
      </c>
      <c r="N1568" s="1" t="s">
        <v>116</v>
      </c>
      <c r="O1568" s="1" t="s">
        <v>49</v>
      </c>
      <c r="P1568" s="1" t="s">
        <v>49</v>
      </c>
      <c r="Q1568" s="1" t="s">
        <v>49</v>
      </c>
      <c r="R1568" s="1">
        <v>0.5</v>
      </c>
      <c r="S1568" s="1" t="s">
        <v>294</v>
      </c>
      <c r="T1568" s="1" t="s">
        <v>655</v>
      </c>
      <c r="U1568" s="1" t="s">
        <v>656</v>
      </c>
      <c r="V1568" s="1" t="s">
        <v>657</v>
      </c>
      <c r="W1568" s="1">
        <v>43.77</v>
      </c>
      <c r="X1568" s="1">
        <v>3.87</v>
      </c>
      <c r="Y1568" s="1" t="s">
        <v>121</v>
      </c>
      <c r="Z1568" s="1" t="s">
        <v>49</v>
      </c>
      <c r="AA1568" s="6" t="s">
        <v>49</v>
      </c>
      <c r="AB1568" s="6" t="s">
        <v>49</v>
      </c>
      <c r="AC1568" s="6" t="s">
        <v>49</v>
      </c>
      <c r="AD1568" s="1" t="s">
        <v>659</v>
      </c>
      <c r="AE1568" s="1" t="s">
        <v>661</v>
      </c>
      <c r="AF1568" s="6" t="s">
        <v>49</v>
      </c>
      <c r="AG1568" s="6" t="s">
        <v>49</v>
      </c>
      <c r="AH1568" s="1" t="s">
        <v>152</v>
      </c>
      <c r="AI1568" s="1" t="s">
        <v>55</v>
      </c>
      <c r="AJ1568" s="20" t="s">
        <v>49</v>
      </c>
      <c r="AK1568" s="20" t="s">
        <v>49</v>
      </c>
      <c r="AL1568" s="20" t="s">
        <v>49</v>
      </c>
      <c r="AM1568" s="20" t="s">
        <v>49</v>
      </c>
      <c r="AN1568" s="1" t="s">
        <v>49</v>
      </c>
      <c r="AO1568" s="1" t="s">
        <v>49</v>
      </c>
      <c r="AP1568" s="6">
        <v>1</v>
      </c>
      <c r="AQ1568" s="6">
        <v>0.39</v>
      </c>
      <c r="AR1568" s="6" t="s">
        <v>49</v>
      </c>
      <c r="AS1568" s="6" t="s">
        <v>49</v>
      </c>
      <c r="AT1568" s="6" t="s">
        <v>49</v>
      </c>
      <c r="AU1568" s="6" t="s">
        <v>49</v>
      </c>
      <c r="AV1568" s="6" t="s">
        <v>49</v>
      </c>
      <c r="AW1568" s="29" t="s">
        <v>673</v>
      </c>
    </row>
    <row r="1569" spans="1:49">
      <c r="A1569" s="1">
        <v>84</v>
      </c>
      <c r="B1569" s="1" t="s">
        <v>38</v>
      </c>
      <c r="C1569" s="1" t="s">
        <v>49</v>
      </c>
      <c r="D1569" s="1" t="s">
        <v>652</v>
      </c>
      <c r="E1569" s="1" t="s">
        <v>71</v>
      </c>
      <c r="F1569" s="1">
        <v>2001</v>
      </c>
      <c r="G1569" s="1" t="s">
        <v>276</v>
      </c>
      <c r="H1569" s="1" t="s">
        <v>585</v>
      </c>
      <c r="I1569" s="1" t="s">
        <v>653</v>
      </c>
      <c r="J1569" s="1" t="s">
        <v>654</v>
      </c>
      <c r="K1569" s="1" t="s">
        <v>114</v>
      </c>
      <c r="L1569" s="3" t="s">
        <v>46</v>
      </c>
      <c r="M1569" s="1" t="s">
        <v>115</v>
      </c>
      <c r="N1569" s="1" t="s">
        <v>116</v>
      </c>
      <c r="O1569" s="1" t="s">
        <v>49</v>
      </c>
      <c r="P1569" s="1" t="s">
        <v>49</v>
      </c>
      <c r="Q1569" s="1" t="s">
        <v>49</v>
      </c>
      <c r="R1569" s="1">
        <v>0.5</v>
      </c>
      <c r="S1569" s="1" t="s">
        <v>294</v>
      </c>
      <c r="T1569" s="1" t="s">
        <v>655</v>
      </c>
      <c r="U1569" s="1" t="s">
        <v>656</v>
      </c>
      <c r="V1569" s="1" t="s">
        <v>657</v>
      </c>
      <c r="W1569" s="1">
        <v>43.77</v>
      </c>
      <c r="X1569" s="1">
        <v>3.87</v>
      </c>
      <c r="Y1569" s="1" t="s">
        <v>121</v>
      </c>
      <c r="Z1569" s="1" t="s">
        <v>49</v>
      </c>
      <c r="AA1569" s="6" t="s">
        <v>49</v>
      </c>
      <c r="AB1569" s="6" t="s">
        <v>49</v>
      </c>
      <c r="AC1569" s="6" t="s">
        <v>49</v>
      </c>
      <c r="AD1569" s="1" t="s">
        <v>659</v>
      </c>
      <c r="AE1569" s="1" t="s">
        <v>662</v>
      </c>
      <c r="AF1569" s="6" t="s">
        <v>49</v>
      </c>
      <c r="AG1569" s="6" t="s">
        <v>49</v>
      </c>
      <c r="AH1569" s="1" t="s">
        <v>152</v>
      </c>
      <c r="AI1569" s="1" t="s">
        <v>55</v>
      </c>
      <c r="AJ1569" s="20" t="s">
        <v>49</v>
      </c>
      <c r="AK1569" s="20" t="s">
        <v>49</v>
      </c>
      <c r="AL1569" s="20" t="s">
        <v>49</v>
      </c>
      <c r="AM1569" s="20" t="s">
        <v>49</v>
      </c>
      <c r="AN1569" s="1" t="s">
        <v>49</v>
      </c>
      <c r="AO1569" s="1" t="s">
        <v>49</v>
      </c>
      <c r="AP1569" s="6">
        <v>1</v>
      </c>
      <c r="AQ1569" s="6">
        <v>0.95</v>
      </c>
      <c r="AR1569" s="6" t="s">
        <v>49</v>
      </c>
      <c r="AS1569" s="6" t="s">
        <v>49</v>
      </c>
      <c r="AT1569" s="6" t="s">
        <v>49</v>
      </c>
      <c r="AU1569" s="6" t="s">
        <v>49</v>
      </c>
      <c r="AV1569" s="6" t="s">
        <v>49</v>
      </c>
      <c r="AW1569" s="29" t="s">
        <v>673</v>
      </c>
    </row>
    <row r="1570" spans="1:49">
      <c r="A1570" s="1">
        <v>84</v>
      </c>
      <c r="B1570" s="1" t="s">
        <v>38</v>
      </c>
      <c r="C1570" s="1" t="s">
        <v>49</v>
      </c>
      <c r="D1570" s="1" t="s">
        <v>652</v>
      </c>
      <c r="E1570" s="1" t="s">
        <v>71</v>
      </c>
      <c r="F1570" s="1">
        <v>2001</v>
      </c>
      <c r="G1570" s="1" t="s">
        <v>276</v>
      </c>
      <c r="H1570" s="1" t="s">
        <v>585</v>
      </c>
      <c r="I1570" s="1" t="s">
        <v>653</v>
      </c>
      <c r="J1570" s="1" t="s">
        <v>654</v>
      </c>
      <c r="K1570" s="1" t="s">
        <v>114</v>
      </c>
      <c r="L1570" s="3" t="s">
        <v>46</v>
      </c>
      <c r="M1570" s="1" t="s">
        <v>115</v>
      </c>
      <c r="N1570" s="1" t="s">
        <v>116</v>
      </c>
      <c r="O1570" s="1" t="s">
        <v>49</v>
      </c>
      <c r="P1570" s="1" t="s">
        <v>49</v>
      </c>
      <c r="Q1570" s="1" t="s">
        <v>49</v>
      </c>
      <c r="R1570" s="1">
        <v>0.5</v>
      </c>
      <c r="S1570" s="1" t="s">
        <v>294</v>
      </c>
      <c r="T1570" s="1" t="s">
        <v>655</v>
      </c>
      <c r="U1570" s="1" t="s">
        <v>656</v>
      </c>
      <c r="V1570" s="1" t="s">
        <v>657</v>
      </c>
      <c r="W1570" s="1">
        <v>43.77</v>
      </c>
      <c r="X1570" s="1">
        <v>3.87</v>
      </c>
      <c r="Y1570" s="1" t="s">
        <v>121</v>
      </c>
      <c r="Z1570" s="1" t="s">
        <v>49</v>
      </c>
      <c r="AA1570" s="6" t="s">
        <v>49</v>
      </c>
      <c r="AB1570" s="6" t="s">
        <v>49</v>
      </c>
      <c r="AC1570" s="6" t="s">
        <v>49</v>
      </c>
      <c r="AD1570" s="1" t="s">
        <v>659</v>
      </c>
      <c r="AE1570" s="1" t="s">
        <v>663</v>
      </c>
      <c r="AF1570" s="6" t="s">
        <v>49</v>
      </c>
      <c r="AG1570" s="6" t="s">
        <v>49</v>
      </c>
      <c r="AH1570" s="1" t="s">
        <v>152</v>
      </c>
      <c r="AI1570" s="1" t="s">
        <v>55</v>
      </c>
      <c r="AJ1570" s="20" t="s">
        <v>49</v>
      </c>
      <c r="AK1570" s="20" t="s">
        <v>49</v>
      </c>
      <c r="AL1570" s="20" t="s">
        <v>49</v>
      </c>
      <c r="AM1570" s="20" t="s">
        <v>49</v>
      </c>
      <c r="AN1570" s="1" t="s">
        <v>49</v>
      </c>
      <c r="AO1570" s="1" t="s">
        <v>49</v>
      </c>
      <c r="AP1570" s="6">
        <v>1</v>
      </c>
      <c r="AQ1570" s="6">
        <v>0.61</v>
      </c>
      <c r="AR1570" s="6" t="s">
        <v>49</v>
      </c>
      <c r="AS1570" s="6" t="s">
        <v>49</v>
      </c>
      <c r="AT1570" s="6" t="s">
        <v>49</v>
      </c>
      <c r="AU1570" s="6" t="s">
        <v>49</v>
      </c>
      <c r="AV1570" s="6" t="s">
        <v>49</v>
      </c>
      <c r="AW1570" s="29" t="s">
        <v>673</v>
      </c>
    </row>
    <row r="1571" spans="1:49">
      <c r="A1571" s="1">
        <v>84</v>
      </c>
      <c r="B1571" s="1" t="s">
        <v>38</v>
      </c>
      <c r="C1571" s="1" t="s">
        <v>49</v>
      </c>
      <c r="D1571" s="1" t="s">
        <v>652</v>
      </c>
      <c r="E1571" s="1" t="s">
        <v>71</v>
      </c>
      <c r="F1571" s="1">
        <v>2001</v>
      </c>
      <c r="G1571" s="1" t="s">
        <v>276</v>
      </c>
      <c r="H1571" s="1" t="s">
        <v>585</v>
      </c>
      <c r="I1571" s="1" t="s">
        <v>653</v>
      </c>
      <c r="J1571" s="1" t="s">
        <v>654</v>
      </c>
      <c r="K1571" s="1" t="s">
        <v>114</v>
      </c>
      <c r="L1571" s="3" t="s">
        <v>46</v>
      </c>
      <c r="M1571" s="1" t="s">
        <v>115</v>
      </c>
      <c r="N1571" s="1" t="s">
        <v>116</v>
      </c>
      <c r="O1571" s="1" t="s">
        <v>49</v>
      </c>
      <c r="P1571" s="1" t="s">
        <v>49</v>
      </c>
      <c r="Q1571" s="1" t="s">
        <v>49</v>
      </c>
      <c r="R1571" s="1">
        <v>0.5</v>
      </c>
      <c r="S1571" s="1" t="s">
        <v>294</v>
      </c>
      <c r="T1571" s="1" t="s">
        <v>655</v>
      </c>
      <c r="U1571" s="1" t="s">
        <v>656</v>
      </c>
      <c r="V1571" s="1" t="s">
        <v>657</v>
      </c>
      <c r="W1571" s="1">
        <v>43.77</v>
      </c>
      <c r="X1571" s="1">
        <v>3.87</v>
      </c>
      <c r="Y1571" s="1" t="s">
        <v>121</v>
      </c>
      <c r="Z1571" s="1" t="s">
        <v>49</v>
      </c>
      <c r="AA1571" s="6" t="s">
        <v>49</v>
      </c>
      <c r="AB1571" s="6" t="s">
        <v>49</v>
      </c>
      <c r="AC1571" s="6" t="s">
        <v>49</v>
      </c>
      <c r="AD1571" s="1" t="s">
        <v>659</v>
      </c>
      <c r="AE1571" s="1" t="s">
        <v>664</v>
      </c>
      <c r="AF1571" s="6" t="s">
        <v>49</v>
      </c>
      <c r="AG1571" s="6" t="s">
        <v>49</v>
      </c>
      <c r="AH1571" s="1" t="s">
        <v>152</v>
      </c>
      <c r="AI1571" s="1" t="s">
        <v>55</v>
      </c>
      <c r="AJ1571" s="20" t="s">
        <v>49</v>
      </c>
      <c r="AK1571" s="20" t="s">
        <v>49</v>
      </c>
      <c r="AL1571" s="20" t="s">
        <v>49</v>
      </c>
      <c r="AM1571" s="20" t="s">
        <v>49</v>
      </c>
      <c r="AN1571" s="1" t="s">
        <v>49</v>
      </c>
      <c r="AO1571" s="1" t="s">
        <v>49</v>
      </c>
      <c r="AP1571" s="6">
        <v>1</v>
      </c>
      <c r="AQ1571" s="6">
        <v>0.47</v>
      </c>
      <c r="AR1571" s="6" t="s">
        <v>49</v>
      </c>
      <c r="AS1571" s="6" t="s">
        <v>49</v>
      </c>
      <c r="AT1571" s="6" t="s">
        <v>49</v>
      </c>
      <c r="AU1571" s="6" t="s">
        <v>49</v>
      </c>
      <c r="AV1571" s="6" t="s">
        <v>49</v>
      </c>
      <c r="AW1571" s="29" t="s">
        <v>673</v>
      </c>
    </row>
    <row r="1572" spans="1:49">
      <c r="A1572" s="1">
        <v>84</v>
      </c>
      <c r="B1572" s="1" t="s">
        <v>38</v>
      </c>
      <c r="C1572" s="1" t="s">
        <v>49</v>
      </c>
      <c r="D1572" s="1" t="s">
        <v>652</v>
      </c>
      <c r="E1572" s="1" t="s">
        <v>71</v>
      </c>
      <c r="F1572" s="1">
        <v>2001</v>
      </c>
      <c r="G1572" s="1" t="s">
        <v>276</v>
      </c>
      <c r="H1572" s="1" t="s">
        <v>585</v>
      </c>
      <c r="I1572" s="1" t="s">
        <v>653</v>
      </c>
      <c r="J1572" s="1" t="s">
        <v>654</v>
      </c>
      <c r="K1572" s="1" t="s">
        <v>114</v>
      </c>
      <c r="L1572" s="3" t="s">
        <v>46</v>
      </c>
      <c r="M1572" s="1" t="s">
        <v>115</v>
      </c>
      <c r="N1572" s="1" t="s">
        <v>116</v>
      </c>
      <c r="O1572" s="1" t="s">
        <v>49</v>
      </c>
      <c r="P1572" s="1" t="s">
        <v>49</v>
      </c>
      <c r="Q1572" s="1" t="s">
        <v>49</v>
      </c>
      <c r="R1572" s="1">
        <v>0.5</v>
      </c>
      <c r="S1572" s="1" t="s">
        <v>294</v>
      </c>
      <c r="T1572" s="1" t="s">
        <v>655</v>
      </c>
      <c r="U1572" s="1" t="s">
        <v>656</v>
      </c>
      <c r="V1572" s="1" t="s">
        <v>657</v>
      </c>
      <c r="W1572" s="1">
        <v>43.77</v>
      </c>
      <c r="X1572" s="1">
        <v>3.87</v>
      </c>
      <c r="Y1572" s="1" t="s">
        <v>121</v>
      </c>
      <c r="Z1572" s="1" t="s">
        <v>49</v>
      </c>
      <c r="AA1572" s="6" t="s">
        <v>49</v>
      </c>
      <c r="AB1572" s="6" t="s">
        <v>49</v>
      </c>
      <c r="AC1572" s="6" t="s">
        <v>49</v>
      </c>
      <c r="AD1572" s="1" t="s">
        <v>659</v>
      </c>
      <c r="AE1572" s="1" t="s">
        <v>666</v>
      </c>
      <c r="AF1572" s="6" t="s">
        <v>49</v>
      </c>
      <c r="AG1572" s="6" t="s">
        <v>49</v>
      </c>
      <c r="AH1572" s="1" t="s">
        <v>152</v>
      </c>
      <c r="AI1572" s="1" t="s">
        <v>55</v>
      </c>
      <c r="AJ1572" s="20" t="s">
        <v>49</v>
      </c>
      <c r="AK1572" s="20" t="s">
        <v>49</v>
      </c>
      <c r="AL1572" s="20" t="s">
        <v>49</v>
      </c>
      <c r="AM1572" s="20" t="s">
        <v>49</v>
      </c>
      <c r="AN1572" s="1" t="s">
        <v>49</v>
      </c>
      <c r="AO1572" s="1" t="s">
        <v>49</v>
      </c>
      <c r="AP1572" s="6">
        <v>1</v>
      </c>
      <c r="AQ1572" s="6">
        <v>0.05</v>
      </c>
      <c r="AR1572" s="6" t="s">
        <v>49</v>
      </c>
      <c r="AS1572" s="6" t="s">
        <v>49</v>
      </c>
      <c r="AT1572" s="6" t="s">
        <v>49</v>
      </c>
      <c r="AU1572" s="6" t="s">
        <v>49</v>
      </c>
      <c r="AV1572" s="6" t="s">
        <v>49</v>
      </c>
      <c r="AW1572" s="29" t="s">
        <v>673</v>
      </c>
    </row>
    <row r="1573" spans="1:49">
      <c r="A1573" s="1">
        <v>84</v>
      </c>
      <c r="B1573" s="1" t="s">
        <v>38</v>
      </c>
      <c r="C1573" s="1" t="s">
        <v>49</v>
      </c>
      <c r="D1573" s="1" t="s">
        <v>652</v>
      </c>
      <c r="E1573" s="1" t="s">
        <v>71</v>
      </c>
      <c r="F1573" s="1">
        <v>2001</v>
      </c>
      <c r="G1573" s="1" t="s">
        <v>276</v>
      </c>
      <c r="H1573" s="1" t="s">
        <v>585</v>
      </c>
      <c r="I1573" s="1" t="s">
        <v>653</v>
      </c>
      <c r="J1573" s="1" t="s">
        <v>654</v>
      </c>
      <c r="K1573" s="1" t="s">
        <v>114</v>
      </c>
      <c r="L1573" s="3" t="s">
        <v>46</v>
      </c>
      <c r="M1573" s="1" t="s">
        <v>115</v>
      </c>
      <c r="N1573" s="1" t="s">
        <v>116</v>
      </c>
      <c r="O1573" s="1" t="s">
        <v>49</v>
      </c>
      <c r="P1573" s="1" t="s">
        <v>49</v>
      </c>
      <c r="Q1573" s="1" t="s">
        <v>49</v>
      </c>
      <c r="R1573" s="1">
        <v>0.5</v>
      </c>
      <c r="S1573" s="1" t="s">
        <v>294</v>
      </c>
      <c r="T1573" s="1" t="s">
        <v>655</v>
      </c>
      <c r="U1573" s="1" t="s">
        <v>656</v>
      </c>
      <c r="V1573" s="1" t="s">
        <v>657</v>
      </c>
      <c r="W1573" s="1">
        <v>43.77</v>
      </c>
      <c r="X1573" s="1">
        <v>3.87</v>
      </c>
      <c r="Y1573" s="1" t="s">
        <v>121</v>
      </c>
      <c r="Z1573" s="1" t="s">
        <v>49</v>
      </c>
      <c r="AA1573" s="6" t="s">
        <v>49</v>
      </c>
      <c r="AB1573" s="6" t="s">
        <v>49</v>
      </c>
      <c r="AC1573" s="6" t="s">
        <v>49</v>
      </c>
      <c r="AD1573" s="1" t="s">
        <v>659</v>
      </c>
      <c r="AE1573" s="1" t="s">
        <v>669</v>
      </c>
      <c r="AF1573" s="6" t="s">
        <v>49</v>
      </c>
      <c r="AG1573" s="6" t="s">
        <v>49</v>
      </c>
      <c r="AH1573" s="1" t="s">
        <v>152</v>
      </c>
      <c r="AI1573" s="1" t="s">
        <v>55</v>
      </c>
      <c r="AJ1573" s="20" t="s">
        <v>49</v>
      </c>
      <c r="AK1573" s="20" t="s">
        <v>49</v>
      </c>
      <c r="AL1573" s="20" t="s">
        <v>49</v>
      </c>
      <c r="AM1573" s="20" t="s">
        <v>49</v>
      </c>
      <c r="AN1573" s="1" t="s">
        <v>49</v>
      </c>
      <c r="AO1573" s="1" t="s">
        <v>49</v>
      </c>
      <c r="AP1573" s="6">
        <v>1</v>
      </c>
      <c r="AQ1573" s="6">
        <v>-0.6</v>
      </c>
      <c r="AR1573" s="6" t="s">
        <v>49</v>
      </c>
      <c r="AS1573" s="6" t="s">
        <v>49</v>
      </c>
      <c r="AT1573" s="6" t="s">
        <v>49</v>
      </c>
      <c r="AU1573" s="6" t="s">
        <v>49</v>
      </c>
      <c r="AV1573" s="6" t="s">
        <v>49</v>
      </c>
      <c r="AW1573" s="29" t="s">
        <v>673</v>
      </c>
    </row>
    <row r="1574" spans="1:49">
      <c r="A1574" s="1">
        <v>84</v>
      </c>
      <c r="B1574" s="1" t="s">
        <v>38</v>
      </c>
      <c r="C1574" s="1" t="s">
        <v>49</v>
      </c>
      <c r="D1574" s="1" t="s">
        <v>652</v>
      </c>
      <c r="E1574" s="1" t="s">
        <v>71</v>
      </c>
      <c r="F1574" s="1">
        <v>2001</v>
      </c>
      <c r="G1574" s="1" t="s">
        <v>276</v>
      </c>
      <c r="H1574" s="1" t="s">
        <v>585</v>
      </c>
      <c r="I1574" s="1" t="s">
        <v>653</v>
      </c>
      <c r="J1574" s="1" t="s">
        <v>654</v>
      </c>
      <c r="K1574" s="1" t="s">
        <v>114</v>
      </c>
      <c r="L1574" s="3" t="s">
        <v>46</v>
      </c>
      <c r="M1574" s="1" t="s">
        <v>115</v>
      </c>
      <c r="N1574" s="1" t="s">
        <v>116</v>
      </c>
      <c r="O1574" s="1" t="s">
        <v>49</v>
      </c>
      <c r="P1574" s="1" t="s">
        <v>49</v>
      </c>
      <c r="Q1574" s="1" t="s">
        <v>49</v>
      </c>
      <c r="R1574" s="1">
        <v>0.5</v>
      </c>
      <c r="S1574" s="1" t="s">
        <v>294</v>
      </c>
      <c r="T1574" s="1" t="s">
        <v>655</v>
      </c>
      <c r="U1574" s="1" t="s">
        <v>656</v>
      </c>
      <c r="V1574" s="1" t="s">
        <v>657</v>
      </c>
      <c r="W1574" s="1">
        <v>43.77</v>
      </c>
      <c r="X1574" s="1">
        <v>3.87</v>
      </c>
      <c r="Y1574" s="1" t="s">
        <v>121</v>
      </c>
      <c r="Z1574" s="1" t="s">
        <v>49</v>
      </c>
      <c r="AA1574" s="6" t="s">
        <v>49</v>
      </c>
      <c r="AB1574" s="6" t="s">
        <v>49</v>
      </c>
      <c r="AC1574" s="6" t="s">
        <v>49</v>
      </c>
      <c r="AD1574" s="1" t="s">
        <v>659</v>
      </c>
      <c r="AE1574" s="1" t="s">
        <v>671</v>
      </c>
      <c r="AF1574" s="6" t="s">
        <v>49</v>
      </c>
      <c r="AG1574" s="6" t="s">
        <v>49</v>
      </c>
      <c r="AH1574" s="1" t="s">
        <v>152</v>
      </c>
      <c r="AI1574" s="1" t="s">
        <v>55</v>
      </c>
      <c r="AJ1574" s="20" t="s">
        <v>49</v>
      </c>
      <c r="AK1574" s="20" t="s">
        <v>49</v>
      </c>
      <c r="AL1574" s="20" t="s">
        <v>49</v>
      </c>
      <c r="AM1574" s="20" t="s">
        <v>49</v>
      </c>
      <c r="AN1574" s="1" t="s">
        <v>49</v>
      </c>
      <c r="AO1574" s="1" t="s">
        <v>49</v>
      </c>
      <c r="AP1574" s="6">
        <v>1</v>
      </c>
      <c r="AQ1574" s="6">
        <v>-0.09</v>
      </c>
      <c r="AR1574" s="6" t="s">
        <v>49</v>
      </c>
      <c r="AS1574" s="6" t="s">
        <v>49</v>
      </c>
      <c r="AT1574" s="6" t="s">
        <v>49</v>
      </c>
      <c r="AU1574" s="6" t="s">
        <v>49</v>
      </c>
      <c r="AV1574" s="6" t="s">
        <v>49</v>
      </c>
      <c r="AW1574" s="29" t="s">
        <v>673</v>
      </c>
    </row>
    <row r="1575" spans="1:49">
      <c r="A1575" s="1">
        <v>84</v>
      </c>
      <c r="B1575" s="1" t="s">
        <v>38</v>
      </c>
      <c r="C1575" s="1" t="s">
        <v>49</v>
      </c>
      <c r="D1575" s="1" t="s">
        <v>652</v>
      </c>
      <c r="E1575" s="1" t="s">
        <v>71</v>
      </c>
      <c r="F1575" s="1">
        <v>2001</v>
      </c>
      <c r="G1575" s="1" t="s">
        <v>276</v>
      </c>
      <c r="H1575" s="1" t="s">
        <v>585</v>
      </c>
      <c r="I1575" s="1" t="s">
        <v>653</v>
      </c>
      <c r="J1575" s="1" t="s">
        <v>654</v>
      </c>
      <c r="K1575" s="1" t="s">
        <v>114</v>
      </c>
      <c r="L1575" s="3" t="s">
        <v>46</v>
      </c>
      <c r="M1575" s="1" t="s">
        <v>115</v>
      </c>
      <c r="N1575" s="1" t="s">
        <v>116</v>
      </c>
      <c r="O1575" s="1" t="s">
        <v>49</v>
      </c>
      <c r="P1575" s="1" t="s">
        <v>49</v>
      </c>
      <c r="Q1575" s="1" t="s">
        <v>49</v>
      </c>
      <c r="R1575" s="1">
        <v>0.5</v>
      </c>
      <c r="S1575" s="1" t="s">
        <v>294</v>
      </c>
      <c r="T1575" s="1" t="s">
        <v>655</v>
      </c>
      <c r="U1575" s="1" t="s">
        <v>656</v>
      </c>
      <c r="V1575" s="1" t="s">
        <v>657</v>
      </c>
      <c r="W1575" s="1">
        <v>43.77</v>
      </c>
      <c r="X1575" s="1">
        <v>3.87</v>
      </c>
      <c r="Y1575" s="1" t="s">
        <v>121</v>
      </c>
      <c r="Z1575" s="1" t="s">
        <v>49</v>
      </c>
      <c r="AA1575" s="6" t="s">
        <v>49</v>
      </c>
      <c r="AB1575" s="6" t="s">
        <v>49</v>
      </c>
      <c r="AC1575" s="6" t="s">
        <v>49</v>
      </c>
      <c r="AD1575" s="1" t="s">
        <v>659</v>
      </c>
      <c r="AE1575" s="1" t="s">
        <v>672</v>
      </c>
      <c r="AF1575" s="6" t="s">
        <v>49</v>
      </c>
      <c r="AG1575" s="6" t="s">
        <v>49</v>
      </c>
      <c r="AH1575" s="1" t="s">
        <v>152</v>
      </c>
      <c r="AI1575" s="1" t="s">
        <v>55</v>
      </c>
      <c r="AJ1575" s="20" t="s">
        <v>49</v>
      </c>
      <c r="AK1575" s="20" t="s">
        <v>49</v>
      </c>
      <c r="AL1575" s="20" t="s">
        <v>49</v>
      </c>
      <c r="AM1575" s="20" t="s">
        <v>49</v>
      </c>
      <c r="AN1575" s="1" t="s">
        <v>49</v>
      </c>
      <c r="AO1575" s="1" t="s">
        <v>49</v>
      </c>
      <c r="AP1575" s="6">
        <v>1</v>
      </c>
      <c r="AQ1575" s="6">
        <v>0.46</v>
      </c>
      <c r="AR1575" s="6" t="s">
        <v>49</v>
      </c>
      <c r="AS1575" s="6" t="s">
        <v>49</v>
      </c>
      <c r="AT1575" s="6" t="s">
        <v>49</v>
      </c>
      <c r="AU1575" s="6" t="s">
        <v>49</v>
      </c>
      <c r="AV1575" s="6" t="s">
        <v>49</v>
      </c>
      <c r="AW1575" s="29" t="s">
        <v>673</v>
      </c>
    </row>
    <row r="1576" spans="1:49">
      <c r="A1576" s="1">
        <v>84</v>
      </c>
      <c r="B1576" s="1" t="s">
        <v>38</v>
      </c>
      <c r="C1576" s="1" t="s">
        <v>49</v>
      </c>
      <c r="D1576" s="1" t="s">
        <v>652</v>
      </c>
      <c r="E1576" s="1" t="s">
        <v>71</v>
      </c>
      <c r="F1576" s="1">
        <v>2001</v>
      </c>
      <c r="G1576" s="1" t="s">
        <v>276</v>
      </c>
      <c r="H1576" s="1" t="s">
        <v>585</v>
      </c>
      <c r="I1576" s="1" t="s">
        <v>653</v>
      </c>
      <c r="J1576" s="1" t="s">
        <v>654</v>
      </c>
      <c r="K1576" s="1" t="s">
        <v>114</v>
      </c>
      <c r="L1576" s="3" t="s">
        <v>46</v>
      </c>
      <c r="M1576" s="1" t="s">
        <v>115</v>
      </c>
      <c r="N1576" s="1" t="s">
        <v>116</v>
      </c>
      <c r="O1576" s="1" t="s">
        <v>49</v>
      </c>
      <c r="P1576" s="1" t="s">
        <v>49</v>
      </c>
      <c r="Q1576" s="1" t="s">
        <v>49</v>
      </c>
      <c r="R1576" s="1">
        <v>0.5</v>
      </c>
      <c r="S1576" s="1" t="s">
        <v>294</v>
      </c>
      <c r="T1576" s="1" t="s">
        <v>655</v>
      </c>
      <c r="U1576" s="1" t="s">
        <v>656</v>
      </c>
      <c r="V1576" s="1" t="s">
        <v>657</v>
      </c>
      <c r="W1576" s="1">
        <v>43.77</v>
      </c>
      <c r="X1576" s="1">
        <v>3.87</v>
      </c>
      <c r="Y1576" s="1" t="s">
        <v>121</v>
      </c>
      <c r="Z1576" s="1" t="s">
        <v>49</v>
      </c>
      <c r="AA1576" s="6" t="s">
        <v>49</v>
      </c>
      <c r="AB1576" s="6" t="s">
        <v>49</v>
      </c>
      <c r="AC1576" s="6" t="s">
        <v>49</v>
      </c>
      <c r="AD1576" s="1" t="s">
        <v>661</v>
      </c>
      <c r="AE1576" s="1" t="s">
        <v>662</v>
      </c>
      <c r="AF1576" s="6" t="s">
        <v>49</v>
      </c>
      <c r="AG1576" s="6" t="s">
        <v>49</v>
      </c>
      <c r="AH1576" s="1" t="s">
        <v>152</v>
      </c>
      <c r="AI1576" s="1" t="s">
        <v>55</v>
      </c>
      <c r="AJ1576" s="20" t="s">
        <v>49</v>
      </c>
      <c r="AK1576" s="20" t="s">
        <v>49</v>
      </c>
      <c r="AL1576" s="20" t="s">
        <v>49</v>
      </c>
      <c r="AM1576" s="20" t="s">
        <v>49</v>
      </c>
      <c r="AN1576" s="1" t="s">
        <v>49</v>
      </c>
      <c r="AO1576" s="1" t="s">
        <v>49</v>
      </c>
      <c r="AP1576" s="6">
        <v>1</v>
      </c>
      <c r="AQ1576" s="6">
        <v>0.66</v>
      </c>
      <c r="AR1576" s="6" t="s">
        <v>49</v>
      </c>
      <c r="AS1576" s="6" t="s">
        <v>49</v>
      </c>
      <c r="AT1576" s="6" t="s">
        <v>49</v>
      </c>
      <c r="AU1576" s="6" t="s">
        <v>49</v>
      </c>
      <c r="AV1576" s="6" t="s">
        <v>49</v>
      </c>
      <c r="AW1576" s="29" t="s">
        <v>673</v>
      </c>
    </row>
    <row r="1577" spans="1:49">
      <c r="A1577" s="1">
        <v>84</v>
      </c>
      <c r="B1577" s="1" t="s">
        <v>38</v>
      </c>
      <c r="C1577" s="1" t="s">
        <v>49</v>
      </c>
      <c r="D1577" s="1" t="s">
        <v>652</v>
      </c>
      <c r="E1577" s="1" t="s">
        <v>71</v>
      </c>
      <c r="F1577" s="1">
        <v>2001</v>
      </c>
      <c r="G1577" s="1" t="s">
        <v>276</v>
      </c>
      <c r="H1577" s="1" t="s">
        <v>585</v>
      </c>
      <c r="I1577" s="1" t="s">
        <v>653</v>
      </c>
      <c r="J1577" s="1" t="s">
        <v>654</v>
      </c>
      <c r="K1577" s="1" t="s">
        <v>114</v>
      </c>
      <c r="L1577" s="3" t="s">
        <v>46</v>
      </c>
      <c r="M1577" s="1" t="s">
        <v>115</v>
      </c>
      <c r="N1577" s="1" t="s">
        <v>116</v>
      </c>
      <c r="O1577" s="1" t="s">
        <v>49</v>
      </c>
      <c r="P1577" s="1" t="s">
        <v>49</v>
      </c>
      <c r="Q1577" s="1" t="s">
        <v>49</v>
      </c>
      <c r="R1577" s="1">
        <v>0.5</v>
      </c>
      <c r="S1577" s="1" t="s">
        <v>294</v>
      </c>
      <c r="T1577" s="1" t="s">
        <v>655</v>
      </c>
      <c r="U1577" s="1" t="s">
        <v>656</v>
      </c>
      <c r="V1577" s="1" t="s">
        <v>657</v>
      </c>
      <c r="W1577" s="1">
        <v>43.77</v>
      </c>
      <c r="X1577" s="1">
        <v>3.87</v>
      </c>
      <c r="Y1577" s="1" t="s">
        <v>121</v>
      </c>
      <c r="Z1577" s="1" t="s">
        <v>49</v>
      </c>
      <c r="AA1577" s="6" t="s">
        <v>49</v>
      </c>
      <c r="AB1577" s="6" t="s">
        <v>49</v>
      </c>
      <c r="AC1577" s="6" t="s">
        <v>49</v>
      </c>
      <c r="AD1577" s="1" t="s">
        <v>661</v>
      </c>
      <c r="AE1577" s="1" t="s">
        <v>663</v>
      </c>
      <c r="AF1577" s="6" t="s">
        <v>49</v>
      </c>
      <c r="AG1577" s="6" t="s">
        <v>49</v>
      </c>
      <c r="AH1577" s="1" t="s">
        <v>152</v>
      </c>
      <c r="AI1577" s="1" t="s">
        <v>55</v>
      </c>
      <c r="AJ1577" s="20" t="s">
        <v>49</v>
      </c>
      <c r="AK1577" s="20" t="s">
        <v>49</v>
      </c>
      <c r="AL1577" s="20" t="s">
        <v>49</v>
      </c>
      <c r="AM1577" s="20" t="s">
        <v>49</v>
      </c>
      <c r="AN1577" s="1" t="s">
        <v>49</v>
      </c>
      <c r="AO1577" s="1" t="s">
        <v>49</v>
      </c>
      <c r="AP1577" s="6">
        <v>1</v>
      </c>
      <c r="AQ1577" s="6">
        <v>0.06</v>
      </c>
      <c r="AR1577" s="6" t="s">
        <v>49</v>
      </c>
      <c r="AS1577" s="6" t="s">
        <v>49</v>
      </c>
      <c r="AT1577" s="6" t="s">
        <v>49</v>
      </c>
      <c r="AU1577" s="6" t="s">
        <v>49</v>
      </c>
      <c r="AV1577" s="6" t="s">
        <v>49</v>
      </c>
      <c r="AW1577" s="29" t="s">
        <v>673</v>
      </c>
    </row>
    <row r="1578" spans="1:49">
      <c r="A1578" s="1">
        <v>84</v>
      </c>
      <c r="B1578" s="1" t="s">
        <v>38</v>
      </c>
      <c r="C1578" s="1" t="s">
        <v>49</v>
      </c>
      <c r="D1578" s="1" t="s">
        <v>652</v>
      </c>
      <c r="E1578" s="1" t="s">
        <v>71</v>
      </c>
      <c r="F1578" s="1">
        <v>2001</v>
      </c>
      <c r="G1578" s="1" t="s">
        <v>276</v>
      </c>
      <c r="H1578" s="1" t="s">
        <v>585</v>
      </c>
      <c r="I1578" s="1" t="s">
        <v>653</v>
      </c>
      <c r="J1578" s="1" t="s">
        <v>654</v>
      </c>
      <c r="K1578" s="1" t="s">
        <v>114</v>
      </c>
      <c r="L1578" s="3" t="s">
        <v>46</v>
      </c>
      <c r="M1578" s="1" t="s">
        <v>115</v>
      </c>
      <c r="N1578" s="1" t="s">
        <v>116</v>
      </c>
      <c r="O1578" s="1" t="s">
        <v>49</v>
      </c>
      <c r="P1578" s="1" t="s">
        <v>49</v>
      </c>
      <c r="Q1578" s="1" t="s">
        <v>49</v>
      </c>
      <c r="R1578" s="1">
        <v>0.5</v>
      </c>
      <c r="S1578" s="1" t="s">
        <v>294</v>
      </c>
      <c r="T1578" s="1" t="s">
        <v>655</v>
      </c>
      <c r="U1578" s="1" t="s">
        <v>656</v>
      </c>
      <c r="V1578" s="1" t="s">
        <v>657</v>
      </c>
      <c r="W1578" s="1">
        <v>43.77</v>
      </c>
      <c r="X1578" s="1">
        <v>3.87</v>
      </c>
      <c r="Y1578" s="1" t="s">
        <v>121</v>
      </c>
      <c r="Z1578" s="1" t="s">
        <v>49</v>
      </c>
      <c r="AA1578" s="6" t="s">
        <v>49</v>
      </c>
      <c r="AB1578" s="6" t="s">
        <v>49</v>
      </c>
      <c r="AC1578" s="6" t="s">
        <v>49</v>
      </c>
      <c r="AD1578" s="1" t="s">
        <v>661</v>
      </c>
      <c r="AE1578" s="1" t="s">
        <v>664</v>
      </c>
      <c r="AF1578" s="6" t="s">
        <v>49</v>
      </c>
      <c r="AG1578" s="6" t="s">
        <v>49</v>
      </c>
      <c r="AH1578" s="1" t="s">
        <v>152</v>
      </c>
      <c r="AI1578" s="1" t="s">
        <v>55</v>
      </c>
      <c r="AJ1578" s="20" t="s">
        <v>49</v>
      </c>
      <c r="AK1578" s="20" t="s">
        <v>49</v>
      </c>
      <c r="AL1578" s="20" t="s">
        <v>49</v>
      </c>
      <c r="AM1578" s="20" t="s">
        <v>49</v>
      </c>
      <c r="AN1578" s="1" t="s">
        <v>49</v>
      </c>
      <c r="AO1578" s="1" t="s">
        <v>49</v>
      </c>
      <c r="AP1578" s="6">
        <v>1</v>
      </c>
      <c r="AQ1578" s="6">
        <v>-0.16</v>
      </c>
      <c r="AR1578" s="6" t="s">
        <v>49</v>
      </c>
      <c r="AS1578" s="6" t="s">
        <v>49</v>
      </c>
      <c r="AT1578" s="6" t="s">
        <v>49</v>
      </c>
      <c r="AU1578" s="6" t="s">
        <v>49</v>
      </c>
      <c r="AV1578" s="6" t="s">
        <v>49</v>
      </c>
      <c r="AW1578" s="29" t="s">
        <v>673</v>
      </c>
    </row>
    <row r="1579" spans="1:49">
      <c r="A1579" s="1">
        <v>84</v>
      </c>
      <c r="B1579" s="1" t="s">
        <v>38</v>
      </c>
      <c r="C1579" s="1" t="s">
        <v>49</v>
      </c>
      <c r="D1579" s="1" t="s">
        <v>652</v>
      </c>
      <c r="E1579" s="1" t="s">
        <v>71</v>
      </c>
      <c r="F1579" s="1">
        <v>2001</v>
      </c>
      <c r="G1579" s="1" t="s">
        <v>276</v>
      </c>
      <c r="H1579" s="1" t="s">
        <v>585</v>
      </c>
      <c r="I1579" s="1" t="s">
        <v>653</v>
      </c>
      <c r="J1579" s="1" t="s">
        <v>654</v>
      </c>
      <c r="K1579" s="1" t="s">
        <v>114</v>
      </c>
      <c r="L1579" s="3" t="s">
        <v>46</v>
      </c>
      <c r="M1579" s="1" t="s">
        <v>115</v>
      </c>
      <c r="N1579" s="1" t="s">
        <v>116</v>
      </c>
      <c r="O1579" s="1" t="s">
        <v>49</v>
      </c>
      <c r="P1579" s="1" t="s">
        <v>49</v>
      </c>
      <c r="Q1579" s="1" t="s">
        <v>49</v>
      </c>
      <c r="R1579" s="1">
        <v>0.5</v>
      </c>
      <c r="S1579" s="1" t="s">
        <v>294</v>
      </c>
      <c r="T1579" s="1" t="s">
        <v>655</v>
      </c>
      <c r="U1579" s="1" t="s">
        <v>656</v>
      </c>
      <c r="V1579" s="1" t="s">
        <v>657</v>
      </c>
      <c r="W1579" s="1">
        <v>43.77</v>
      </c>
      <c r="X1579" s="1">
        <v>3.87</v>
      </c>
      <c r="Y1579" s="1" t="s">
        <v>121</v>
      </c>
      <c r="Z1579" s="1" t="s">
        <v>49</v>
      </c>
      <c r="AA1579" s="6" t="s">
        <v>49</v>
      </c>
      <c r="AB1579" s="6" t="s">
        <v>49</v>
      </c>
      <c r="AC1579" s="6" t="s">
        <v>49</v>
      </c>
      <c r="AD1579" s="1" t="s">
        <v>661</v>
      </c>
      <c r="AE1579" s="1" t="s">
        <v>666</v>
      </c>
      <c r="AF1579" s="6" t="s">
        <v>49</v>
      </c>
      <c r="AG1579" s="6" t="s">
        <v>49</v>
      </c>
      <c r="AH1579" s="1" t="s">
        <v>152</v>
      </c>
      <c r="AI1579" s="1" t="s">
        <v>55</v>
      </c>
      <c r="AJ1579" s="20" t="s">
        <v>49</v>
      </c>
      <c r="AK1579" s="20" t="s">
        <v>49</v>
      </c>
      <c r="AL1579" s="20" t="s">
        <v>49</v>
      </c>
      <c r="AM1579" s="20" t="s">
        <v>49</v>
      </c>
      <c r="AN1579" s="1" t="s">
        <v>49</v>
      </c>
      <c r="AO1579" s="1" t="s">
        <v>49</v>
      </c>
      <c r="AP1579" s="6">
        <v>1</v>
      </c>
      <c r="AQ1579" s="6">
        <v>0.28000000000000003</v>
      </c>
      <c r="AR1579" s="6" t="s">
        <v>49</v>
      </c>
      <c r="AS1579" s="6" t="s">
        <v>49</v>
      </c>
      <c r="AT1579" s="6" t="s">
        <v>49</v>
      </c>
      <c r="AU1579" s="6" t="s">
        <v>49</v>
      </c>
      <c r="AV1579" s="6" t="s">
        <v>49</v>
      </c>
      <c r="AW1579" s="29" t="s">
        <v>673</v>
      </c>
    </row>
    <row r="1580" spans="1:49">
      <c r="A1580" s="1">
        <v>84</v>
      </c>
      <c r="B1580" s="1" t="s">
        <v>38</v>
      </c>
      <c r="C1580" s="1" t="s">
        <v>49</v>
      </c>
      <c r="D1580" s="1" t="s">
        <v>652</v>
      </c>
      <c r="E1580" s="1" t="s">
        <v>71</v>
      </c>
      <c r="F1580" s="1">
        <v>2001</v>
      </c>
      <c r="G1580" s="1" t="s">
        <v>276</v>
      </c>
      <c r="H1580" s="1" t="s">
        <v>585</v>
      </c>
      <c r="I1580" s="1" t="s">
        <v>653</v>
      </c>
      <c r="J1580" s="1" t="s">
        <v>654</v>
      </c>
      <c r="K1580" s="1" t="s">
        <v>114</v>
      </c>
      <c r="L1580" s="3" t="s">
        <v>46</v>
      </c>
      <c r="M1580" s="1" t="s">
        <v>115</v>
      </c>
      <c r="N1580" s="1" t="s">
        <v>116</v>
      </c>
      <c r="O1580" s="1" t="s">
        <v>49</v>
      </c>
      <c r="P1580" s="1" t="s">
        <v>49</v>
      </c>
      <c r="Q1580" s="1" t="s">
        <v>49</v>
      </c>
      <c r="R1580" s="1">
        <v>0.5</v>
      </c>
      <c r="S1580" s="1" t="s">
        <v>294</v>
      </c>
      <c r="T1580" s="1" t="s">
        <v>655</v>
      </c>
      <c r="U1580" s="1" t="s">
        <v>656</v>
      </c>
      <c r="V1580" s="1" t="s">
        <v>657</v>
      </c>
      <c r="W1580" s="1">
        <v>43.77</v>
      </c>
      <c r="X1580" s="1">
        <v>3.87</v>
      </c>
      <c r="Y1580" s="1" t="s">
        <v>121</v>
      </c>
      <c r="Z1580" s="1" t="s">
        <v>49</v>
      </c>
      <c r="AA1580" s="6" t="s">
        <v>49</v>
      </c>
      <c r="AB1580" s="6" t="s">
        <v>49</v>
      </c>
      <c r="AC1580" s="6" t="s">
        <v>49</v>
      </c>
      <c r="AD1580" s="1" t="s">
        <v>661</v>
      </c>
      <c r="AE1580" s="1" t="s">
        <v>669</v>
      </c>
      <c r="AF1580" s="6" t="s">
        <v>49</v>
      </c>
      <c r="AG1580" s="6" t="s">
        <v>49</v>
      </c>
      <c r="AH1580" s="1" t="s">
        <v>152</v>
      </c>
      <c r="AI1580" s="1" t="s">
        <v>55</v>
      </c>
      <c r="AJ1580" s="20" t="s">
        <v>49</v>
      </c>
      <c r="AK1580" s="20" t="s">
        <v>49</v>
      </c>
      <c r="AL1580" s="20" t="s">
        <v>49</v>
      </c>
      <c r="AM1580" s="20" t="s">
        <v>49</v>
      </c>
      <c r="AN1580" s="1" t="s">
        <v>49</v>
      </c>
      <c r="AO1580" s="1" t="s">
        <v>49</v>
      </c>
      <c r="AP1580" s="6">
        <v>1</v>
      </c>
      <c r="AQ1580" s="6">
        <v>-0.23</v>
      </c>
      <c r="AR1580" s="6" t="s">
        <v>49</v>
      </c>
      <c r="AS1580" s="6" t="s">
        <v>49</v>
      </c>
      <c r="AT1580" s="6" t="s">
        <v>49</v>
      </c>
      <c r="AU1580" s="6" t="s">
        <v>49</v>
      </c>
      <c r="AV1580" s="6" t="s">
        <v>49</v>
      </c>
      <c r="AW1580" s="29" t="s">
        <v>673</v>
      </c>
    </row>
    <row r="1581" spans="1:49">
      <c r="A1581" s="1">
        <v>84</v>
      </c>
      <c r="B1581" s="1" t="s">
        <v>38</v>
      </c>
      <c r="C1581" s="1" t="s">
        <v>49</v>
      </c>
      <c r="D1581" s="1" t="s">
        <v>652</v>
      </c>
      <c r="E1581" s="1" t="s">
        <v>71</v>
      </c>
      <c r="F1581" s="1">
        <v>2001</v>
      </c>
      <c r="G1581" s="1" t="s">
        <v>276</v>
      </c>
      <c r="H1581" s="1" t="s">
        <v>585</v>
      </c>
      <c r="I1581" s="1" t="s">
        <v>653</v>
      </c>
      <c r="J1581" s="1" t="s">
        <v>654</v>
      </c>
      <c r="K1581" s="1" t="s">
        <v>114</v>
      </c>
      <c r="L1581" s="3" t="s">
        <v>46</v>
      </c>
      <c r="M1581" s="1" t="s">
        <v>115</v>
      </c>
      <c r="N1581" s="1" t="s">
        <v>116</v>
      </c>
      <c r="O1581" s="1" t="s">
        <v>49</v>
      </c>
      <c r="P1581" s="1" t="s">
        <v>49</v>
      </c>
      <c r="Q1581" s="1" t="s">
        <v>49</v>
      </c>
      <c r="R1581" s="1">
        <v>0.5</v>
      </c>
      <c r="S1581" s="1" t="s">
        <v>294</v>
      </c>
      <c r="T1581" s="1" t="s">
        <v>655</v>
      </c>
      <c r="U1581" s="1" t="s">
        <v>656</v>
      </c>
      <c r="V1581" s="1" t="s">
        <v>657</v>
      </c>
      <c r="W1581" s="1">
        <v>43.77</v>
      </c>
      <c r="X1581" s="1">
        <v>3.87</v>
      </c>
      <c r="Y1581" s="1" t="s">
        <v>121</v>
      </c>
      <c r="Z1581" s="1" t="s">
        <v>49</v>
      </c>
      <c r="AA1581" s="6" t="s">
        <v>49</v>
      </c>
      <c r="AB1581" s="6" t="s">
        <v>49</v>
      </c>
      <c r="AC1581" s="6" t="s">
        <v>49</v>
      </c>
      <c r="AD1581" s="1" t="s">
        <v>661</v>
      </c>
      <c r="AE1581" s="1" t="s">
        <v>671</v>
      </c>
      <c r="AF1581" s="6" t="s">
        <v>49</v>
      </c>
      <c r="AG1581" s="6" t="s">
        <v>49</v>
      </c>
      <c r="AH1581" s="1" t="s">
        <v>152</v>
      </c>
      <c r="AI1581" s="1" t="s">
        <v>55</v>
      </c>
      <c r="AJ1581" s="20" t="s">
        <v>49</v>
      </c>
      <c r="AK1581" s="20" t="s">
        <v>49</v>
      </c>
      <c r="AL1581" s="20" t="s">
        <v>49</v>
      </c>
      <c r="AM1581" s="20" t="s">
        <v>49</v>
      </c>
      <c r="AN1581" s="1" t="s">
        <v>49</v>
      </c>
      <c r="AO1581" s="1" t="s">
        <v>49</v>
      </c>
      <c r="AP1581" s="6">
        <v>1</v>
      </c>
      <c r="AQ1581" s="6">
        <v>0.27</v>
      </c>
      <c r="AR1581" s="6" t="s">
        <v>49</v>
      </c>
      <c r="AS1581" s="6" t="s">
        <v>49</v>
      </c>
      <c r="AT1581" s="6" t="s">
        <v>49</v>
      </c>
      <c r="AU1581" s="6" t="s">
        <v>49</v>
      </c>
      <c r="AV1581" s="6" t="s">
        <v>49</v>
      </c>
      <c r="AW1581" s="29" t="s">
        <v>673</v>
      </c>
    </row>
    <row r="1582" spans="1:49">
      <c r="A1582" s="1">
        <v>84</v>
      </c>
      <c r="B1582" s="1" t="s">
        <v>38</v>
      </c>
      <c r="C1582" s="1" t="s">
        <v>49</v>
      </c>
      <c r="D1582" s="1" t="s">
        <v>652</v>
      </c>
      <c r="E1582" s="1" t="s">
        <v>71</v>
      </c>
      <c r="F1582" s="1">
        <v>2001</v>
      </c>
      <c r="G1582" s="1" t="s">
        <v>276</v>
      </c>
      <c r="H1582" s="1" t="s">
        <v>585</v>
      </c>
      <c r="I1582" s="1" t="s">
        <v>653</v>
      </c>
      <c r="J1582" s="1" t="s">
        <v>654</v>
      </c>
      <c r="K1582" s="1" t="s">
        <v>114</v>
      </c>
      <c r="L1582" s="3" t="s">
        <v>46</v>
      </c>
      <c r="M1582" s="1" t="s">
        <v>115</v>
      </c>
      <c r="N1582" s="1" t="s">
        <v>116</v>
      </c>
      <c r="O1582" s="1" t="s">
        <v>49</v>
      </c>
      <c r="P1582" s="1" t="s">
        <v>49</v>
      </c>
      <c r="Q1582" s="1" t="s">
        <v>49</v>
      </c>
      <c r="R1582" s="1">
        <v>0.5</v>
      </c>
      <c r="S1582" s="1" t="s">
        <v>294</v>
      </c>
      <c r="T1582" s="1" t="s">
        <v>655</v>
      </c>
      <c r="U1582" s="1" t="s">
        <v>656</v>
      </c>
      <c r="V1582" s="1" t="s">
        <v>657</v>
      </c>
      <c r="W1582" s="1">
        <v>43.77</v>
      </c>
      <c r="X1582" s="1">
        <v>3.87</v>
      </c>
      <c r="Y1582" s="1" t="s">
        <v>121</v>
      </c>
      <c r="Z1582" s="1" t="s">
        <v>49</v>
      </c>
      <c r="AA1582" s="6" t="s">
        <v>49</v>
      </c>
      <c r="AB1582" s="6" t="s">
        <v>49</v>
      </c>
      <c r="AC1582" s="6" t="s">
        <v>49</v>
      </c>
      <c r="AD1582" s="1" t="s">
        <v>661</v>
      </c>
      <c r="AE1582" s="1" t="s">
        <v>672</v>
      </c>
      <c r="AF1582" s="6" t="s">
        <v>49</v>
      </c>
      <c r="AG1582" s="6" t="s">
        <v>49</v>
      </c>
      <c r="AH1582" s="1" t="s">
        <v>152</v>
      </c>
      <c r="AI1582" s="1" t="s">
        <v>55</v>
      </c>
      <c r="AJ1582" s="20" t="s">
        <v>49</v>
      </c>
      <c r="AK1582" s="20" t="s">
        <v>49</v>
      </c>
      <c r="AL1582" s="20" t="s">
        <v>49</v>
      </c>
      <c r="AM1582" s="20" t="s">
        <v>49</v>
      </c>
      <c r="AN1582" s="1" t="s">
        <v>49</v>
      </c>
      <c r="AO1582" s="1" t="s">
        <v>49</v>
      </c>
      <c r="AP1582" s="6">
        <v>1</v>
      </c>
      <c r="AQ1582" s="6">
        <v>-0.1</v>
      </c>
      <c r="AR1582" s="6" t="s">
        <v>49</v>
      </c>
      <c r="AS1582" s="6" t="s">
        <v>49</v>
      </c>
      <c r="AT1582" s="6" t="s">
        <v>49</v>
      </c>
      <c r="AU1582" s="6" t="s">
        <v>49</v>
      </c>
      <c r="AV1582" s="6" t="s">
        <v>49</v>
      </c>
      <c r="AW1582" s="29" t="s">
        <v>673</v>
      </c>
    </row>
    <row r="1583" spans="1:49">
      <c r="A1583" s="1">
        <v>84</v>
      </c>
      <c r="B1583" s="1" t="s">
        <v>38</v>
      </c>
      <c r="C1583" s="1" t="s">
        <v>49</v>
      </c>
      <c r="D1583" s="1" t="s">
        <v>652</v>
      </c>
      <c r="E1583" s="1" t="s">
        <v>71</v>
      </c>
      <c r="F1583" s="1">
        <v>2001</v>
      </c>
      <c r="G1583" s="1" t="s">
        <v>276</v>
      </c>
      <c r="H1583" s="1" t="s">
        <v>585</v>
      </c>
      <c r="I1583" s="1" t="s">
        <v>653</v>
      </c>
      <c r="J1583" s="1" t="s">
        <v>654</v>
      </c>
      <c r="K1583" s="1" t="s">
        <v>114</v>
      </c>
      <c r="L1583" s="3" t="s">
        <v>46</v>
      </c>
      <c r="M1583" s="1" t="s">
        <v>115</v>
      </c>
      <c r="N1583" s="1" t="s">
        <v>116</v>
      </c>
      <c r="O1583" s="1" t="s">
        <v>49</v>
      </c>
      <c r="P1583" s="1" t="s">
        <v>49</v>
      </c>
      <c r="Q1583" s="1" t="s">
        <v>49</v>
      </c>
      <c r="R1583" s="1">
        <v>0.5</v>
      </c>
      <c r="S1583" s="1" t="s">
        <v>294</v>
      </c>
      <c r="T1583" s="1" t="s">
        <v>655</v>
      </c>
      <c r="U1583" s="1" t="s">
        <v>656</v>
      </c>
      <c r="V1583" s="1" t="s">
        <v>657</v>
      </c>
      <c r="W1583" s="1">
        <v>43.77</v>
      </c>
      <c r="X1583" s="1">
        <v>3.87</v>
      </c>
      <c r="Y1583" s="1" t="s">
        <v>121</v>
      </c>
      <c r="Z1583" s="1" t="s">
        <v>49</v>
      </c>
      <c r="AA1583" s="6" t="s">
        <v>49</v>
      </c>
      <c r="AB1583" s="6" t="s">
        <v>49</v>
      </c>
      <c r="AC1583" s="6" t="s">
        <v>49</v>
      </c>
      <c r="AD1583" s="1" t="s">
        <v>662</v>
      </c>
      <c r="AE1583" s="1" t="s">
        <v>663</v>
      </c>
      <c r="AF1583" s="6" t="s">
        <v>49</v>
      </c>
      <c r="AG1583" s="6" t="s">
        <v>49</v>
      </c>
      <c r="AH1583" s="1" t="s">
        <v>152</v>
      </c>
      <c r="AI1583" s="1" t="s">
        <v>55</v>
      </c>
      <c r="AJ1583" s="20" t="s">
        <v>49</v>
      </c>
      <c r="AK1583" s="20" t="s">
        <v>49</v>
      </c>
      <c r="AL1583" s="20" t="s">
        <v>49</v>
      </c>
      <c r="AM1583" s="20" t="s">
        <v>49</v>
      </c>
      <c r="AN1583" s="1" t="s">
        <v>49</v>
      </c>
      <c r="AO1583" s="1" t="s">
        <v>49</v>
      </c>
      <c r="AP1583" s="6">
        <v>1</v>
      </c>
      <c r="AQ1583" s="6">
        <v>0.55000000000000004</v>
      </c>
      <c r="AR1583" s="6" t="s">
        <v>49</v>
      </c>
      <c r="AS1583" s="6" t="s">
        <v>49</v>
      </c>
      <c r="AT1583" s="6" t="s">
        <v>49</v>
      </c>
      <c r="AU1583" s="6" t="s">
        <v>49</v>
      </c>
      <c r="AV1583" s="6" t="s">
        <v>49</v>
      </c>
      <c r="AW1583" s="29" t="s">
        <v>673</v>
      </c>
    </row>
    <row r="1584" spans="1:49">
      <c r="A1584" s="1">
        <v>84</v>
      </c>
      <c r="B1584" s="1" t="s">
        <v>38</v>
      </c>
      <c r="C1584" s="1" t="s">
        <v>49</v>
      </c>
      <c r="D1584" s="1" t="s">
        <v>652</v>
      </c>
      <c r="E1584" s="1" t="s">
        <v>71</v>
      </c>
      <c r="F1584" s="1">
        <v>2001</v>
      </c>
      <c r="G1584" s="1" t="s">
        <v>276</v>
      </c>
      <c r="H1584" s="1" t="s">
        <v>585</v>
      </c>
      <c r="I1584" s="1" t="s">
        <v>653</v>
      </c>
      <c r="J1584" s="1" t="s">
        <v>654</v>
      </c>
      <c r="K1584" s="1" t="s">
        <v>114</v>
      </c>
      <c r="L1584" s="3" t="s">
        <v>46</v>
      </c>
      <c r="M1584" s="1" t="s">
        <v>115</v>
      </c>
      <c r="N1584" s="1" t="s">
        <v>116</v>
      </c>
      <c r="O1584" s="1" t="s">
        <v>49</v>
      </c>
      <c r="P1584" s="1" t="s">
        <v>49</v>
      </c>
      <c r="Q1584" s="1" t="s">
        <v>49</v>
      </c>
      <c r="R1584" s="1">
        <v>0.5</v>
      </c>
      <c r="S1584" s="1" t="s">
        <v>294</v>
      </c>
      <c r="T1584" s="1" t="s">
        <v>655</v>
      </c>
      <c r="U1584" s="1" t="s">
        <v>656</v>
      </c>
      <c r="V1584" s="1" t="s">
        <v>657</v>
      </c>
      <c r="W1584" s="1">
        <v>43.77</v>
      </c>
      <c r="X1584" s="1">
        <v>3.87</v>
      </c>
      <c r="Y1584" s="1" t="s">
        <v>121</v>
      </c>
      <c r="Z1584" s="1" t="s">
        <v>49</v>
      </c>
      <c r="AA1584" s="6" t="s">
        <v>49</v>
      </c>
      <c r="AB1584" s="6" t="s">
        <v>49</v>
      </c>
      <c r="AC1584" s="6" t="s">
        <v>49</v>
      </c>
      <c r="AD1584" s="1" t="s">
        <v>662</v>
      </c>
      <c r="AE1584" s="1" t="s">
        <v>664</v>
      </c>
      <c r="AF1584" s="6" t="s">
        <v>49</v>
      </c>
      <c r="AG1584" s="6" t="s">
        <v>49</v>
      </c>
      <c r="AH1584" s="1" t="s">
        <v>152</v>
      </c>
      <c r="AI1584" s="1" t="s">
        <v>55</v>
      </c>
      <c r="AJ1584" s="20" t="s">
        <v>49</v>
      </c>
      <c r="AK1584" s="20" t="s">
        <v>49</v>
      </c>
      <c r="AL1584" s="20" t="s">
        <v>49</v>
      </c>
      <c r="AM1584" s="20" t="s">
        <v>49</v>
      </c>
      <c r="AN1584" s="1" t="s">
        <v>49</v>
      </c>
      <c r="AO1584" s="1" t="s">
        <v>49</v>
      </c>
      <c r="AP1584" s="6">
        <v>1</v>
      </c>
      <c r="AQ1584" s="6">
        <v>0.34</v>
      </c>
      <c r="AR1584" s="6" t="s">
        <v>49</v>
      </c>
      <c r="AS1584" s="6" t="s">
        <v>49</v>
      </c>
      <c r="AT1584" s="6" t="s">
        <v>49</v>
      </c>
      <c r="AU1584" s="6" t="s">
        <v>49</v>
      </c>
      <c r="AV1584" s="6" t="s">
        <v>49</v>
      </c>
      <c r="AW1584" s="29" t="s">
        <v>673</v>
      </c>
    </row>
    <row r="1585" spans="1:49">
      <c r="A1585" s="1">
        <v>84</v>
      </c>
      <c r="B1585" s="1" t="s">
        <v>38</v>
      </c>
      <c r="C1585" s="1" t="s">
        <v>49</v>
      </c>
      <c r="D1585" s="1" t="s">
        <v>652</v>
      </c>
      <c r="E1585" s="1" t="s">
        <v>71</v>
      </c>
      <c r="F1585" s="1">
        <v>2001</v>
      </c>
      <c r="G1585" s="1" t="s">
        <v>276</v>
      </c>
      <c r="H1585" s="1" t="s">
        <v>585</v>
      </c>
      <c r="I1585" s="1" t="s">
        <v>653</v>
      </c>
      <c r="J1585" s="1" t="s">
        <v>654</v>
      </c>
      <c r="K1585" s="1" t="s">
        <v>114</v>
      </c>
      <c r="L1585" s="3" t="s">
        <v>46</v>
      </c>
      <c r="M1585" s="1" t="s">
        <v>115</v>
      </c>
      <c r="N1585" s="1" t="s">
        <v>116</v>
      </c>
      <c r="O1585" s="1" t="s">
        <v>49</v>
      </c>
      <c r="P1585" s="1" t="s">
        <v>49</v>
      </c>
      <c r="Q1585" s="1" t="s">
        <v>49</v>
      </c>
      <c r="R1585" s="1">
        <v>0.5</v>
      </c>
      <c r="S1585" s="1" t="s">
        <v>294</v>
      </c>
      <c r="T1585" s="1" t="s">
        <v>655</v>
      </c>
      <c r="U1585" s="1" t="s">
        <v>656</v>
      </c>
      <c r="V1585" s="1" t="s">
        <v>657</v>
      </c>
      <c r="W1585" s="1">
        <v>43.77</v>
      </c>
      <c r="X1585" s="1">
        <v>3.87</v>
      </c>
      <c r="Y1585" s="1" t="s">
        <v>121</v>
      </c>
      <c r="Z1585" s="1" t="s">
        <v>49</v>
      </c>
      <c r="AA1585" s="6" t="s">
        <v>49</v>
      </c>
      <c r="AB1585" s="6" t="s">
        <v>49</v>
      </c>
      <c r="AC1585" s="6" t="s">
        <v>49</v>
      </c>
      <c r="AD1585" s="1" t="s">
        <v>662</v>
      </c>
      <c r="AE1585" s="1" t="s">
        <v>666</v>
      </c>
      <c r="AF1585" s="6" t="s">
        <v>49</v>
      </c>
      <c r="AG1585" s="6" t="s">
        <v>49</v>
      </c>
      <c r="AH1585" s="1" t="s">
        <v>152</v>
      </c>
      <c r="AI1585" s="1" t="s">
        <v>55</v>
      </c>
      <c r="AJ1585" s="20" t="s">
        <v>49</v>
      </c>
      <c r="AK1585" s="20" t="s">
        <v>49</v>
      </c>
      <c r="AL1585" s="20" t="s">
        <v>49</v>
      </c>
      <c r="AM1585" s="20" t="s">
        <v>49</v>
      </c>
      <c r="AN1585" s="1" t="s">
        <v>49</v>
      </c>
      <c r="AO1585" s="1" t="s">
        <v>49</v>
      </c>
      <c r="AP1585" s="6">
        <v>1</v>
      </c>
      <c r="AQ1585" s="6">
        <v>6.0000000000000001E-3</v>
      </c>
      <c r="AR1585" s="6" t="s">
        <v>49</v>
      </c>
      <c r="AS1585" s="6" t="s">
        <v>49</v>
      </c>
      <c r="AT1585" s="6" t="s">
        <v>49</v>
      </c>
      <c r="AU1585" s="6" t="s">
        <v>49</v>
      </c>
      <c r="AV1585" s="6" t="s">
        <v>49</v>
      </c>
      <c r="AW1585" s="29" t="s">
        <v>673</v>
      </c>
    </row>
    <row r="1586" spans="1:49">
      <c r="A1586" s="1">
        <v>84</v>
      </c>
      <c r="B1586" s="1" t="s">
        <v>38</v>
      </c>
      <c r="C1586" s="1" t="s">
        <v>49</v>
      </c>
      <c r="D1586" s="1" t="s">
        <v>652</v>
      </c>
      <c r="E1586" s="1" t="s">
        <v>71</v>
      </c>
      <c r="F1586" s="1">
        <v>2001</v>
      </c>
      <c r="G1586" s="1" t="s">
        <v>276</v>
      </c>
      <c r="H1586" s="1" t="s">
        <v>585</v>
      </c>
      <c r="I1586" s="1" t="s">
        <v>653</v>
      </c>
      <c r="J1586" s="1" t="s">
        <v>654</v>
      </c>
      <c r="K1586" s="1" t="s">
        <v>114</v>
      </c>
      <c r="L1586" s="3" t="s">
        <v>46</v>
      </c>
      <c r="M1586" s="1" t="s">
        <v>115</v>
      </c>
      <c r="N1586" s="1" t="s">
        <v>116</v>
      </c>
      <c r="O1586" s="1" t="s">
        <v>49</v>
      </c>
      <c r="P1586" s="1" t="s">
        <v>49</v>
      </c>
      <c r="Q1586" s="1" t="s">
        <v>49</v>
      </c>
      <c r="R1586" s="1">
        <v>0.5</v>
      </c>
      <c r="S1586" s="1" t="s">
        <v>294</v>
      </c>
      <c r="T1586" s="1" t="s">
        <v>655</v>
      </c>
      <c r="U1586" s="1" t="s">
        <v>656</v>
      </c>
      <c r="V1586" s="1" t="s">
        <v>657</v>
      </c>
      <c r="W1586" s="1">
        <v>43.77</v>
      </c>
      <c r="X1586" s="1">
        <v>3.87</v>
      </c>
      <c r="Y1586" s="1" t="s">
        <v>121</v>
      </c>
      <c r="Z1586" s="1" t="s">
        <v>49</v>
      </c>
      <c r="AA1586" s="6" t="s">
        <v>49</v>
      </c>
      <c r="AB1586" s="6" t="s">
        <v>49</v>
      </c>
      <c r="AC1586" s="6" t="s">
        <v>49</v>
      </c>
      <c r="AD1586" s="1" t="s">
        <v>662</v>
      </c>
      <c r="AE1586" s="1" t="s">
        <v>669</v>
      </c>
      <c r="AF1586" s="6" t="s">
        <v>49</v>
      </c>
      <c r="AG1586" s="6" t="s">
        <v>49</v>
      </c>
      <c r="AH1586" s="1" t="s">
        <v>152</v>
      </c>
      <c r="AI1586" s="1" t="s">
        <v>55</v>
      </c>
      <c r="AJ1586" s="20" t="s">
        <v>49</v>
      </c>
      <c r="AK1586" s="20" t="s">
        <v>49</v>
      </c>
      <c r="AL1586" s="20" t="s">
        <v>49</v>
      </c>
      <c r="AM1586" s="20" t="s">
        <v>49</v>
      </c>
      <c r="AN1586" s="1" t="s">
        <v>49</v>
      </c>
      <c r="AO1586" s="1" t="s">
        <v>49</v>
      </c>
      <c r="AP1586" s="6">
        <v>1</v>
      </c>
      <c r="AQ1586" s="6">
        <v>-0.52</v>
      </c>
      <c r="AR1586" s="6" t="s">
        <v>49</v>
      </c>
      <c r="AS1586" s="6" t="s">
        <v>49</v>
      </c>
      <c r="AT1586" s="6" t="s">
        <v>49</v>
      </c>
      <c r="AU1586" s="6" t="s">
        <v>49</v>
      </c>
      <c r="AV1586" s="6" t="s">
        <v>49</v>
      </c>
      <c r="AW1586" s="29" t="s">
        <v>673</v>
      </c>
    </row>
    <row r="1587" spans="1:49">
      <c r="A1587" s="1">
        <v>84</v>
      </c>
      <c r="B1587" s="1" t="s">
        <v>38</v>
      </c>
      <c r="C1587" s="1" t="s">
        <v>49</v>
      </c>
      <c r="D1587" s="1" t="s">
        <v>652</v>
      </c>
      <c r="E1587" s="1" t="s">
        <v>71</v>
      </c>
      <c r="F1587" s="1">
        <v>2001</v>
      </c>
      <c r="G1587" s="1" t="s">
        <v>276</v>
      </c>
      <c r="H1587" s="1" t="s">
        <v>585</v>
      </c>
      <c r="I1587" s="1" t="s">
        <v>653</v>
      </c>
      <c r="J1587" s="1" t="s">
        <v>654</v>
      </c>
      <c r="K1587" s="1" t="s">
        <v>114</v>
      </c>
      <c r="L1587" s="3" t="s">
        <v>46</v>
      </c>
      <c r="M1587" s="1" t="s">
        <v>115</v>
      </c>
      <c r="N1587" s="1" t="s">
        <v>116</v>
      </c>
      <c r="O1587" s="1" t="s">
        <v>49</v>
      </c>
      <c r="P1587" s="1" t="s">
        <v>49</v>
      </c>
      <c r="Q1587" s="1" t="s">
        <v>49</v>
      </c>
      <c r="R1587" s="1">
        <v>0.5</v>
      </c>
      <c r="S1587" s="1" t="s">
        <v>294</v>
      </c>
      <c r="T1587" s="1" t="s">
        <v>655</v>
      </c>
      <c r="U1587" s="1" t="s">
        <v>656</v>
      </c>
      <c r="V1587" s="1" t="s">
        <v>657</v>
      </c>
      <c r="W1587" s="1">
        <v>43.77</v>
      </c>
      <c r="X1587" s="1">
        <v>3.87</v>
      </c>
      <c r="Y1587" s="1" t="s">
        <v>121</v>
      </c>
      <c r="Z1587" s="1" t="s">
        <v>49</v>
      </c>
      <c r="AA1587" s="6" t="s">
        <v>49</v>
      </c>
      <c r="AB1587" s="6" t="s">
        <v>49</v>
      </c>
      <c r="AC1587" s="6" t="s">
        <v>49</v>
      </c>
      <c r="AD1587" s="1" t="s">
        <v>662</v>
      </c>
      <c r="AE1587" s="1" t="s">
        <v>671</v>
      </c>
      <c r="AF1587" s="6" t="s">
        <v>49</v>
      </c>
      <c r="AG1587" s="6" t="s">
        <v>49</v>
      </c>
      <c r="AH1587" s="1" t="s">
        <v>152</v>
      </c>
      <c r="AI1587" s="1" t="s">
        <v>55</v>
      </c>
      <c r="AJ1587" s="20" t="s">
        <v>49</v>
      </c>
      <c r="AK1587" s="20" t="s">
        <v>49</v>
      </c>
      <c r="AL1587" s="20" t="s">
        <v>49</v>
      </c>
      <c r="AM1587" s="20" t="s">
        <v>49</v>
      </c>
      <c r="AN1587" s="1" t="s">
        <v>49</v>
      </c>
      <c r="AO1587" s="1" t="s">
        <v>49</v>
      </c>
      <c r="AP1587" s="6">
        <v>1</v>
      </c>
      <c r="AQ1587" s="6">
        <v>0.03</v>
      </c>
      <c r="AR1587" s="6" t="s">
        <v>49</v>
      </c>
      <c r="AS1587" s="6" t="s">
        <v>49</v>
      </c>
      <c r="AT1587" s="6" t="s">
        <v>49</v>
      </c>
      <c r="AU1587" s="6" t="s">
        <v>49</v>
      </c>
      <c r="AV1587" s="6" t="s">
        <v>49</v>
      </c>
      <c r="AW1587" s="29" t="s">
        <v>673</v>
      </c>
    </row>
    <row r="1588" spans="1:49">
      <c r="A1588" s="1">
        <v>84</v>
      </c>
      <c r="B1588" s="1" t="s">
        <v>38</v>
      </c>
      <c r="C1588" s="1" t="s">
        <v>49</v>
      </c>
      <c r="D1588" s="1" t="s">
        <v>652</v>
      </c>
      <c r="E1588" s="1" t="s">
        <v>71</v>
      </c>
      <c r="F1588" s="1">
        <v>2001</v>
      </c>
      <c r="G1588" s="1" t="s">
        <v>276</v>
      </c>
      <c r="H1588" s="1" t="s">
        <v>585</v>
      </c>
      <c r="I1588" s="1" t="s">
        <v>653</v>
      </c>
      <c r="J1588" s="1" t="s">
        <v>654</v>
      </c>
      <c r="K1588" s="1" t="s">
        <v>114</v>
      </c>
      <c r="L1588" s="3" t="s">
        <v>46</v>
      </c>
      <c r="M1588" s="1" t="s">
        <v>115</v>
      </c>
      <c r="N1588" s="1" t="s">
        <v>116</v>
      </c>
      <c r="O1588" s="1" t="s">
        <v>49</v>
      </c>
      <c r="P1588" s="1" t="s">
        <v>49</v>
      </c>
      <c r="Q1588" s="1" t="s">
        <v>49</v>
      </c>
      <c r="R1588" s="1">
        <v>0.5</v>
      </c>
      <c r="S1588" s="1" t="s">
        <v>294</v>
      </c>
      <c r="T1588" s="1" t="s">
        <v>655</v>
      </c>
      <c r="U1588" s="1" t="s">
        <v>656</v>
      </c>
      <c r="V1588" s="1" t="s">
        <v>657</v>
      </c>
      <c r="W1588" s="1">
        <v>43.77</v>
      </c>
      <c r="X1588" s="1">
        <v>3.87</v>
      </c>
      <c r="Y1588" s="1" t="s">
        <v>121</v>
      </c>
      <c r="Z1588" s="1" t="s">
        <v>49</v>
      </c>
      <c r="AA1588" s="6" t="s">
        <v>49</v>
      </c>
      <c r="AB1588" s="6" t="s">
        <v>49</v>
      </c>
      <c r="AC1588" s="6" t="s">
        <v>49</v>
      </c>
      <c r="AD1588" s="1" t="s">
        <v>662</v>
      </c>
      <c r="AE1588" s="1" t="s">
        <v>672</v>
      </c>
      <c r="AF1588" s="6" t="s">
        <v>49</v>
      </c>
      <c r="AG1588" s="6" t="s">
        <v>49</v>
      </c>
      <c r="AH1588" s="1" t="s">
        <v>152</v>
      </c>
      <c r="AI1588" s="1" t="s">
        <v>55</v>
      </c>
      <c r="AJ1588" s="20" t="s">
        <v>49</v>
      </c>
      <c r="AK1588" s="20" t="s">
        <v>49</v>
      </c>
      <c r="AL1588" s="20" t="s">
        <v>49</v>
      </c>
      <c r="AM1588" s="20" t="s">
        <v>49</v>
      </c>
      <c r="AN1588" s="1" t="s">
        <v>49</v>
      </c>
      <c r="AO1588" s="1" t="s">
        <v>49</v>
      </c>
      <c r="AP1588" s="6">
        <v>1</v>
      </c>
      <c r="AQ1588" s="6">
        <v>-0.03</v>
      </c>
      <c r="AR1588" s="6" t="s">
        <v>49</v>
      </c>
      <c r="AS1588" s="6" t="s">
        <v>49</v>
      </c>
      <c r="AT1588" s="6" t="s">
        <v>49</v>
      </c>
      <c r="AU1588" s="6" t="s">
        <v>49</v>
      </c>
      <c r="AV1588" s="6" t="s">
        <v>49</v>
      </c>
      <c r="AW1588" s="29" t="s">
        <v>673</v>
      </c>
    </row>
    <row r="1589" spans="1:49">
      <c r="A1589" s="1">
        <v>84</v>
      </c>
      <c r="B1589" s="1" t="s">
        <v>38</v>
      </c>
      <c r="C1589" s="1" t="s">
        <v>49</v>
      </c>
      <c r="D1589" s="1" t="s">
        <v>652</v>
      </c>
      <c r="E1589" s="1" t="s">
        <v>71</v>
      </c>
      <c r="F1589" s="1">
        <v>2001</v>
      </c>
      <c r="G1589" s="1" t="s">
        <v>276</v>
      </c>
      <c r="H1589" s="1" t="s">
        <v>585</v>
      </c>
      <c r="I1589" s="1" t="s">
        <v>653</v>
      </c>
      <c r="J1589" s="1" t="s">
        <v>654</v>
      </c>
      <c r="K1589" s="1" t="s">
        <v>114</v>
      </c>
      <c r="L1589" s="3" t="s">
        <v>46</v>
      </c>
      <c r="M1589" s="1" t="s">
        <v>115</v>
      </c>
      <c r="N1589" s="1" t="s">
        <v>116</v>
      </c>
      <c r="O1589" s="1" t="s">
        <v>49</v>
      </c>
      <c r="P1589" s="1" t="s">
        <v>49</v>
      </c>
      <c r="Q1589" s="1" t="s">
        <v>49</v>
      </c>
      <c r="R1589" s="1">
        <v>0.5</v>
      </c>
      <c r="S1589" s="1" t="s">
        <v>294</v>
      </c>
      <c r="T1589" s="1" t="s">
        <v>655</v>
      </c>
      <c r="U1589" s="1" t="s">
        <v>656</v>
      </c>
      <c r="V1589" s="1" t="s">
        <v>657</v>
      </c>
      <c r="W1589" s="1">
        <v>43.77</v>
      </c>
      <c r="X1589" s="1">
        <v>3.87</v>
      </c>
      <c r="Y1589" s="1" t="s">
        <v>121</v>
      </c>
      <c r="Z1589" s="1" t="s">
        <v>49</v>
      </c>
      <c r="AA1589" s="6" t="s">
        <v>49</v>
      </c>
      <c r="AB1589" s="6" t="s">
        <v>49</v>
      </c>
      <c r="AC1589" s="6" t="s">
        <v>49</v>
      </c>
      <c r="AD1589" s="1" t="s">
        <v>663</v>
      </c>
      <c r="AE1589" s="1" t="s">
        <v>664</v>
      </c>
      <c r="AF1589" s="6" t="s">
        <v>49</v>
      </c>
      <c r="AG1589" s="6" t="s">
        <v>49</v>
      </c>
      <c r="AH1589" s="1" t="s">
        <v>152</v>
      </c>
      <c r="AI1589" s="1" t="s">
        <v>55</v>
      </c>
      <c r="AJ1589" s="20" t="s">
        <v>49</v>
      </c>
      <c r="AK1589" s="20" t="s">
        <v>49</v>
      </c>
      <c r="AL1589" s="20" t="s">
        <v>49</v>
      </c>
      <c r="AM1589" s="20" t="s">
        <v>49</v>
      </c>
      <c r="AN1589" s="1" t="s">
        <v>49</v>
      </c>
      <c r="AO1589" s="1" t="s">
        <v>49</v>
      </c>
      <c r="AP1589" s="6">
        <v>1</v>
      </c>
      <c r="AQ1589" s="6">
        <v>0.96</v>
      </c>
      <c r="AR1589" s="6" t="s">
        <v>49</v>
      </c>
      <c r="AS1589" s="6" t="s">
        <v>49</v>
      </c>
      <c r="AT1589" s="6" t="s">
        <v>49</v>
      </c>
      <c r="AU1589" s="6" t="s">
        <v>49</v>
      </c>
      <c r="AV1589" s="6" t="s">
        <v>49</v>
      </c>
      <c r="AW1589" s="29" t="s">
        <v>673</v>
      </c>
    </row>
    <row r="1590" spans="1:49">
      <c r="A1590" s="1">
        <v>84</v>
      </c>
      <c r="B1590" s="1" t="s">
        <v>38</v>
      </c>
      <c r="C1590" s="1" t="s">
        <v>49</v>
      </c>
      <c r="D1590" s="1" t="s">
        <v>652</v>
      </c>
      <c r="E1590" s="1" t="s">
        <v>71</v>
      </c>
      <c r="F1590" s="1">
        <v>2001</v>
      </c>
      <c r="G1590" s="1" t="s">
        <v>276</v>
      </c>
      <c r="H1590" s="1" t="s">
        <v>585</v>
      </c>
      <c r="I1590" s="1" t="s">
        <v>653</v>
      </c>
      <c r="J1590" s="1" t="s">
        <v>654</v>
      </c>
      <c r="K1590" s="1" t="s">
        <v>114</v>
      </c>
      <c r="L1590" s="3" t="s">
        <v>46</v>
      </c>
      <c r="M1590" s="1" t="s">
        <v>115</v>
      </c>
      <c r="N1590" s="1" t="s">
        <v>116</v>
      </c>
      <c r="O1590" s="1" t="s">
        <v>49</v>
      </c>
      <c r="P1590" s="1" t="s">
        <v>49</v>
      </c>
      <c r="Q1590" s="1" t="s">
        <v>49</v>
      </c>
      <c r="R1590" s="1">
        <v>0.5</v>
      </c>
      <c r="S1590" s="1" t="s">
        <v>294</v>
      </c>
      <c r="T1590" s="1" t="s">
        <v>655</v>
      </c>
      <c r="U1590" s="1" t="s">
        <v>656</v>
      </c>
      <c r="V1590" s="1" t="s">
        <v>657</v>
      </c>
      <c r="W1590" s="1">
        <v>43.77</v>
      </c>
      <c r="X1590" s="1">
        <v>3.87</v>
      </c>
      <c r="Y1590" s="1" t="s">
        <v>121</v>
      </c>
      <c r="Z1590" s="1" t="s">
        <v>49</v>
      </c>
      <c r="AA1590" s="6" t="s">
        <v>49</v>
      </c>
      <c r="AB1590" s="6" t="s">
        <v>49</v>
      </c>
      <c r="AC1590" s="6" t="s">
        <v>49</v>
      </c>
      <c r="AD1590" s="1" t="s">
        <v>663</v>
      </c>
      <c r="AE1590" s="1" t="s">
        <v>666</v>
      </c>
      <c r="AF1590" s="6" t="s">
        <v>49</v>
      </c>
      <c r="AG1590" s="6" t="s">
        <v>49</v>
      </c>
      <c r="AH1590" s="1" t="s">
        <v>152</v>
      </c>
      <c r="AI1590" s="1" t="s">
        <v>55</v>
      </c>
      <c r="AJ1590" s="20" t="s">
        <v>49</v>
      </c>
      <c r="AK1590" s="20" t="s">
        <v>49</v>
      </c>
      <c r="AL1590" s="20" t="s">
        <v>49</v>
      </c>
      <c r="AM1590" s="20" t="s">
        <v>49</v>
      </c>
      <c r="AN1590" s="1" t="s">
        <v>49</v>
      </c>
      <c r="AO1590" s="1" t="s">
        <v>49</v>
      </c>
      <c r="AP1590" s="6">
        <v>1</v>
      </c>
      <c r="AQ1590" s="6">
        <v>-0.12</v>
      </c>
      <c r="AR1590" s="6" t="s">
        <v>49</v>
      </c>
      <c r="AS1590" s="6" t="s">
        <v>49</v>
      </c>
      <c r="AT1590" s="6" t="s">
        <v>49</v>
      </c>
      <c r="AU1590" s="6" t="s">
        <v>49</v>
      </c>
      <c r="AV1590" s="6" t="s">
        <v>49</v>
      </c>
      <c r="AW1590" s="29" t="s">
        <v>673</v>
      </c>
    </row>
    <row r="1591" spans="1:49">
      <c r="A1591" s="1">
        <v>84</v>
      </c>
      <c r="B1591" s="1" t="s">
        <v>38</v>
      </c>
      <c r="C1591" s="1" t="s">
        <v>49</v>
      </c>
      <c r="D1591" s="1" t="s">
        <v>652</v>
      </c>
      <c r="E1591" s="1" t="s">
        <v>71</v>
      </c>
      <c r="F1591" s="1">
        <v>2001</v>
      </c>
      <c r="G1591" s="1" t="s">
        <v>276</v>
      </c>
      <c r="H1591" s="1" t="s">
        <v>585</v>
      </c>
      <c r="I1591" s="1" t="s">
        <v>653</v>
      </c>
      <c r="J1591" s="1" t="s">
        <v>654</v>
      </c>
      <c r="K1591" s="1" t="s">
        <v>114</v>
      </c>
      <c r="L1591" s="3" t="s">
        <v>46</v>
      </c>
      <c r="M1591" s="1" t="s">
        <v>115</v>
      </c>
      <c r="N1591" s="1" t="s">
        <v>116</v>
      </c>
      <c r="O1591" s="1" t="s">
        <v>49</v>
      </c>
      <c r="P1591" s="1" t="s">
        <v>49</v>
      </c>
      <c r="Q1591" s="1" t="s">
        <v>49</v>
      </c>
      <c r="R1591" s="1">
        <v>0.5</v>
      </c>
      <c r="S1591" s="1" t="s">
        <v>294</v>
      </c>
      <c r="T1591" s="1" t="s">
        <v>655</v>
      </c>
      <c r="U1591" s="1" t="s">
        <v>656</v>
      </c>
      <c r="V1591" s="1" t="s">
        <v>657</v>
      </c>
      <c r="W1591" s="1">
        <v>43.77</v>
      </c>
      <c r="X1591" s="1">
        <v>3.87</v>
      </c>
      <c r="Y1591" s="1" t="s">
        <v>121</v>
      </c>
      <c r="Z1591" s="1" t="s">
        <v>49</v>
      </c>
      <c r="AA1591" s="6" t="s">
        <v>49</v>
      </c>
      <c r="AB1591" s="6" t="s">
        <v>49</v>
      </c>
      <c r="AC1591" s="6" t="s">
        <v>49</v>
      </c>
      <c r="AD1591" s="1" t="s">
        <v>663</v>
      </c>
      <c r="AE1591" s="1" t="s">
        <v>669</v>
      </c>
      <c r="AF1591" s="6" t="s">
        <v>49</v>
      </c>
      <c r="AG1591" s="6" t="s">
        <v>49</v>
      </c>
      <c r="AH1591" s="1" t="s">
        <v>152</v>
      </c>
      <c r="AI1591" s="1" t="s">
        <v>55</v>
      </c>
      <c r="AJ1591" s="20" t="s">
        <v>49</v>
      </c>
      <c r="AK1591" s="20" t="s">
        <v>49</v>
      </c>
      <c r="AL1591" s="20" t="s">
        <v>49</v>
      </c>
      <c r="AM1591" s="20" t="s">
        <v>49</v>
      </c>
      <c r="AN1591" s="1" t="s">
        <v>49</v>
      </c>
      <c r="AO1591" s="1" t="s">
        <v>49</v>
      </c>
      <c r="AP1591" s="6">
        <v>1</v>
      </c>
      <c r="AQ1591" s="6">
        <v>-0.7</v>
      </c>
      <c r="AR1591" s="6" t="s">
        <v>49</v>
      </c>
      <c r="AS1591" s="6" t="s">
        <v>49</v>
      </c>
      <c r="AT1591" s="6" t="s">
        <v>49</v>
      </c>
      <c r="AU1591" s="6" t="s">
        <v>49</v>
      </c>
      <c r="AV1591" s="6" t="s">
        <v>49</v>
      </c>
      <c r="AW1591" s="29" t="s">
        <v>673</v>
      </c>
    </row>
    <row r="1592" spans="1:49">
      <c r="A1592" s="1">
        <v>84</v>
      </c>
      <c r="B1592" s="1" t="s">
        <v>38</v>
      </c>
      <c r="C1592" s="1" t="s">
        <v>49</v>
      </c>
      <c r="D1592" s="1" t="s">
        <v>652</v>
      </c>
      <c r="E1592" s="1" t="s">
        <v>71</v>
      </c>
      <c r="F1592" s="1">
        <v>2001</v>
      </c>
      <c r="G1592" s="1" t="s">
        <v>276</v>
      </c>
      <c r="H1592" s="1" t="s">
        <v>585</v>
      </c>
      <c r="I1592" s="1" t="s">
        <v>653</v>
      </c>
      <c r="J1592" s="1" t="s">
        <v>654</v>
      </c>
      <c r="K1592" s="1" t="s">
        <v>114</v>
      </c>
      <c r="L1592" s="3" t="s">
        <v>46</v>
      </c>
      <c r="M1592" s="1" t="s">
        <v>115</v>
      </c>
      <c r="N1592" s="1" t="s">
        <v>116</v>
      </c>
      <c r="O1592" s="1" t="s">
        <v>49</v>
      </c>
      <c r="P1592" s="1" t="s">
        <v>49</v>
      </c>
      <c r="Q1592" s="1" t="s">
        <v>49</v>
      </c>
      <c r="R1592" s="1">
        <v>0.5</v>
      </c>
      <c r="S1592" s="1" t="s">
        <v>294</v>
      </c>
      <c r="T1592" s="1" t="s">
        <v>655</v>
      </c>
      <c r="U1592" s="1" t="s">
        <v>656</v>
      </c>
      <c r="V1592" s="1" t="s">
        <v>657</v>
      </c>
      <c r="W1592" s="1">
        <v>43.77</v>
      </c>
      <c r="X1592" s="1">
        <v>3.87</v>
      </c>
      <c r="Y1592" s="1" t="s">
        <v>121</v>
      </c>
      <c r="Z1592" s="1" t="s">
        <v>49</v>
      </c>
      <c r="AA1592" s="6" t="s">
        <v>49</v>
      </c>
      <c r="AB1592" s="6" t="s">
        <v>49</v>
      </c>
      <c r="AC1592" s="6" t="s">
        <v>49</v>
      </c>
      <c r="AD1592" s="1" t="s">
        <v>663</v>
      </c>
      <c r="AE1592" s="1" t="s">
        <v>671</v>
      </c>
      <c r="AF1592" s="6" t="s">
        <v>49</v>
      </c>
      <c r="AG1592" s="6" t="s">
        <v>49</v>
      </c>
      <c r="AH1592" s="1" t="s">
        <v>152</v>
      </c>
      <c r="AI1592" s="1" t="s">
        <v>55</v>
      </c>
      <c r="AJ1592" s="20" t="s">
        <v>49</v>
      </c>
      <c r="AK1592" s="20" t="s">
        <v>49</v>
      </c>
      <c r="AL1592" s="20" t="s">
        <v>49</v>
      </c>
      <c r="AM1592" s="20" t="s">
        <v>49</v>
      </c>
      <c r="AN1592" s="1" t="s">
        <v>49</v>
      </c>
      <c r="AO1592" s="1" t="s">
        <v>49</v>
      </c>
      <c r="AP1592" s="6">
        <v>1</v>
      </c>
      <c r="AQ1592" s="6">
        <v>-0.19</v>
      </c>
      <c r="AR1592" s="6" t="s">
        <v>49</v>
      </c>
      <c r="AS1592" s="6" t="s">
        <v>49</v>
      </c>
      <c r="AT1592" s="6" t="s">
        <v>49</v>
      </c>
      <c r="AU1592" s="6" t="s">
        <v>49</v>
      </c>
      <c r="AV1592" s="6" t="s">
        <v>49</v>
      </c>
      <c r="AW1592" s="29" t="s">
        <v>673</v>
      </c>
    </row>
    <row r="1593" spans="1:49">
      <c r="A1593" s="1">
        <v>84</v>
      </c>
      <c r="B1593" s="1" t="s">
        <v>38</v>
      </c>
      <c r="C1593" s="1" t="s">
        <v>49</v>
      </c>
      <c r="D1593" s="1" t="s">
        <v>652</v>
      </c>
      <c r="E1593" s="1" t="s">
        <v>71</v>
      </c>
      <c r="F1593" s="1">
        <v>2001</v>
      </c>
      <c r="G1593" s="1" t="s">
        <v>276</v>
      </c>
      <c r="H1593" s="1" t="s">
        <v>585</v>
      </c>
      <c r="I1593" s="1" t="s">
        <v>653</v>
      </c>
      <c r="J1593" s="1" t="s">
        <v>654</v>
      </c>
      <c r="K1593" s="1" t="s">
        <v>114</v>
      </c>
      <c r="L1593" s="3" t="s">
        <v>46</v>
      </c>
      <c r="M1593" s="1" t="s">
        <v>115</v>
      </c>
      <c r="N1593" s="1" t="s">
        <v>116</v>
      </c>
      <c r="O1593" s="1" t="s">
        <v>49</v>
      </c>
      <c r="P1593" s="1" t="s">
        <v>49</v>
      </c>
      <c r="Q1593" s="1" t="s">
        <v>49</v>
      </c>
      <c r="R1593" s="1">
        <v>0.5</v>
      </c>
      <c r="S1593" s="1" t="s">
        <v>294</v>
      </c>
      <c r="T1593" s="1" t="s">
        <v>655</v>
      </c>
      <c r="U1593" s="1" t="s">
        <v>656</v>
      </c>
      <c r="V1593" s="1" t="s">
        <v>657</v>
      </c>
      <c r="W1593" s="1">
        <v>43.77</v>
      </c>
      <c r="X1593" s="1">
        <v>3.87</v>
      </c>
      <c r="Y1593" s="1" t="s">
        <v>121</v>
      </c>
      <c r="Z1593" s="1" t="s">
        <v>49</v>
      </c>
      <c r="AA1593" s="6" t="s">
        <v>49</v>
      </c>
      <c r="AB1593" s="6" t="s">
        <v>49</v>
      </c>
      <c r="AC1593" s="6" t="s">
        <v>49</v>
      </c>
      <c r="AD1593" s="1" t="s">
        <v>663</v>
      </c>
      <c r="AE1593" s="1" t="s">
        <v>672</v>
      </c>
      <c r="AF1593" s="6" t="s">
        <v>49</v>
      </c>
      <c r="AG1593" s="6" t="s">
        <v>49</v>
      </c>
      <c r="AH1593" s="1" t="s">
        <v>152</v>
      </c>
      <c r="AI1593" s="1" t="s">
        <v>55</v>
      </c>
      <c r="AJ1593" s="20" t="s">
        <v>49</v>
      </c>
      <c r="AK1593" s="20" t="s">
        <v>49</v>
      </c>
      <c r="AL1593" s="20" t="s">
        <v>49</v>
      </c>
      <c r="AM1593" s="20" t="s">
        <v>49</v>
      </c>
      <c r="AN1593" s="1" t="s">
        <v>49</v>
      </c>
      <c r="AO1593" s="1" t="s">
        <v>49</v>
      </c>
      <c r="AP1593" s="6">
        <v>1</v>
      </c>
      <c r="AQ1593" s="6">
        <v>0.88</v>
      </c>
      <c r="AR1593" s="6" t="s">
        <v>49</v>
      </c>
      <c r="AS1593" s="6" t="s">
        <v>49</v>
      </c>
      <c r="AT1593" s="6" t="s">
        <v>49</v>
      </c>
      <c r="AU1593" s="6" t="s">
        <v>49</v>
      </c>
      <c r="AV1593" s="6" t="s">
        <v>49</v>
      </c>
      <c r="AW1593" s="29" t="s">
        <v>673</v>
      </c>
    </row>
    <row r="1594" spans="1:49">
      <c r="A1594" s="1">
        <v>84</v>
      </c>
      <c r="B1594" s="1" t="s">
        <v>38</v>
      </c>
      <c r="C1594" s="1" t="s">
        <v>49</v>
      </c>
      <c r="D1594" s="1" t="s">
        <v>652</v>
      </c>
      <c r="E1594" s="1" t="s">
        <v>71</v>
      </c>
      <c r="F1594" s="1">
        <v>2001</v>
      </c>
      <c r="G1594" s="1" t="s">
        <v>276</v>
      </c>
      <c r="H1594" s="1" t="s">
        <v>585</v>
      </c>
      <c r="I1594" s="1" t="s">
        <v>653</v>
      </c>
      <c r="J1594" s="1" t="s">
        <v>654</v>
      </c>
      <c r="K1594" s="1" t="s">
        <v>114</v>
      </c>
      <c r="L1594" s="3" t="s">
        <v>46</v>
      </c>
      <c r="M1594" s="1" t="s">
        <v>115</v>
      </c>
      <c r="N1594" s="1" t="s">
        <v>116</v>
      </c>
      <c r="O1594" s="1" t="s">
        <v>49</v>
      </c>
      <c r="P1594" s="1" t="s">
        <v>49</v>
      </c>
      <c r="Q1594" s="1" t="s">
        <v>49</v>
      </c>
      <c r="R1594" s="1">
        <v>0.5</v>
      </c>
      <c r="S1594" s="1" t="s">
        <v>294</v>
      </c>
      <c r="T1594" s="1" t="s">
        <v>655</v>
      </c>
      <c r="U1594" s="1" t="s">
        <v>656</v>
      </c>
      <c r="V1594" s="1" t="s">
        <v>657</v>
      </c>
      <c r="W1594" s="1">
        <v>43.77</v>
      </c>
      <c r="X1594" s="1">
        <v>3.87</v>
      </c>
      <c r="Y1594" s="1" t="s">
        <v>121</v>
      </c>
      <c r="Z1594" s="1" t="s">
        <v>49</v>
      </c>
      <c r="AA1594" s="6" t="s">
        <v>49</v>
      </c>
      <c r="AB1594" s="6" t="s">
        <v>49</v>
      </c>
      <c r="AC1594" s="6" t="s">
        <v>49</v>
      </c>
      <c r="AD1594" s="1" t="s">
        <v>664</v>
      </c>
      <c r="AE1594" s="1" t="s">
        <v>666</v>
      </c>
      <c r="AF1594" s="6" t="s">
        <v>49</v>
      </c>
      <c r="AG1594" s="6" t="s">
        <v>49</v>
      </c>
      <c r="AH1594" s="1" t="s">
        <v>152</v>
      </c>
      <c r="AI1594" s="1" t="s">
        <v>55</v>
      </c>
      <c r="AJ1594" s="20" t="s">
        <v>49</v>
      </c>
      <c r="AK1594" s="20" t="s">
        <v>49</v>
      </c>
      <c r="AL1594" s="20" t="s">
        <v>49</v>
      </c>
      <c r="AM1594" s="20" t="s">
        <v>49</v>
      </c>
      <c r="AN1594" s="1" t="s">
        <v>49</v>
      </c>
      <c r="AO1594" s="1" t="s">
        <v>49</v>
      </c>
      <c r="AP1594" s="6">
        <v>1</v>
      </c>
      <c r="AQ1594" s="6">
        <v>-0.18</v>
      </c>
      <c r="AR1594" s="6" t="s">
        <v>49</v>
      </c>
      <c r="AS1594" s="6" t="s">
        <v>49</v>
      </c>
      <c r="AT1594" s="6" t="s">
        <v>49</v>
      </c>
      <c r="AU1594" s="6" t="s">
        <v>49</v>
      </c>
      <c r="AV1594" s="6" t="s">
        <v>49</v>
      </c>
      <c r="AW1594" s="29" t="s">
        <v>673</v>
      </c>
    </row>
    <row r="1595" spans="1:49">
      <c r="A1595" s="1">
        <v>84</v>
      </c>
      <c r="B1595" s="1" t="s">
        <v>38</v>
      </c>
      <c r="C1595" s="1" t="s">
        <v>49</v>
      </c>
      <c r="D1595" s="1" t="s">
        <v>652</v>
      </c>
      <c r="E1595" s="1" t="s">
        <v>71</v>
      </c>
      <c r="F1595" s="1">
        <v>2001</v>
      </c>
      <c r="G1595" s="1" t="s">
        <v>276</v>
      </c>
      <c r="H1595" s="1" t="s">
        <v>585</v>
      </c>
      <c r="I1595" s="1" t="s">
        <v>653</v>
      </c>
      <c r="J1595" s="1" t="s">
        <v>654</v>
      </c>
      <c r="K1595" s="1" t="s">
        <v>114</v>
      </c>
      <c r="L1595" s="3" t="s">
        <v>46</v>
      </c>
      <c r="M1595" s="1" t="s">
        <v>115</v>
      </c>
      <c r="N1595" s="1" t="s">
        <v>116</v>
      </c>
      <c r="O1595" s="1" t="s">
        <v>49</v>
      </c>
      <c r="P1595" s="1" t="s">
        <v>49</v>
      </c>
      <c r="Q1595" s="1" t="s">
        <v>49</v>
      </c>
      <c r="R1595" s="1">
        <v>0.5</v>
      </c>
      <c r="S1595" s="1" t="s">
        <v>294</v>
      </c>
      <c r="T1595" s="1" t="s">
        <v>655</v>
      </c>
      <c r="U1595" s="1" t="s">
        <v>656</v>
      </c>
      <c r="V1595" s="1" t="s">
        <v>657</v>
      </c>
      <c r="W1595" s="1">
        <v>43.77</v>
      </c>
      <c r="X1595" s="1">
        <v>3.87</v>
      </c>
      <c r="Y1595" s="1" t="s">
        <v>121</v>
      </c>
      <c r="Z1595" s="1" t="s">
        <v>49</v>
      </c>
      <c r="AA1595" s="6" t="s">
        <v>49</v>
      </c>
      <c r="AB1595" s="6" t="s">
        <v>49</v>
      </c>
      <c r="AC1595" s="6" t="s">
        <v>49</v>
      </c>
      <c r="AD1595" s="1" t="s">
        <v>664</v>
      </c>
      <c r="AE1595" s="1" t="s">
        <v>669</v>
      </c>
      <c r="AF1595" s="6" t="s">
        <v>49</v>
      </c>
      <c r="AG1595" s="6" t="s">
        <v>49</v>
      </c>
      <c r="AH1595" s="1" t="s">
        <v>152</v>
      </c>
      <c r="AI1595" s="1" t="s">
        <v>55</v>
      </c>
      <c r="AJ1595" s="20" t="s">
        <v>49</v>
      </c>
      <c r="AK1595" s="20" t="s">
        <v>49</v>
      </c>
      <c r="AL1595" s="20" t="s">
        <v>49</v>
      </c>
      <c r="AM1595" s="20" t="s">
        <v>49</v>
      </c>
      <c r="AN1595" s="1" t="s">
        <v>49</v>
      </c>
      <c r="AO1595" s="1" t="s">
        <v>49</v>
      </c>
      <c r="AP1595" s="6">
        <v>1</v>
      </c>
      <c r="AQ1595" s="6">
        <v>-0.6</v>
      </c>
      <c r="AR1595" s="6" t="s">
        <v>49</v>
      </c>
      <c r="AS1595" s="6" t="s">
        <v>49</v>
      </c>
      <c r="AT1595" s="6" t="s">
        <v>49</v>
      </c>
      <c r="AU1595" s="6" t="s">
        <v>49</v>
      </c>
      <c r="AV1595" s="6" t="s">
        <v>49</v>
      </c>
      <c r="AW1595" s="29" t="s">
        <v>673</v>
      </c>
    </row>
    <row r="1596" spans="1:49">
      <c r="A1596" s="1">
        <v>84</v>
      </c>
      <c r="B1596" s="1" t="s">
        <v>38</v>
      </c>
      <c r="C1596" s="1" t="s">
        <v>49</v>
      </c>
      <c r="D1596" s="1" t="s">
        <v>652</v>
      </c>
      <c r="E1596" s="1" t="s">
        <v>71</v>
      </c>
      <c r="F1596" s="1">
        <v>2001</v>
      </c>
      <c r="G1596" s="1" t="s">
        <v>276</v>
      </c>
      <c r="H1596" s="1" t="s">
        <v>585</v>
      </c>
      <c r="I1596" s="1" t="s">
        <v>653</v>
      </c>
      <c r="J1596" s="1" t="s">
        <v>654</v>
      </c>
      <c r="K1596" s="1" t="s">
        <v>114</v>
      </c>
      <c r="L1596" s="3" t="s">
        <v>46</v>
      </c>
      <c r="M1596" s="1" t="s">
        <v>115</v>
      </c>
      <c r="N1596" s="1" t="s">
        <v>116</v>
      </c>
      <c r="O1596" s="1" t="s">
        <v>49</v>
      </c>
      <c r="P1596" s="1" t="s">
        <v>49</v>
      </c>
      <c r="Q1596" s="1" t="s">
        <v>49</v>
      </c>
      <c r="R1596" s="1">
        <v>0.5</v>
      </c>
      <c r="S1596" s="1" t="s">
        <v>294</v>
      </c>
      <c r="T1596" s="1" t="s">
        <v>655</v>
      </c>
      <c r="U1596" s="1" t="s">
        <v>656</v>
      </c>
      <c r="V1596" s="1" t="s">
        <v>657</v>
      </c>
      <c r="W1596" s="1">
        <v>43.77</v>
      </c>
      <c r="X1596" s="1">
        <v>3.87</v>
      </c>
      <c r="Y1596" s="1" t="s">
        <v>121</v>
      </c>
      <c r="Z1596" s="1" t="s">
        <v>49</v>
      </c>
      <c r="AA1596" s="6" t="s">
        <v>49</v>
      </c>
      <c r="AB1596" s="6" t="s">
        <v>49</v>
      </c>
      <c r="AC1596" s="6" t="s">
        <v>49</v>
      </c>
      <c r="AD1596" s="1" t="s">
        <v>664</v>
      </c>
      <c r="AE1596" s="1" t="s">
        <v>671</v>
      </c>
      <c r="AF1596" s="6" t="s">
        <v>49</v>
      </c>
      <c r="AG1596" s="6" t="s">
        <v>49</v>
      </c>
      <c r="AH1596" s="1" t="s">
        <v>152</v>
      </c>
      <c r="AI1596" s="1" t="s">
        <v>55</v>
      </c>
      <c r="AJ1596" s="20" t="s">
        <v>49</v>
      </c>
      <c r="AK1596" s="20" t="s">
        <v>49</v>
      </c>
      <c r="AL1596" s="20" t="s">
        <v>49</v>
      </c>
      <c r="AM1596" s="20" t="s">
        <v>49</v>
      </c>
      <c r="AN1596" s="1" t="s">
        <v>49</v>
      </c>
      <c r="AO1596" s="1" t="s">
        <v>49</v>
      </c>
      <c r="AP1596" s="6">
        <v>1</v>
      </c>
      <c r="AQ1596" s="6">
        <v>-0.25</v>
      </c>
      <c r="AR1596" s="6" t="s">
        <v>49</v>
      </c>
      <c r="AS1596" s="6" t="s">
        <v>49</v>
      </c>
      <c r="AT1596" s="6" t="s">
        <v>49</v>
      </c>
      <c r="AU1596" s="6" t="s">
        <v>49</v>
      </c>
      <c r="AV1596" s="6" t="s">
        <v>49</v>
      </c>
      <c r="AW1596" s="29" t="s">
        <v>673</v>
      </c>
    </row>
    <row r="1597" spans="1:49">
      <c r="A1597" s="1">
        <v>84</v>
      </c>
      <c r="B1597" s="1" t="s">
        <v>38</v>
      </c>
      <c r="C1597" s="1" t="s">
        <v>49</v>
      </c>
      <c r="D1597" s="1" t="s">
        <v>652</v>
      </c>
      <c r="E1597" s="1" t="s">
        <v>71</v>
      </c>
      <c r="F1597" s="1">
        <v>2001</v>
      </c>
      <c r="G1597" s="1" t="s">
        <v>276</v>
      </c>
      <c r="H1597" s="1" t="s">
        <v>585</v>
      </c>
      <c r="I1597" s="1" t="s">
        <v>653</v>
      </c>
      <c r="J1597" s="1" t="s">
        <v>654</v>
      </c>
      <c r="K1597" s="1" t="s">
        <v>114</v>
      </c>
      <c r="L1597" s="3" t="s">
        <v>46</v>
      </c>
      <c r="M1597" s="1" t="s">
        <v>115</v>
      </c>
      <c r="N1597" s="1" t="s">
        <v>116</v>
      </c>
      <c r="O1597" s="1" t="s">
        <v>49</v>
      </c>
      <c r="P1597" s="1" t="s">
        <v>49</v>
      </c>
      <c r="Q1597" s="1" t="s">
        <v>49</v>
      </c>
      <c r="R1597" s="1">
        <v>0.5</v>
      </c>
      <c r="S1597" s="1" t="s">
        <v>294</v>
      </c>
      <c r="T1597" s="1" t="s">
        <v>655</v>
      </c>
      <c r="U1597" s="1" t="s">
        <v>656</v>
      </c>
      <c r="V1597" s="1" t="s">
        <v>657</v>
      </c>
      <c r="W1597" s="1">
        <v>43.77</v>
      </c>
      <c r="X1597" s="1">
        <v>3.87</v>
      </c>
      <c r="Y1597" s="1" t="s">
        <v>121</v>
      </c>
      <c r="Z1597" s="1" t="s">
        <v>49</v>
      </c>
      <c r="AA1597" s="6" t="s">
        <v>49</v>
      </c>
      <c r="AB1597" s="6" t="s">
        <v>49</v>
      </c>
      <c r="AC1597" s="6" t="s">
        <v>49</v>
      </c>
      <c r="AD1597" s="1" t="s">
        <v>664</v>
      </c>
      <c r="AE1597" s="1" t="s">
        <v>672</v>
      </c>
      <c r="AF1597" s="6" t="s">
        <v>49</v>
      </c>
      <c r="AG1597" s="6" t="s">
        <v>49</v>
      </c>
      <c r="AH1597" s="1" t="s">
        <v>152</v>
      </c>
      <c r="AI1597" s="1" t="s">
        <v>55</v>
      </c>
      <c r="AJ1597" s="20" t="s">
        <v>49</v>
      </c>
      <c r="AK1597" s="20" t="s">
        <v>49</v>
      </c>
      <c r="AL1597" s="20" t="s">
        <v>49</v>
      </c>
      <c r="AM1597" s="20" t="s">
        <v>49</v>
      </c>
      <c r="AN1597" s="1" t="s">
        <v>49</v>
      </c>
      <c r="AO1597" s="1" t="s">
        <v>49</v>
      </c>
      <c r="AP1597" s="6">
        <v>1</v>
      </c>
      <c r="AQ1597" s="6">
        <v>0.89</v>
      </c>
      <c r="AR1597" s="6" t="s">
        <v>49</v>
      </c>
      <c r="AS1597" s="6" t="s">
        <v>49</v>
      </c>
      <c r="AT1597" s="6" t="s">
        <v>49</v>
      </c>
      <c r="AU1597" s="6" t="s">
        <v>49</v>
      </c>
      <c r="AV1597" s="6" t="s">
        <v>49</v>
      </c>
      <c r="AW1597" s="29" t="s">
        <v>673</v>
      </c>
    </row>
    <row r="1598" spans="1:49">
      <c r="A1598" s="1">
        <v>84</v>
      </c>
      <c r="B1598" s="1" t="s">
        <v>38</v>
      </c>
      <c r="C1598" s="1" t="s">
        <v>49</v>
      </c>
      <c r="D1598" s="1" t="s">
        <v>652</v>
      </c>
      <c r="E1598" s="1" t="s">
        <v>71</v>
      </c>
      <c r="F1598" s="1">
        <v>2001</v>
      </c>
      <c r="G1598" s="1" t="s">
        <v>276</v>
      </c>
      <c r="H1598" s="1" t="s">
        <v>585</v>
      </c>
      <c r="I1598" s="1" t="s">
        <v>653</v>
      </c>
      <c r="J1598" s="1" t="s">
        <v>654</v>
      </c>
      <c r="K1598" s="1" t="s">
        <v>114</v>
      </c>
      <c r="L1598" s="3" t="s">
        <v>46</v>
      </c>
      <c r="M1598" s="1" t="s">
        <v>115</v>
      </c>
      <c r="N1598" s="1" t="s">
        <v>116</v>
      </c>
      <c r="O1598" s="1" t="s">
        <v>49</v>
      </c>
      <c r="P1598" s="1" t="s">
        <v>49</v>
      </c>
      <c r="Q1598" s="1" t="s">
        <v>49</v>
      </c>
      <c r="R1598" s="1">
        <v>0.5</v>
      </c>
      <c r="S1598" s="1" t="s">
        <v>294</v>
      </c>
      <c r="T1598" s="1" t="s">
        <v>655</v>
      </c>
      <c r="U1598" s="1" t="s">
        <v>656</v>
      </c>
      <c r="V1598" s="1" t="s">
        <v>657</v>
      </c>
      <c r="W1598" s="1">
        <v>43.77</v>
      </c>
      <c r="X1598" s="1">
        <v>3.87</v>
      </c>
      <c r="Y1598" s="1" t="s">
        <v>121</v>
      </c>
      <c r="Z1598" s="1" t="s">
        <v>49</v>
      </c>
      <c r="AA1598" s="6" t="s">
        <v>49</v>
      </c>
      <c r="AB1598" s="6" t="s">
        <v>49</v>
      </c>
      <c r="AC1598" s="6" t="s">
        <v>49</v>
      </c>
      <c r="AD1598" s="1" t="s">
        <v>666</v>
      </c>
      <c r="AE1598" s="1" t="s">
        <v>669</v>
      </c>
      <c r="AF1598" s="6" t="s">
        <v>49</v>
      </c>
      <c r="AG1598" s="6" t="s">
        <v>49</v>
      </c>
      <c r="AH1598" s="1" t="s">
        <v>152</v>
      </c>
      <c r="AI1598" s="1" t="s">
        <v>55</v>
      </c>
      <c r="AJ1598" s="20" t="s">
        <v>49</v>
      </c>
      <c r="AK1598" s="20" t="s">
        <v>49</v>
      </c>
      <c r="AL1598" s="20" t="s">
        <v>49</v>
      </c>
      <c r="AM1598" s="20" t="s">
        <v>49</v>
      </c>
      <c r="AN1598" s="1" t="s">
        <v>49</v>
      </c>
      <c r="AO1598" s="1" t="s">
        <v>49</v>
      </c>
      <c r="AP1598" s="6">
        <v>1</v>
      </c>
      <c r="AQ1598" s="6">
        <v>-0.2</v>
      </c>
      <c r="AR1598" s="6" t="s">
        <v>49</v>
      </c>
      <c r="AS1598" s="6" t="s">
        <v>49</v>
      </c>
      <c r="AT1598" s="6" t="s">
        <v>49</v>
      </c>
      <c r="AU1598" s="6" t="s">
        <v>49</v>
      </c>
      <c r="AV1598" s="6" t="s">
        <v>49</v>
      </c>
      <c r="AW1598" s="29" t="s">
        <v>673</v>
      </c>
    </row>
    <row r="1599" spans="1:49">
      <c r="A1599" s="1">
        <v>84</v>
      </c>
      <c r="B1599" s="1" t="s">
        <v>38</v>
      </c>
      <c r="C1599" s="1" t="s">
        <v>49</v>
      </c>
      <c r="D1599" s="1" t="s">
        <v>652</v>
      </c>
      <c r="E1599" s="1" t="s">
        <v>71</v>
      </c>
      <c r="F1599" s="1">
        <v>2001</v>
      </c>
      <c r="G1599" s="1" t="s">
        <v>276</v>
      </c>
      <c r="H1599" s="1" t="s">
        <v>585</v>
      </c>
      <c r="I1599" s="1" t="s">
        <v>653</v>
      </c>
      <c r="J1599" s="1" t="s">
        <v>654</v>
      </c>
      <c r="K1599" s="1" t="s">
        <v>114</v>
      </c>
      <c r="L1599" s="3" t="s">
        <v>46</v>
      </c>
      <c r="M1599" s="1" t="s">
        <v>115</v>
      </c>
      <c r="N1599" s="1" t="s">
        <v>116</v>
      </c>
      <c r="O1599" s="1" t="s">
        <v>49</v>
      </c>
      <c r="P1599" s="1" t="s">
        <v>49</v>
      </c>
      <c r="Q1599" s="1" t="s">
        <v>49</v>
      </c>
      <c r="R1599" s="1">
        <v>0.5</v>
      </c>
      <c r="S1599" s="1" t="s">
        <v>294</v>
      </c>
      <c r="T1599" s="1" t="s">
        <v>655</v>
      </c>
      <c r="U1599" s="1" t="s">
        <v>656</v>
      </c>
      <c r="V1599" s="1" t="s">
        <v>657</v>
      </c>
      <c r="W1599" s="1">
        <v>43.77</v>
      </c>
      <c r="X1599" s="1">
        <v>3.87</v>
      </c>
      <c r="Y1599" s="1" t="s">
        <v>121</v>
      </c>
      <c r="Z1599" s="1" t="s">
        <v>49</v>
      </c>
      <c r="AA1599" s="6" t="s">
        <v>49</v>
      </c>
      <c r="AB1599" s="6" t="s">
        <v>49</v>
      </c>
      <c r="AC1599" s="6" t="s">
        <v>49</v>
      </c>
      <c r="AD1599" s="1" t="s">
        <v>666</v>
      </c>
      <c r="AE1599" s="1" t="s">
        <v>671</v>
      </c>
      <c r="AF1599" s="6" t="s">
        <v>49</v>
      </c>
      <c r="AG1599" s="6" t="s">
        <v>49</v>
      </c>
      <c r="AH1599" s="1" t="s">
        <v>152</v>
      </c>
      <c r="AI1599" s="1" t="s">
        <v>55</v>
      </c>
      <c r="AJ1599" s="20" t="s">
        <v>49</v>
      </c>
      <c r="AK1599" s="20" t="s">
        <v>49</v>
      </c>
      <c r="AL1599" s="20" t="s">
        <v>49</v>
      </c>
      <c r="AM1599" s="20" t="s">
        <v>49</v>
      </c>
      <c r="AN1599" s="1" t="s">
        <v>49</v>
      </c>
      <c r="AO1599" s="1" t="s">
        <v>49</v>
      </c>
      <c r="AP1599" s="6">
        <v>1</v>
      </c>
      <c r="AQ1599" s="6">
        <v>0.99</v>
      </c>
      <c r="AR1599" s="6" t="s">
        <v>49</v>
      </c>
      <c r="AS1599" s="6" t="s">
        <v>49</v>
      </c>
      <c r="AT1599" s="6" t="s">
        <v>49</v>
      </c>
      <c r="AU1599" s="6" t="s">
        <v>49</v>
      </c>
      <c r="AV1599" s="6" t="s">
        <v>49</v>
      </c>
      <c r="AW1599" s="29" t="s">
        <v>673</v>
      </c>
    </row>
    <row r="1600" spans="1:49">
      <c r="A1600" s="1">
        <v>84</v>
      </c>
      <c r="B1600" s="1" t="s">
        <v>38</v>
      </c>
      <c r="C1600" s="1" t="s">
        <v>49</v>
      </c>
      <c r="D1600" s="1" t="s">
        <v>652</v>
      </c>
      <c r="E1600" s="1" t="s">
        <v>71</v>
      </c>
      <c r="F1600" s="1">
        <v>2001</v>
      </c>
      <c r="G1600" s="1" t="s">
        <v>276</v>
      </c>
      <c r="H1600" s="1" t="s">
        <v>585</v>
      </c>
      <c r="I1600" s="1" t="s">
        <v>653</v>
      </c>
      <c r="J1600" s="1" t="s">
        <v>654</v>
      </c>
      <c r="K1600" s="1" t="s">
        <v>114</v>
      </c>
      <c r="L1600" s="3" t="s">
        <v>46</v>
      </c>
      <c r="M1600" s="1" t="s">
        <v>115</v>
      </c>
      <c r="N1600" s="1" t="s">
        <v>116</v>
      </c>
      <c r="O1600" s="1" t="s">
        <v>49</v>
      </c>
      <c r="P1600" s="1" t="s">
        <v>49</v>
      </c>
      <c r="Q1600" s="1" t="s">
        <v>49</v>
      </c>
      <c r="R1600" s="1">
        <v>0.5</v>
      </c>
      <c r="S1600" s="1" t="s">
        <v>294</v>
      </c>
      <c r="T1600" s="1" t="s">
        <v>655</v>
      </c>
      <c r="U1600" s="1" t="s">
        <v>656</v>
      </c>
      <c r="V1600" s="1" t="s">
        <v>657</v>
      </c>
      <c r="W1600" s="1">
        <v>43.77</v>
      </c>
      <c r="X1600" s="1">
        <v>3.87</v>
      </c>
      <c r="Y1600" s="1" t="s">
        <v>121</v>
      </c>
      <c r="Z1600" s="1" t="s">
        <v>49</v>
      </c>
      <c r="AA1600" s="6" t="s">
        <v>49</v>
      </c>
      <c r="AB1600" s="6" t="s">
        <v>49</v>
      </c>
      <c r="AC1600" s="6" t="s">
        <v>49</v>
      </c>
      <c r="AD1600" s="1" t="s">
        <v>666</v>
      </c>
      <c r="AE1600" s="1" t="s">
        <v>672</v>
      </c>
      <c r="AF1600" s="6" t="s">
        <v>49</v>
      </c>
      <c r="AG1600" s="6" t="s">
        <v>49</v>
      </c>
      <c r="AH1600" s="1" t="s">
        <v>152</v>
      </c>
      <c r="AI1600" s="1" t="s">
        <v>55</v>
      </c>
      <c r="AJ1600" s="20" t="s">
        <v>49</v>
      </c>
      <c r="AK1600" s="20" t="s">
        <v>49</v>
      </c>
      <c r="AL1600" s="20" t="s">
        <v>49</v>
      </c>
      <c r="AM1600" s="20" t="s">
        <v>49</v>
      </c>
      <c r="AN1600" s="1" t="s">
        <v>49</v>
      </c>
      <c r="AO1600" s="1" t="s">
        <v>49</v>
      </c>
      <c r="AP1600" s="6">
        <v>1</v>
      </c>
      <c r="AQ1600" s="6">
        <v>-0.73</v>
      </c>
      <c r="AR1600" s="6" t="s">
        <v>49</v>
      </c>
      <c r="AS1600" s="6" t="s">
        <v>49</v>
      </c>
      <c r="AT1600" s="6" t="s">
        <v>49</v>
      </c>
      <c r="AU1600" s="6" t="s">
        <v>49</v>
      </c>
      <c r="AV1600" s="6" t="s">
        <v>49</v>
      </c>
      <c r="AW1600" s="29" t="s">
        <v>673</v>
      </c>
    </row>
    <row r="1601" spans="1:50">
      <c r="A1601" s="1">
        <v>84</v>
      </c>
      <c r="B1601" s="1" t="s">
        <v>38</v>
      </c>
      <c r="C1601" s="1" t="s">
        <v>49</v>
      </c>
      <c r="D1601" s="1" t="s">
        <v>652</v>
      </c>
      <c r="E1601" s="1" t="s">
        <v>71</v>
      </c>
      <c r="F1601" s="1">
        <v>2001</v>
      </c>
      <c r="G1601" s="1" t="s">
        <v>276</v>
      </c>
      <c r="H1601" s="1" t="s">
        <v>585</v>
      </c>
      <c r="I1601" s="1" t="s">
        <v>653</v>
      </c>
      <c r="J1601" s="1" t="s">
        <v>654</v>
      </c>
      <c r="K1601" s="1" t="s">
        <v>114</v>
      </c>
      <c r="L1601" s="3" t="s">
        <v>46</v>
      </c>
      <c r="M1601" s="1" t="s">
        <v>115</v>
      </c>
      <c r="N1601" s="1" t="s">
        <v>116</v>
      </c>
      <c r="O1601" s="1" t="s">
        <v>49</v>
      </c>
      <c r="P1601" s="1" t="s">
        <v>49</v>
      </c>
      <c r="Q1601" s="1" t="s">
        <v>49</v>
      </c>
      <c r="R1601" s="1">
        <v>0.5</v>
      </c>
      <c r="S1601" s="1" t="s">
        <v>294</v>
      </c>
      <c r="T1601" s="1" t="s">
        <v>655</v>
      </c>
      <c r="U1601" s="1" t="s">
        <v>656</v>
      </c>
      <c r="V1601" s="1" t="s">
        <v>657</v>
      </c>
      <c r="W1601" s="1">
        <v>43.77</v>
      </c>
      <c r="X1601" s="1">
        <v>3.87</v>
      </c>
      <c r="Y1601" s="1" t="s">
        <v>121</v>
      </c>
      <c r="Z1601" s="1" t="s">
        <v>49</v>
      </c>
      <c r="AA1601" s="6" t="s">
        <v>49</v>
      </c>
      <c r="AB1601" s="6" t="s">
        <v>49</v>
      </c>
      <c r="AC1601" s="6" t="s">
        <v>49</v>
      </c>
      <c r="AD1601" s="1" t="s">
        <v>669</v>
      </c>
      <c r="AE1601" s="1" t="s">
        <v>671</v>
      </c>
      <c r="AF1601" s="6" t="s">
        <v>49</v>
      </c>
      <c r="AG1601" s="6" t="s">
        <v>49</v>
      </c>
      <c r="AH1601" s="1" t="s">
        <v>152</v>
      </c>
      <c r="AI1601" s="1" t="s">
        <v>55</v>
      </c>
      <c r="AJ1601" s="20" t="s">
        <v>49</v>
      </c>
      <c r="AK1601" s="20" t="s">
        <v>49</v>
      </c>
      <c r="AL1601" s="20" t="s">
        <v>49</v>
      </c>
      <c r="AM1601" s="20" t="s">
        <v>49</v>
      </c>
      <c r="AN1601" s="1" t="s">
        <v>49</v>
      </c>
      <c r="AO1601" s="1" t="s">
        <v>49</v>
      </c>
      <c r="AP1601" s="6">
        <v>1</v>
      </c>
      <c r="AQ1601" s="6">
        <v>-0.13</v>
      </c>
      <c r="AR1601" s="6" t="s">
        <v>49</v>
      </c>
      <c r="AS1601" s="6" t="s">
        <v>49</v>
      </c>
      <c r="AT1601" s="6" t="s">
        <v>49</v>
      </c>
      <c r="AU1601" s="6" t="s">
        <v>49</v>
      </c>
      <c r="AV1601" s="6" t="s">
        <v>49</v>
      </c>
      <c r="AW1601" s="29" t="s">
        <v>673</v>
      </c>
    </row>
    <row r="1602" spans="1:50">
      <c r="A1602" s="1">
        <v>84</v>
      </c>
      <c r="B1602" s="1" t="s">
        <v>38</v>
      </c>
      <c r="C1602" s="1" t="s">
        <v>49</v>
      </c>
      <c r="D1602" s="1" t="s">
        <v>652</v>
      </c>
      <c r="E1602" s="1" t="s">
        <v>71</v>
      </c>
      <c r="F1602" s="1">
        <v>2001</v>
      </c>
      <c r="G1602" s="1" t="s">
        <v>276</v>
      </c>
      <c r="H1602" s="1" t="s">
        <v>585</v>
      </c>
      <c r="I1602" s="1" t="s">
        <v>653</v>
      </c>
      <c r="J1602" s="1" t="s">
        <v>654</v>
      </c>
      <c r="K1602" s="1" t="s">
        <v>114</v>
      </c>
      <c r="L1602" s="3" t="s">
        <v>46</v>
      </c>
      <c r="M1602" s="1" t="s">
        <v>115</v>
      </c>
      <c r="N1602" s="1" t="s">
        <v>116</v>
      </c>
      <c r="O1602" s="1" t="s">
        <v>49</v>
      </c>
      <c r="P1602" s="1" t="s">
        <v>49</v>
      </c>
      <c r="Q1602" s="1" t="s">
        <v>49</v>
      </c>
      <c r="R1602" s="1">
        <v>0.5</v>
      </c>
      <c r="S1602" s="1" t="s">
        <v>294</v>
      </c>
      <c r="T1602" s="1" t="s">
        <v>655</v>
      </c>
      <c r="U1602" s="1" t="s">
        <v>656</v>
      </c>
      <c r="V1602" s="1" t="s">
        <v>657</v>
      </c>
      <c r="W1602" s="1">
        <v>43.77</v>
      </c>
      <c r="X1602" s="1">
        <v>3.87</v>
      </c>
      <c r="Y1602" s="1" t="s">
        <v>121</v>
      </c>
      <c r="Z1602" s="1" t="s">
        <v>49</v>
      </c>
      <c r="AA1602" s="6" t="s">
        <v>49</v>
      </c>
      <c r="AB1602" s="6" t="s">
        <v>49</v>
      </c>
      <c r="AC1602" s="6" t="s">
        <v>49</v>
      </c>
      <c r="AD1602" s="1" t="s">
        <v>669</v>
      </c>
      <c r="AE1602" s="1" t="s">
        <v>672</v>
      </c>
      <c r="AF1602" s="6" t="s">
        <v>49</v>
      </c>
      <c r="AG1602" s="6" t="s">
        <v>49</v>
      </c>
      <c r="AH1602" s="1" t="s">
        <v>152</v>
      </c>
      <c r="AI1602" s="1" t="s">
        <v>55</v>
      </c>
      <c r="AJ1602" s="20" t="s">
        <v>49</v>
      </c>
      <c r="AK1602" s="20" t="s">
        <v>49</v>
      </c>
      <c r="AL1602" s="20" t="s">
        <v>49</v>
      </c>
      <c r="AM1602" s="20" t="s">
        <v>49</v>
      </c>
      <c r="AN1602" s="1" t="s">
        <v>49</v>
      </c>
      <c r="AO1602" s="1" t="s">
        <v>49</v>
      </c>
      <c r="AP1602" s="6">
        <v>1</v>
      </c>
      <c r="AQ1602" s="6">
        <v>-0.52</v>
      </c>
      <c r="AR1602" s="6" t="s">
        <v>49</v>
      </c>
      <c r="AS1602" s="6" t="s">
        <v>49</v>
      </c>
      <c r="AT1602" s="6" t="s">
        <v>49</v>
      </c>
      <c r="AU1602" s="6" t="s">
        <v>49</v>
      </c>
      <c r="AV1602" s="6" t="s">
        <v>49</v>
      </c>
      <c r="AW1602" s="29" t="s">
        <v>673</v>
      </c>
    </row>
    <row r="1603" spans="1:50">
      <c r="A1603" s="1">
        <v>84</v>
      </c>
      <c r="B1603" s="1" t="s">
        <v>38</v>
      </c>
      <c r="C1603" s="1" t="s">
        <v>49</v>
      </c>
      <c r="D1603" s="1" t="s">
        <v>652</v>
      </c>
      <c r="E1603" s="1" t="s">
        <v>71</v>
      </c>
      <c r="F1603" s="1">
        <v>2001</v>
      </c>
      <c r="G1603" s="1" t="s">
        <v>276</v>
      </c>
      <c r="H1603" s="1" t="s">
        <v>585</v>
      </c>
      <c r="I1603" s="1" t="s">
        <v>653</v>
      </c>
      <c r="J1603" s="1" t="s">
        <v>654</v>
      </c>
      <c r="K1603" s="1" t="s">
        <v>114</v>
      </c>
      <c r="L1603" s="3" t="s">
        <v>46</v>
      </c>
      <c r="M1603" s="1" t="s">
        <v>115</v>
      </c>
      <c r="N1603" s="1" t="s">
        <v>116</v>
      </c>
      <c r="O1603" s="1" t="s">
        <v>49</v>
      </c>
      <c r="P1603" s="1" t="s">
        <v>49</v>
      </c>
      <c r="Q1603" s="1" t="s">
        <v>49</v>
      </c>
      <c r="R1603" s="1">
        <v>0.5</v>
      </c>
      <c r="S1603" s="1" t="s">
        <v>294</v>
      </c>
      <c r="T1603" s="1" t="s">
        <v>655</v>
      </c>
      <c r="U1603" s="1" t="s">
        <v>656</v>
      </c>
      <c r="V1603" s="1" t="s">
        <v>657</v>
      </c>
      <c r="W1603" s="1">
        <v>43.77</v>
      </c>
      <c r="X1603" s="1">
        <v>3.87</v>
      </c>
      <c r="Y1603" s="1" t="s">
        <v>121</v>
      </c>
      <c r="Z1603" s="1" t="s">
        <v>49</v>
      </c>
      <c r="AA1603" s="6" t="s">
        <v>49</v>
      </c>
      <c r="AB1603" s="6" t="s">
        <v>49</v>
      </c>
      <c r="AC1603" s="6" t="s">
        <v>49</v>
      </c>
      <c r="AD1603" s="1" t="s">
        <v>671</v>
      </c>
      <c r="AE1603" s="1" t="s">
        <v>672</v>
      </c>
      <c r="AF1603" s="6" t="s">
        <v>49</v>
      </c>
      <c r="AG1603" s="6" t="s">
        <v>49</v>
      </c>
      <c r="AH1603" s="1" t="s">
        <v>152</v>
      </c>
      <c r="AI1603" s="1" t="s">
        <v>55</v>
      </c>
      <c r="AJ1603" s="20" t="s">
        <v>49</v>
      </c>
      <c r="AK1603" s="20" t="s">
        <v>49</v>
      </c>
      <c r="AL1603" s="20" t="s">
        <v>49</v>
      </c>
      <c r="AM1603" s="20" t="s">
        <v>49</v>
      </c>
      <c r="AN1603" s="1" t="s">
        <v>49</v>
      </c>
      <c r="AO1603" s="1" t="s">
        <v>49</v>
      </c>
      <c r="AP1603" s="6">
        <v>1</v>
      </c>
      <c r="AQ1603" s="6">
        <v>-0.77</v>
      </c>
      <c r="AR1603" s="6" t="s">
        <v>49</v>
      </c>
      <c r="AS1603" s="6" t="s">
        <v>49</v>
      </c>
      <c r="AT1603" s="6" t="s">
        <v>49</v>
      </c>
      <c r="AU1603" s="6" t="s">
        <v>49</v>
      </c>
      <c r="AV1603" s="6" t="s">
        <v>49</v>
      </c>
      <c r="AW1603" s="29" t="s">
        <v>673</v>
      </c>
    </row>
    <row r="1604" spans="1:50">
      <c r="A1604" s="1">
        <v>55</v>
      </c>
      <c r="B1604" s="1" t="s">
        <v>38</v>
      </c>
      <c r="C1604" s="1" t="s">
        <v>38</v>
      </c>
      <c r="D1604" s="1" t="s">
        <v>674</v>
      </c>
      <c r="E1604" s="1" t="s">
        <v>40</v>
      </c>
      <c r="F1604" s="1">
        <v>2003</v>
      </c>
      <c r="G1604" s="1" t="s">
        <v>407</v>
      </c>
      <c r="H1604" s="3" t="s">
        <v>408</v>
      </c>
      <c r="I1604" s="3" t="s">
        <v>409</v>
      </c>
      <c r="J1604" s="1" t="s">
        <v>410</v>
      </c>
      <c r="K1604" s="1" t="s">
        <v>45</v>
      </c>
      <c r="L1604" s="3" t="s">
        <v>46</v>
      </c>
      <c r="M1604" s="1" t="s">
        <v>12</v>
      </c>
      <c r="N1604" s="1" t="s">
        <v>76</v>
      </c>
      <c r="O1604" s="1">
        <v>0.41</v>
      </c>
      <c r="P1604" s="1" t="s">
        <v>49</v>
      </c>
      <c r="Q1604" s="1">
        <v>0.41</v>
      </c>
      <c r="R1604" s="1">
        <v>1</v>
      </c>
      <c r="S1604" s="1" t="s">
        <v>117</v>
      </c>
      <c r="T1604" s="1" t="s">
        <v>411</v>
      </c>
      <c r="U1604" s="1" t="s">
        <v>412</v>
      </c>
      <c r="V1604" s="1" t="s">
        <v>679</v>
      </c>
      <c r="W1604" s="1">
        <v>41.69</v>
      </c>
      <c r="X1604" s="1">
        <v>-80.06</v>
      </c>
      <c r="Y1604" s="1" t="s">
        <v>141</v>
      </c>
      <c r="Z1604" s="1" t="s">
        <v>417</v>
      </c>
      <c r="AA1604" s="1" t="s">
        <v>50</v>
      </c>
      <c r="AB1604" s="1" t="s">
        <v>201</v>
      </c>
      <c r="AC1604" s="1" t="s">
        <v>204</v>
      </c>
      <c r="AD1604" s="1" t="s">
        <v>677</v>
      </c>
      <c r="AE1604" s="1" t="s">
        <v>677</v>
      </c>
      <c r="AF1604" s="1" t="s">
        <v>53</v>
      </c>
      <c r="AG1604" s="1" t="s">
        <v>53</v>
      </c>
      <c r="AH1604" s="1" t="s">
        <v>415</v>
      </c>
      <c r="AI1604" s="1" t="s">
        <v>55</v>
      </c>
      <c r="AJ1604" s="1">
        <v>70</v>
      </c>
      <c r="AK1604" s="1">
        <v>1716</v>
      </c>
      <c r="AL1604" s="4">
        <v>0.09</v>
      </c>
      <c r="AM1604" s="5">
        <v>152140</v>
      </c>
      <c r="AN1604" s="1">
        <f>(1559*SQRT(AK1604))^2</f>
        <v>4170705396.0000005</v>
      </c>
      <c r="AO1604" s="1" t="s">
        <v>49</v>
      </c>
      <c r="AP1604" s="6">
        <v>1</v>
      </c>
      <c r="AQ1604" s="6" t="s">
        <v>49</v>
      </c>
      <c r="AR1604" s="6" t="s">
        <v>49</v>
      </c>
      <c r="AS1604" s="1">
        <f>AN1604*AL1604</f>
        <v>375363485.64000005</v>
      </c>
      <c r="AT1604" s="4">
        <f>AS1604/(AM1604^2)*100</f>
        <v>1.6216801450871818</v>
      </c>
      <c r="AU1604" s="5">
        <v>0</v>
      </c>
      <c r="AV1604" s="4">
        <f>AT1604*(1-AL1604)/AL1604</f>
        <v>16.396988133659281</v>
      </c>
      <c r="AW1604" s="9" t="s">
        <v>675</v>
      </c>
    </row>
    <row r="1605" spans="1:50">
      <c r="A1605" s="1">
        <v>55</v>
      </c>
      <c r="B1605" s="1" t="s">
        <v>38</v>
      </c>
      <c r="C1605" s="1" t="s">
        <v>38</v>
      </c>
      <c r="D1605" s="1" t="s">
        <v>674</v>
      </c>
      <c r="E1605" s="1" t="s">
        <v>40</v>
      </c>
      <c r="F1605" s="1">
        <v>2003</v>
      </c>
      <c r="G1605" s="1" t="s">
        <v>407</v>
      </c>
      <c r="H1605" s="3" t="s">
        <v>408</v>
      </c>
      <c r="I1605" s="3" t="s">
        <v>409</v>
      </c>
      <c r="J1605" s="1" t="s">
        <v>410</v>
      </c>
      <c r="K1605" s="1" t="s">
        <v>45</v>
      </c>
      <c r="L1605" s="3" t="s">
        <v>46</v>
      </c>
      <c r="M1605" s="1" t="s">
        <v>12</v>
      </c>
      <c r="N1605" s="1" t="s">
        <v>76</v>
      </c>
      <c r="O1605" s="1">
        <v>0.41</v>
      </c>
      <c r="P1605" s="1" t="s">
        <v>49</v>
      </c>
      <c r="Q1605" s="1">
        <v>0.41</v>
      </c>
      <c r="R1605" s="1">
        <v>1</v>
      </c>
      <c r="S1605" s="1" t="s">
        <v>117</v>
      </c>
      <c r="T1605" s="1" t="s">
        <v>411</v>
      </c>
      <c r="U1605" s="1" t="s">
        <v>412</v>
      </c>
      <c r="V1605" s="1" t="s">
        <v>679</v>
      </c>
      <c r="W1605" s="1">
        <v>41.69</v>
      </c>
      <c r="X1605" s="1">
        <v>-80.06</v>
      </c>
      <c r="Y1605" s="1" t="s">
        <v>141</v>
      </c>
      <c r="Z1605" s="1" t="s">
        <v>417</v>
      </c>
      <c r="AA1605" s="1" t="s">
        <v>50</v>
      </c>
      <c r="AB1605" s="1" t="s">
        <v>66</v>
      </c>
      <c r="AC1605" s="1" t="s">
        <v>124</v>
      </c>
      <c r="AD1605" s="1" t="s">
        <v>213</v>
      </c>
      <c r="AE1605" s="1" t="s">
        <v>213</v>
      </c>
      <c r="AF1605" s="1" t="s">
        <v>60</v>
      </c>
      <c r="AG1605" s="1" t="s">
        <v>129</v>
      </c>
      <c r="AH1605" s="1" t="s">
        <v>415</v>
      </c>
      <c r="AI1605" s="1" t="s">
        <v>55</v>
      </c>
      <c r="AJ1605" s="1">
        <v>70</v>
      </c>
      <c r="AK1605" s="1">
        <v>3981</v>
      </c>
      <c r="AL1605" s="4">
        <v>0.24</v>
      </c>
      <c r="AM1605" s="4">
        <v>93.5</v>
      </c>
      <c r="AN1605" s="1">
        <f>(0.56*SQRT(AK1605))^2</f>
        <v>1248.4416000000003</v>
      </c>
      <c r="AO1605" s="1" t="s">
        <v>49</v>
      </c>
      <c r="AP1605" s="6">
        <v>1</v>
      </c>
      <c r="AQ1605" s="6" t="s">
        <v>49</v>
      </c>
      <c r="AR1605" s="6" t="s">
        <v>49</v>
      </c>
      <c r="AS1605" s="1">
        <f>AN1605*AL1605</f>
        <v>299.62598400000007</v>
      </c>
      <c r="AT1605" s="4">
        <f>AS1605/(AM1605^2)*100</f>
        <v>3.4273325974434505</v>
      </c>
      <c r="AU1605" s="5">
        <v>0</v>
      </c>
      <c r="AV1605" s="4">
        <f>AT1605*(1-AL1605)/AL1605</f>
        <v>10.853219891904262</v>
      </c>
      <c r="AW1605" s="9" t="s">
        <v>675</v>
      </c>
    </row>
    <row r="1606" spans="1:50">
      <c r="A1606" s="1">
        <v>55</v>
      </c>
      <c r="B1606" s="1" t="s">
        <v>38</v>
      </c>
      <c r="C1606" s="1" t="s">
        <v>38</v>
      </c>
      <c r="D1606" s="1" t="s">
        <v>674</v>
      </c>
      <c r="E1606" s="1" t="s">
        <v>40</v>
      </c>
      <c r="F1606" s="1">
        <v>2003</v>
      </c>
      <c r="G1606" s="1" t="s">
        <v>407</v>
      </c>
      <c r="H1606" s="3" t="s">
        <v>408</v>
      </c>
      <c r="I1606" s="3" t="s">
        <v>409</v>
      </c>
      <c r="J1606" s="1" t="s">
        <v>410</v>
      </c>
      <c r="K1606" s="1" t="s">
        <v>45</v>
      </c>
      <c r="L1606" s="3" t="s">
        <v>46</v>
      </c>
      <c r="M1606" s="1" t="s">
        <v>12</v>
      </c>
      <c r="N1606" s="1" t="s">
        <v>76</v>
      </c>
      <c r="O1606" s="1">
        <v>0.41</v>
      </c>
      <c r="P1606" s="1" t="s">
        <v>49</v>
      </c>
      <c r="Q1606" s="1">
        <v>0.41</v>
      </c>
      <c r="R1606" s="1">
        <v>1</v>
      </c>
      <c r="S1606" s="1" t="s">
        <v>117</v>
      </c>
      <c r="T1606" s="1" t="s">
        <v>411</v>
      </c>
      <c r="U1606" s="1" t="s">
        <v>412</v>
      </c>
      <c r="V1606" s="1" t="s">
        <v>679</v>
      </c>
      <c r="W1606" s="1">
        <v>41.69</v>
      </c>
      <c r="X1606" s="1">
        <v>-80.06</v>
      </c>
      <c r="Y1606" s="1" t="s">
        <v>141</v>
      </c>
      <c r="Z1606" s="1" t="s">
        <v>417</v>
      </c>
      <c r="AA1606" s="1" t="s">
        <v>50</v>
      </c>
      <c r="AB1606" s="1" t="s">
        <v>51</v>
      </c>
      <c r="AC1606" s="1" t="s">
        <v>52</v>
      </c>
      <c r="AD1606" s="1" t="s">
        <v>52</v>
      </c>
      <c r="AE1606" s="1" t="s">
        <v>52</v>
      </c>
      <c r="AF1606" s="1" t="s">
        <v>53</v>
      </c>
      <c r="AG1606" s="1" t="s">
        <v>53</v>
      </c>
      <c r="AH1606" s="1" t="s">
        <v>415</v>
      </c>
      <c r="AI1606" s="1" t="s">
        <v>55</v>
      </c>
      <c r="AJ1606" s="1">
        <v>70</v>
      </c>
      <c r="AK1606" s="1">
        <v>3981</v>
      </c>
      <c r="AL1606" s="4">
        <v>0.4</v>
      </c>
      <c r="AM1606" s="4">
        <v>12.7</v>
      </c>
      <c r="AN1606" s="1">
        <f>(0.17*SQRT(AK1606))^2</f>
        <v>115.05090000000001</v>
      </c>
      <c r="AO1606" s="1" t="s">
        <v>49</v>
      </c>
      <c r="AP1606" s="6">
        <v>1</v>
      </c>
      <c r="AQ1606" s="6" t="s">
        <v>49</v>
      </c>
      <c r="AR1606" s="6" t="s">
        <v>49</v>
      </c>
      <c r="AS1606" s="1">
        <f>AN1606*AL1606</f>
        <v>46.020360000000011</v>
      </c>
      <c r="AT1606" s="4">
        <f>AS1606/(AM1606^2)*100</f>
        <v>28.53268026536054</v>
      </c>
      <c r="AU1606" s="5">
        <v>0</v>
      </c>
      <c r="AV1606" s="4">
        <f>AT1606*(1-AL1606)/AL1606</f>
        <v>42.799020398040803</v>
      </c>
      <c r="AW1606" s="9" t="s">
        <v>675</v>
      </c>
    </row>
    <row r="1607" spans="1:50">
      <c r="A1607" s="1">
        <v>55</v>
      </c>
      <c r="B1607" s="1" t="s">
        <v>38</v>
      </c>
      <c r="C1607" s="1" t="s">
        <v>38</v>
      </c>
      <c r="D1607" s="1" t="s">
        <v>674</v>
      </c>
      <c r="E1607" s="1" t="s">
        <v>40</v>
      </c>
      <c r="F1607" s="1">
        <v>2003</v>
      </c>
      <c r="G1607" s="1" t="s">
        <v>407</v>
      </c>
      <c r="H1607" s="3" t="s">
        <v>408</v>
      </c>
      <c r="I1607" s="3" t="s">
        <v>409</v>
      </c>
      <c r="J1607" s="1" t="s">
        <v>410</v>
      </c>
      <c r="K1607" s="1" t="s">
        <v>45</v>
      </c>
      <c r="L1607" s="3" t="s">
        <v>46</v>
      </c>
      <c r="M1607" s="1" t="s">
        <v>12</v>
      </c>
      <c r="N1607" s="1" t="s">
        <v>76</v>
      </c>
      <c r="O1607" s="1">
        <v>0.41</v>
      </c>
      <c r="P1607" s="1" t="s">
        <v>49</v>
      </c>
      <c r="Q1607" s="1">
        <v>0.41</v>
      </c>
      <c r="R1607" s="1">
        <v>1</v>
      </c>
      <c r="S1607" s="1" t="s">
        <v>117</v>
      </c>
      <c r="T1607" s="1" t="s">
        <v>411</v>
      </c>
      <c r="U1607" s="1" t="s">
        <v>412</v>
      </c>
      <c r="V1607" s="1" t="s">
        <v>679</v>
      </c>
      <c r="W1607" s="1">
        <v>41.69</v>
      </c>
      <c r="X1607" s="1">
        <v>-80.06</v>
      </c>
      <c r="Y1607" s="1" t="s">
        <v>141</v>
      </c>
      <c r="Z1607" s="1" t="s">
        <v>417</v>
      </c>
      <c r="AA1607" s="1" t="s">
        <v>50</v>
      </c>
      <c r="AB1607" s="1" t="s">
        <v>201</v>
      </c>
      <c r="AC1607" s="1" t="s">
        <v>202</v>
      </c>
      <c r="AD1607" s="1" t="s">
        <v>676</v>
      </c>
      <c r="AE1607" s="1" t="s">
        <v>676</v>
      </c>
      <c r="AF1607" s="1" t="s">
        <v>53</v>
      </c>
      <c r="AG1607" s="1" t="s">
        <v>53</v>
      </c>
      <c r="AH1607" s="1" t="s">
        <v>415</v>
      </c>
      <c r="AI1607" s="1" t="s">
        <v>55</v>
      </c>
      <c r="AJ1607" s="1">
        <v>70</v>
      </c>
      <c r="AK1607" s="1">
        <v>3981</v>
      </c>
      <c r="AL1607" s="4">
        <v>0.37</v>
      </c>
      <c r="AM1607" s="4">
        <v>90</v>
      </c>
      <c r="AN1607" s="1">
        <f>(0.5*SQRT(AK1607))^2</f>
        <v>995.25</v>
      </c>
      <c r="AO1607" s="1" t="s">
        <v>49</v>
      </c>
      <c r="AP1607" s="6">
        <v>1</v>
      </c>
      <c r="AQ1607" s="6" t="s">
        <v>49</v>
      </c>
      <c r="AR1607" s="6" t="s">
        <v>49</v>
      </c>
      <c r="AS1607" s="1">
        <f>AN1607*AL1607</f>
        <v>368.24250000000001</v>
      </c>
      <c r="AT1607" s="4">
        <f>AS1607/(AM1607^2)*100</f>
        <v>4.5462037037037035</v>
      </c>
      <c r="AU1607" s="5">
        <v>0</v>
      </c>
      <c r="AV1607" s="4">
        <f>AT1607*(1-AL1607)/AL1607</f>
        <v>7.7408333333333328</v>
      </c>
      <c r="AW1607" s="9" t="s">
        <v>675</v>
      </c>
    </row>
    <row r="1608" spans="1:50">
      <c r="A1608" s="1">
        <v>55</v>
      </c>
      <c r="B1608" s="1" t="s">
        <v>38</v>
      </c>
      <c r="C1608" s="1" t="s">
        <v>38</v>
      </c>
      <c r="D1608" s="1" t="s">
        <v>674</v>
      </c>
      <c r="E1608" s="1" t="s">
        <v>40</v>
      </c>
      <c r="F1608" s="1">
        <v>2003</v>
      </c>
      <c r="G1608" s="1" t="s">
        <v>407</v>
      </c>
      <c r="H1608" s="3" t="s">
        <v>408</v>
      </c>
      <c r="I1608" s="3" t="s">
        <v>409</v>
      </c>
      <c r="J1608" s="1" t="s">
        <v>410</v>
      </c>
      <c r="K1608" s="1" t="s">
        <v>45</v>
      </c>
      <c r="L1608" s="3" t="s">
        <v>46</v>
      </c>
      <c r="M1608" s="1" t="s">
        <v>12</v>
      </c>
      <c r="N1608" s="1" t="s">
        <v>76</v>
      </c>
      <c r="O1608" s="1">
        <v>0.41</v>
      </c>
      <c r="P1608" s="1" t="s">
        <v>49</v>
      </c>
      <c r="Q1608" s="1">
        <v>0.41</v>
      </c>
      <c r="R1608" s="1">
        <v>1</v>
      </c>
      <c r="S1608" s="1" t="s">
        <v>117</v>
      </c>
      <c r="T1608" s="1" t="s">
        <v>411</v>
      </c>
      <c r="U1608" s="1" t="s">
        <v>412</v>
      </c>
      <c r="V1608" s="1" t="s">
        <v>679</v>
      </c>
      <c r="W1608" s="1">
        <v>41.69</v>
      </c>
      <c r="X1608" s="1">
        <v>-80.06</v>
      </c>
      <c r="Y1608" s="1" t="s">
        <v>141</v>
      </c>
      <c r="Z1608" s="1" t="s">
        <v>417</v>
      </c>
      <c r="AA1608" s="6" t="s">
        <v>49</v>
      </c>
      <c r="AB1608" s="6" t="s">
        <v>49</v>
      </c>
      <c r="AC1608" s="6" t="s">
        <v>49</v>
      </c>
      <c r="AD1608" s="1" t="s">
        <v>677</v>
      </c>
      <c r="AE1608" s="1" t="s">
        <v>213</v>
      </c>
      <c r="AF1608" s="6" t="s">
        <v>49</v>
      </c>
      <c r="AG1608" s="6" t="s">
        <v>49</v>
      </c>
      <c r="AH1608" s="1" t="s">
        <v>415</v>
      </c>
      <c r="AI1608" s="1" t="s">
        <v>55</v>
      </c>
      <c r="AJ1608" s="20" t="s">
        <v>49</v>
      </c>
      <c r="AK1608" s="20" t="s">
        <v>49</v>
      </c>
      <c r="AL1608" s="20" t="s">
        <v>49</v>
      </c>
      <c r="AM1608" s="20" t="s">
        <v>49</v>
      </c>
      <c r="AN1608" s="1" t="s">
        <v>49</v>
      </c>
      <c r="AO1608" s="1" t="s">
        <v>49</v>
      </c>
      <c r="AP1608" s="6">
        <v>1</v>
      </c>
      <c r="AQ1608" s="6">
        <v>0.28000000000000003</v>
      </c>
      <c r="AR1608" s="6" t="s">
        <v>49</v>
      </c>
      <c r="AS1608" s="6" t="s">
        <v>49</v>
      </c>
      <c r="AT1608" s="6" t="s">
        <v>49</v>
      </c>
      <c r="AU1608" s="6" t="s">
        <v>49</v>
      </c>
      <c r="AV1608" s="6" t="s">
        <v>49</v>
      </c>
      <c r="AW1608" s="13" t="s">
        <v>678</v>
      </c>
      <c r="AX1608" s="30"/>
    </row>
    <row r="1609" spans="1:50">
      <c r="A1609" s="1">
        <v>55</v>
      </c>
      <c r="B1609" s="1" t="s">
        <v>38</v>
      </c>
      <c r="C1609" s="1" t="s">
        <v>38</v>
      </c>
      <c r="D1609" s="1" t="s">
        <v>674</v>
      </c>
      <c r="E1609" s="1" t="s">
        <v>40</v>
      </c>
      <c r="F1609" s="1">
        <v>2003</v>
      </c>
      <c r="G1609" s="1" t="s">
        <v>407</v>
      </c>
      <c r="H1609" s="3" t="s">
        <v>408</v>
      </c>
      <c r="I1609" s="3" t="s">
        <v>409</v>
      </c>
      <c r="J1609" s="1" t="s">
        <v>410</v>
      </c>
      <c r="K1609" s="1" t="s">
        <v>45</v>
      </c>
      <c r="L1609" s="3" t="s">
        <v>46</v>
      </c>
      <c r="M1609" s="1" t="s">
        <v>12</v>
      </c>
      <c r="N1609" s="1" t="s">
        <v>76</v>
      </c>
      <c r="O1609" s="1">
        <v>0.41</v>
      </c>
      <c r="P1609" s="1" t="s">
        <v>49</v>
      </c>
      <c r="Q1609" s="1">
        <v>0.41</v>
      </c>
      <c r="R1609" s="1">
        <v>1</v>
      </c>
      <c r="S1609" s="1" t="s">
        <v>117</v>
      </c>
      <c r="T1609" s="1" t="s">
        <v>411</v>
      </c>
      <c r="U1609" s="1" t="s">
        <v>412</v>
      </c>
      <c r="V1609" s="1" t="s">
        <v>679</v>
      </c>
      <c r="W1609" s="1">
        <v>41.69</v>
      </c>
      <c r="X1609" s="1">
        <v>-80.06</v>
      </c>
      <c r="Y1609" s="1" t="s">
        <v>141</v>
      </c>
      <c r="Z1609" s="1" t="s">
        <v>417</v>
      </c>
      <c r="AA1609" s="6" t="s">
        <v>49</v>
      </c>
      <c r="AB1609" s="6" t="s">
        <v>49</v>
      </c>
      <c r="AC1609" s="6" t="s">
        <v>49</v>
      </c>
      <c r="AD1609" s="1" t="s">
        <v>677</v>
      </c>
      <c r="AE1609" s="1" t="s">
        <v>52</v>
      </c>
      <c r="AF1609" s="6" t="s">
        <v>49</v>
      </c>
      <c r="AG1609" s="6" t="s">
        <v>49</v>
      </c>
      <c r="AH1609" s="1" t="s">
        <v>415</v>
      </c>
      <c r="AI1609" s="1" t="s">
        <v>55</v>
      </c>
      <c r="AJ1609" s="20" t="s">
        <v>49</v>
      </c>
      <c r="AK1609" s="20" t="s">
        <v>49</v>
      </c>
      <c r="AL1609" s="20" t="s">
        <v>49</v>
      </c>
      <c r="AM1609" s="20" t="s">
        <v>49</v>
      </c>
      <c r="AN1609" s="1" t="s">
        <v>49</v>
      </c>
      <c r="AO1609" s="1" t="s">
        <v>49</v>
      </c>
      <c r="AP1609" s="6">
        <v>1</v>
      </c>
      <c r="AQ1609" s="6">
        <v>-0.17</v>
      </c>
      <c r="AR1609" s="6" t="s">
        <v>49</v>
      </c>
      <c r="AS1609" s="6" t="s">
        <v>49</v>
      </c>
      <c r="AT1609" s="6" t="s">
        <v>49</v>
      </c>
      <c r="AU1609" s="6" t="s">
        <v>49</v>
      </c>
      <c r="AV1609" s="6" t="s">
        <v>49</v>
      </c>
      <c r="AW1609" s="13" t="s">
        <v>678</v>
      </c>
      <c r="AX1609" s="30"/>
    </row>
    <row r="1610" spans="1:50">
      <c r="A1610" s="1">
        <v>55</v>
      </c>
      <c r="B1610" s="1" t="s">
        <v>38</v>
      </c>
      <c r="C1610" s="1" t="s">
        <v>38</v>
      </c>
      <c r="D1610" s="1" t="s">
        <v>674</v>
      </c>
      <c r="E1610" s="1" t="s">
        <v>40</v>
      </c>
      <c r="F1610" s="1">
        <v>2003</v>
      </c>
      <c r="G1610" s="1" t="s">
        <v>407</v>
      </c>
      <c r="H1610" s="3" t="s">
        <v>408</v>
      </c>
      <c r="I1610" s="3" t="s">
        <v>409</v>
      </c>
      <c r="J1610" s="1" t="s">
        <v>410</v>
      </c>
      <c r="K1610" s="1" t="s">
        <v>45</v>
      </c>
      <c r="L1610" s="3" t="s">
        <v>46</v>
      </c>
      <c r="M1610" s="1" t="s">
        <v>12</v>
      </c>
      <c r="N1610" s="1" t="s">
        <v>76</v>
      </c>
      <c r="O1610" s="1">
        <v>0.41</v>
      </c>
      <c r="P1610" s="1" t="s">
        <v>49</v>
      </c>
      <c r="Q1610" s="1">
        <v>0.41</v>
      </c>
      <c r="R1610" s="1">
        <v>1</v>
      </c>
      <c r="S1610" s="1" t="s">
        <v>117</v>
      </c>
      <c r="T1610" s="1" t="s">
        <v>411</v>
      </c>
      <c r="U1610" s="1" t="s">
        <v>412</v>
      </c>
      <c r="V1610" s="1" t="s">
        <v>679</v>
      </c>
      <c r="W1610" s="1">
        <v>41.69</v>
      </c>
      <c r="X1610" s="1">
        <v>-80.06</v>
      </c>
      <c r="Y1610" s="1" t="s">
        <v>141</v>
      </c>
      <c r="Z1610" s="1" t="s">
        <v>417</v>
      </c>
      <c r="AA1610" s="6" t="s">
        <v>49</v>
      </c>
      <c r="AB1610" s="6" t="s">
        <v>49</v>
      </c>
      <c r="AC1610" s="6" t="s">
        <v>49</v>
      </c>
      <c r="AD1610" s="1" t="s">
        <v>677</v>
      </c>
      <c r="AE1610" s="1" t="s">
        <v>676</v>
      </c>
      <c r="AF1610" s="6" t="s">
        <v>49</v>
      </c>
      <c r="AG1610" s="6" t="s">
        <v>49</v>
      </c>
      <c r="AH1610" s="1" t="s">
        <v>415</v>
      </c>
      <c r="AI1610" s="1" t="s">
        <v>55</v>
      </c>
      <c r="AJ1610" s="20" t="s">
        <v>49</v>
      </c>
      <c r="AK1610" s="20" t="s">
        <v>49</v>
      </c>
      <c r="AL1610" s="20" t="s">
        <v>49</v>
      </c>
      <c r="AM1610" s="20" t="s">
        <v>49</v>
      </c>
      <c r="AN1610" s="1" t="s">
        <v>49</v>
      </c>
      <c r="AO1610" s="1" t="s">
        <v>49</v>
      </c>
      <c r="AP1610" s="6">
        <v>1</v>
      </c>
      <c r="AQ1610" s="6">
        <v>0.15</v>
      </c>
      <c r="AR1610" s="6" t="s">
        <v>49</v>
      </c>
      <c r="AS1610" s="6" t="s">
        <v>49</v>
      </c>
      <c r="AT1610" s="6" t="s">
        <v>49</v>
      </c>
      <c r="AU1610" s="6" t="s">
        <v>49</v>
      </c>
      <c r="AV1610" s="6" t="s">
        <v>49</v>
      </c>
      <c r="AW1610" s="13" t="s">
        <v>678</v>
      </c>
      <c r="AX1610" s="30"/>
    </row>
    <row r="1611" spans="1:50">
      <c r="A1611" s="1">
        <v>55</v>
      </c>
      <c r="B1611" s="1" t="s">
        <v>38</v>
      </c>
      <c r="C1611" s="1" t="s">
        <v>38</v>
      </c>
      <c r="D1611" s="1" t="s">
        <v>674</v>
      </c>
      <c r="E1611" s="1" t="s">
        <v>40</v>
      </c>
      <c r="F1611" s="1">
        <v>2003</v>
      </c>
      <c r="G1611" s="1" t="s">
        <v>407</v>
      </c>
      <c r="H1611" s="3" t="s">
        <v>408</v>
      </c>
      <c r="I1611" s="3" t="s">
        <v>409</v>
      </c>
      <c r="J1611" s="1" t="s">
        <v>410</v>
      </c>
      <c r="K1611" s="1" t="s">
        <v>45</v>
      </c>
      <c r="L1611" s="3" t="s">
        <v>46</v>
      </c>
      <c r="M1611" s="1" t="s">
        <v>12</v>
      </c>
      <c r="N1611" s="1" t="s">
        <v>76</v>
      </c>
      <c r="O1611" s="1">
        <v>0.41</v>
      </c>
      <c r="P1611" s="1" t="s">
        <v>49</v>
      </c>
      <c r="Q1611" s="1">
        <v>0.41</v>
      </c>
      <c r="R1611" s="1">
        <v>1</v>
      </c>
      <c r="S1611" s="1" t="s">
        <v>117</v>
      </c>
      <c r="T1611" s="1" t="s">
        <v>411</v>
      </c>
      <c r="U1611" s="1" t="s">
        <v>412</v>
      </c>
      <c r="V1611" s="1" t="s">
        <v>679</v>
      </c>
      <c r="W1611" s="1">
        <v>41.69</v>
      </c>
      <c r="X1611" s="1">
        <v>-80.06</v>
      </c>
      <c r="Y1611" s="1" t="s">
        <v>141</v>
      </c>
      <c r="Z1611" s="1" t="s">
        <v>417</v>
      </c>
      <c r="AA1611" s="6" t="s">
        <v>49</v>
      </c>
      <c r="AB1611" s="6" t="s">
        <v>49</v>
      </c>
      <c r="AC1611" s="6" t="s">
        <v>49</v>
      </c>
      <c r="AD1611" s="1" t="s">
        <v>213</v>
      </c>
      <c r="AE1611" s="1" t="s">
        <v>52</v>
      </c>
      <c r="AF1611" s="6" t="s">
        <v>49</v>
      </c>
      <c r="AG1611" s="6" t="s">
        <v>49</v>
      </c>
      <c r="AH1611" s="1" t="s">
        <v>415</v>
      </c>
      <c r="AI1611" s="1" t="s">
        <v>55</v>
      </c>
      <c r="AJ1611" s="20" t="s">
        <v>49</v>
      </c>
      <c r="AK1611" s="20" t="s">
        <v>49</v>
      </c>
      <c r="AL1611" s="20" t="s">
        <v>49</v>
      </c>
      <c r="AM1611" s="20" t="s">
        <v>49</v>
      </c>
      <c r="AN1611" s="1" t="s">
        <v>49</v>
      </c>
      <c r="AO1611" s="1" t="s">
        <v>49</v>
      </c>
      <c r="AP1611" s="6">
        <v>1</v>
      </c>
      <c r="AQ1611" s="6">
        <v>0.01</v>
      </c>
      <c r="AR1611" s="6" t="s">
        <v>49</v>
      </c>
      <c r="AS1611" s="6" t="s">
        <v>49</v>
      </c>
      <c r="AT1611" s="6" t="s">
        <v>49</v>
      </c>
      <c r="AU1611" s="6" t="s">
        <v>49</v>
      </c>
      <c r="AV1611" s="6" t="s">
        <v>49</v>
      </c>
      <c r="AW1611" s="13" t="s">
        <v>678</v>
      </c>
      <c r="AX1611" s="30"/>
    </row>
    <row r="1612" spans="1:50">
      <c r="A1612" s="1">
        <v>55</v>
      </c>
      <c r="B1612" s="1" t="s">
        <v>38</v>
      </c>
      <c r="C1612" s="1" t="s">
        <v>38</v>
      </c>
      <c r="D1612" s="1" t="s">
        <v>674</v>
      </c>
      <c r="E1612" s="1" t="s">
        <v>40</v>
      </c>
      <c r="F1612" s="1">
        <v>2003</v>
      </c>
      <c r="G1612" s="1" t="s">
        <v>407</v>
      </c>
      <c r="H1612" s="3" t="s">
        <v>408</v>
      </c>
      <c r="I1612" s="3" t="s">
        <v>409</v>
      </c>
      <c r="J1612" s="1" t="s">
        <v>410</v>
      </c>
      <c r="K1612" s="1" t="s">
        <v>45</v>
      </c>
      <c r="L1612" s="3" t="s">
        <v>46</v>
      </c>
      <c r="M1612" s="1" t="s">
        <v>12</v>
      </c>
      <c r="N1612" s="1" t="s">
        <v>76</v>
      </c>
      <c r="O1612" s="1">
        <v>0.41</v>
      </c>
      <c r="P1612" s="1" t="s">
        <v>49</v>
      </c>
      <c r="Q1612" s="1">
        <v>0.41</v>
      </c>
      <c r="R1612" s="1">
        <v>1</v>
      </c>
      <c r="S1612" s="1" t="s">
        <v>117</v>
      </c>
      <c r="T1612" s="1" t="s">
        <v>411</v>
      </c>
      <c r="U1612" s="1" t="s">
        <v>412</v>
      </c>
      <c r="V1612" s="1" t="s">
        <v>679</v>
      </c>
      <c r="W1612" s="1">
        <v>41.69</v>
      </c>
      <c r="X1612" s="1">
        <v>-80.06</v>
      </c>
      <c r="Y1612" s="1" t="s">
        <v>141</v>
      </c>
      <c r="Z1612" s="1" t="s">
        <v>417</v>
      </c>
      <c r="AA1612" s="6" t="s">
        <v>49</v>
      </c>
      <c r="AB1612" s="6" t="s">
        <v>49</v>
      </c>
      <c r="AC1612" s="6" t="s">
        <v>49</v>
      </c>
      <c r="AD1612" s="1" t="s">
        <v>213</v>
      </c>
      <c r="AE1612" s="1" t="s">
        <v>676</v>
      </c>
      <c r="AF1612" s="6" t="s">
        <v>49</v>
      </c>
      <c r="AG1612" s="6" t="s">
        <v>49</v>
      </c>
      <c r="AH1612" s="1" t="s">
        <v>415</v>
      </c>
      <c r="AI1612" s="1" t="s">
        <v>55</v>
      </c>
      <c r="AJ1612" s="20" t="s">
        <v>49</v>
      </c>
      <c r="AK1612" s="20" t="s">
        <v>49</v>
      </c>
      <c r="AL1612" s="20" t="s">
        <v>49</v>
      </c>
      <c r="AM1612" s="20" t="s">
        <v>49</v>
      </c>
      <c r="AN1612" s="1" t="s">
        <v>49</v>
      </c>
      <c r="AO1612" s="1" t="s">
        <v>49</v>
      </c>
      <c r="AP1612" s="6">
        <v>1</v>
      </c>
      <c r="AQ1612" s="6">
        <v>0.04</v>
      </c>
      <c r="AR1612" s="6" t="s">
        <v>49</v>
      </c>
      <c r="AS1612" s="6" t="s">
        <v>49</v>
      </c>
      <c r="AT1612" s="6" t="s">
        <v>49</v>
      </c>
      <c r="AU1612" s="6" t="s">
        <v>49</v>
      </c>
      <c r="AV1612" s="6" t="s">
        <v>49</v>
      </c>
      <c r="AW1612" s="13" t="s">
        <v>678</v>
      </c>
      <c r="AX1612" s="30"/>
    </row>
    <row r="1613" spans="1:50">
      <c r="A1613" s="1">
        <v>55</v>
      </c>
      <c r="B1613" s="1" t="s">
        <v>38</v>
      </c>
      <c r="C1613" s="1" t="s">
        <v>38</v>
      </c>
      <c r="D1613" s="1" t="s">
        <v>674</v>
      </c>
      <c r="E1613" s="1" t="s">
        <v>40</v>
      </c>
      <c r="F1613" s="1">
        <v>2003</v>
      </c>
      <c r="G1613" s="1" t="s">
        <v>407</v>
      </c>
      <c r="H1613" s="3" t="s">
        <v>408</v>
      </c>
      <c r="I1613" s="3" t="s">
        <v>409</v>
      </c>
      <c r="J1613" s="1" t="s">
        <v>410</v>
      </c>
      <c r="K1613" s="1" t="s">
        <v>45</v>
      </c>
      <c r="L1613" s="3" t="s">
        <v>46</v>
      </c>
      <c r="M1613" s="1" t="s">
        <v>12</v>
      </c>
      <c r="N1613" s="1" t="s">
        <v>76</v>
      </c>
      <c r="O1613" s="1">
        <v>0.41</v>
      </c>
      <c r="P1613" s="1" t="s">
        <v>49</v>
      </c>
      <c r="Q1613" s="1">
        <v>0.41</v>
      </c>
      <c r="R1613" s="1">
        <v>1</v>
      </c>
      <c r="S1613" s="1" t="s">
        <v>117</v>
      </c>
      <c r="T1613" s="1" t="s">
        <v>411</v>
      </c>
      <c r="U1613" s="1" t="s">
        <v>412</v>
      </c>
      <c r="V1613" s="1" t="s">
        <v>679</v>
      </c>
      <c r="W1613" s="1">
        <v>41.69</v>
      </c>
      <c r="X1613" s="1">
        <v>-80.06</v>
      </c>
      <c r="Y1613" s="1" t="s">
        <v>141</v>
      </c>
      <c r="Z1613" s="1" t="s">
        <v>417</v>
      </c>
      <c r="AA1613" s="6" t="s">
        <v>49</v>
      </c>
      <c r="AB1613" s="6" t="s">
        <v>49</v>
      </c>
      <c r="AC1613" s="6" t="s">
        <v>49</v>
      </c>
      <c r="AD1613" s="1" t="s">
        <v>52</v>
      </c>
      <c r="AE1613" s="1" t="s">
        <v>676</v>
      </c>
      <c r="AF1613" s="6" t="s">
        <v>49</v>
      </c>
      <c r="AG1613" s="6" t="s">
        <v>49</v>
      </c>
      <c r="AH1613" s="1" t="s">
        <v>415</v>
      </c>
      <c r="AI1613" s="1" t="s">
        <v>55</v>
      </c>
      <c r="AJ1613" s="20" t="s">
        <v>49</v>
      </c>
      <c r="AK1613" s="20" t="s">
        <v>49</v>
      </c>
      <c r="AL1613" s="20" t="s">
        <v>49</v>
      </c>
      <c r="AM1613" s="20" t="s">
        <v>49</v>
      </c>
      <c r="AN1613" s="1" t="s">
        <v>49</v>
      </c>
      <c r="AO1613" s="1" t="s">
        <v>49</v>
      </c>
      <c r="AP1613" s="6">
        <v>1</v>
      </c>
      <c r="AQ1613" s="6">
        <v>7.0000000000000007E-2</v>
      </c>
      <c r="AR1613" s="6" t="s">
        <v>49</v>
      </c>
      <c r="AS1613" s="6" t="s">
        <v>49</v>
      </c>
      <c r="AT1613" s="6" t="s">
        <v>49</v>
      </c>
      <c r="AU1613" s="6" t="s">
        <v>49</v>
      </c>
      <c r="AV1613" s="6" t="s">
        <v>49</v>
      </c>
      <c r="AW1613" s="13" t="s">
        <v>678</v>
      </c>
      <c r="AX1613" s="30"/>
    </row>
    <row r="1614" spans="1:50">
      <c r="A1614" s="1">
        <v>55</v>
      </c>
      <c r="B1614" s="1" t="s">
        <v>38</v>
      </c>
      <c r="C1614" s="1" t="s">
        <v>38</v>
      </c>
      <c r="D1614" s="1" t="s">
        <v>674</v>
      </c>
      <c r="E1614" s="1" t="s">
        <v>40</v>
      </c>
      <c r="F1614" s="1">
        <v>2003</v>
      </c>
      <c r="G1614" s="1" t="s">
        <v>407</v>
      </c>
      <c r="H1614" s="3" t="s">
        <v>408</v>
      </c>
      <c r="I1614" s="3" t="s">
        <v>409</v>
      </c>
      <c r="J1614" s="1" t="s">
        <v>410</v>
      </c>
      <c r="K1614" s="1" t="s">
        <v>45</v>
      </c>
      <c r="L1614" s="3" t="s">
        <v>46</v>
      </c>
      <c r="M1614" s="1" t="s">
        <v>12</v>
      </c>
      <c r="N1614" s="1" t="s">
        <v>76</v>
      </c>
      <c r="O1614" s="1">
        <v>0.41</v>
      </c>
      <c r="P1614" s="1" t="s">
        <v>49</v>
      </c>
      <c r="Q1614" s="1">
        <v>0.41</v>
      </c>
      <c r="R1614" s="1">
        <v>1</v>
      </c>
      <c r="S1614" s="1" t="s">
        <v>117</v>
      </c>
      <c r="T1614" s="1" t="s">
        <v>411</v>
      </c>
      <c r="U1614" s="1" t="s">
        <v>412</v>
      </c>
      <c r="V1614" s="1" t="s">
        <v>679</v>
      </c>
      <c r="W1614" s="1">
        <v>41.69</v>
      </c>
      <c r="X1614" s="1">
        <v>-80.06</v>
      </c>
      <c r="Y1614" s="1" t="s">
        <v>141</v>
      </c>
      <c r="Z1614" s="1" t="s">
        <v>414</v>
      </c>
      <c r="AA1614" s="1" t="s">
        <v>50</v>
      </c>
      <c r="AB1614" s="1" t="s">
        <v>66</v>
      </c>
      <c r="AC1614" s="1" t="s">
        <v>124</v>
      </c>
      <c r="AD1614" s="1" t="s">
        <v>213</v>
      </c>
      <c r="AE1614" s="1" t="s">
        <v>213</v>
      </c>
      <c r="AF1614" s="1" t="s">
        <v>60</v>
      </c>
      <c r="AG1614" s="1" t="s">
        <v>129</v>
      </c>
      <c r="AH1614" s="1" t="s">
        <v>415</v>
      </c>
      <c r="AI1614" s="1" t="s">
        <v>55</v>
      </c>
      <c r="AJ1614" s="1">
        <v>70</v>
      </c>
      <c r="AK1614" s="1">
        <v>3981</v>
      </c>
      <c r="AL1614" s="4">
        <v>0.3</v>
      </c>
      <c r="AM1614" s="4">
        <v>50.9</v>
      </c>
      <c r="AN1614" s="1">
        <f>(0.57*SQRT(AK1614))^2</f>
        <v>1293.4268999999997</v>
      </c>
      <c r="AO1614" s="1" t="s">
        <v>49</v>
      </c>
      <c r="AP1614" s="6">
        <v>1</v>
      </c>
      <c r="AQ1614" s="6" t="s">
        <v>49</v>
      </c>
      <c r="AR1614" s="6" t="s">
        <v>49</v>
      </c>
      <c r="AS1614" s="1">
        <f>AN1614*AL1614</f>
        <v>388.0280699999999</v>
      </c>
      <c r="AT1614" s="4">
        <f>AS1614/(AM1614^2)*100</f>
        <v>14.977094808187397</v>
      </c>
      <c r="AU1614" s="5">
        <v>0</v>
      </c>
      <c r="AV1614" s="4">
        <f>AT1614*(1-AL1614)/AL1614</f>
        <v>34.946554552437263</v>
      </c>
      <c r="AW1614" s="9" t="s">
        <v>675</v>
      </c>
    </row>
    <row r="1615" spans="1:50">
      <c r="A1615" s="1">
        <v>55</v>
      </c>
      <c r="B1615" s="1" t="s">
        <v>38</v>
      </c>
      <c r="C1615" s="1" t="s">
        <v>38</v>
      </c>
      <c r="D1615" s="1" t="s">
        <v>674</v>
      </c>
      <c r="E1615" s="1" t="s">
        <v>40</v>
      </c>
      <c r="F1615" s="1">
        <v>2003</v>
      </c>
      <c r="G1615" s="1" t="s">
        <v>407</v>
      </c>
      <c r="H1615" s="3" t="s">
        <v>408</v>
      </c>
      <c r="I1615" s="3" t="s">
        <v>409</v>
      </c>
      <c r="J1615" s="1" t="s">
        <v>410</v>
      </c>
      <c r="K1615" s="1" t="s">
        <v>45</v>
      </c>
      <c r="L1615" s="3" t="s">
        <v>46</v>
      </c>
      <c r="M1615" s="1" t="s">
        <v>12</v>
      </c>
      <c r="N1615" s="1" t="s">
        <v>76</v>
      </c>
      <c r="O1615" s="1">
        <v>0.41</v>
      </c>
      <c r="P1615" s="1" t="s">
        <v>49</v>
      </c>
      <c r="Q1615" s="1">
        <v>0.41</v>
      </c>
      <c r="R1615" s="1">
        <v>1</v>
      </c>
      <c r="S1615" s="1" t="s">
        <v>117</v>
      </c>
      <c r="T1615" s="1" t="s">
        <v>411</v>
      </c>
      <c r="U1615" s="1" t="s">
        <v>412</v>
      </c>
      <c r="V1615" s="1" t="s">
        <v>679</v>
      </c>
      <c r="W1615" s="1">
        <v>41.69</v>
      </c>
      <c r="X1615" s="1">
        <v>-80.06</v>
      </c>
      <c r="Y1615" s="1" t="s">
        <v>141</v>
      </c>
      <c r="Z1615" s="1" t="s">
        <v>414</v>
      </c>
      <c r="AA1615" s="1" t="s">
        <v>50</v>
      </c>
      <c r="AB1615" s="1" t="s">
        <v>51</v>
      </c>
      <c r="AC1615" s="1" t="s">
        <v>52</v>
      </c>
      <c r="AD1615" s="1" t="s">
        <v>52</v>
      </c>
      <c r="AE1615" s="1" t="s">
        <v>52</v>
      </c>
      <c r="AF1615" s="1" t="s">
        <v>53</v>
      </c>
      <c r="AG1615" s="1" t="s">
        <v>53</v>
      </c>
      <c r="AH1615" s="1" t="s">
        <v>415</v>
      </c>
      <c r="AI1615" s="1" t="s">
        <v>55</v>
      </c>
      <c r="AJ1615" s="1">
        <v>70</v>
      </c>
      <c r="AK1615" s="1">
        <v>3981</v>
      </c>
      <c r="AL1615" s="4">
        <v>0.36</v>
      </c>
      <c r="AM1615" s="4">
        <v>13.9</v>
      </c>
      <c r="AN1615" s="1">
        <f>(0.18*SQRT(AK1615))^2</f>
        <v>128.98439999999999</v>
      </c>
      <c r="AO1615" s="1" t="s">
        <v>49</v>
      </c>
      <c r="AP1615" s="6">
        <v>1</v>
      </c>
      <c r="AQ1615" s="6" t="s">
        <v>49</v>
      </c>
      <c r="AR1615" s="6" t="s">
        <v>49</v>
      </c>
      <c r="AS1615" s="1">
        <f>AN1615*AL1615</f>
        <v>46.434383999999994</v>
      </c>
      <c r="AT1615" s="4">
        <f>AS1615/(AM1615^2)*100</f>
        <v>24.033116298328238</v>
      </c>
      <c r="AU1615" s="5">
        <v>0</v>
      </c>
      <c r="AV1615" s="4">
        <f>AT1615*(1-AL1615)/AL1615</f>
        <v>42.725540085916869</v>
      </c>
      <c r="AW1615" s="9" t="s">
        <v>675</v>
      </c>
    </row>
    <row r="1616" spans="1:50">
      <c r="A1616" s="1">
        <v>55</v>
      </c>
      <c r="B1616" s="1" t="s">
        <v>38</v>
      </c>
      <c r="C1616" s="1" t="s">
        <v>38</v>
      </c>
      <c r="D1616" s="1" t="s">
        <v>674</v>
      </c>
      <c r="E1616" s="1" t="s">
        <v>40</v>
      </c>
      <c r="F1616" s="1">
        <v>2003</v>
      </c>
      <c r="G1616" s="1" t="s">
        <v>407</v>
      </c>
      <c r="H1616" s="3" t="s">
        <v>408</v>
      </c>
      <c r="I1616" s="3" t="s">
        <v>409</v>
      </c>
      <c r="J1616" s="1" t="s">
        <v>410</v>
      </c>
      <c r="K1616" s="1" t="s">
        <v>45</v>
      </c>
      <c r="L1616" s="3" t="s">
        <v>46</v>
      </c>
      <c r="M1616" s="1" t="s">
        <v>12</v>
      </c>
      <c r="N1616" s="1" t="s">
        <v>76</v>
      </c>
      <c r="O1616" s="1">
        <v>0.41</v>
      </c>
      <c r="P1616" s="1" t="s">
        <v>49</v>
      </c>
      <c r="Q1616" s="1">
        <v>0.41</v>
      </c>
      <c r="R1616" s="1">
        <v>1</v>
      </c>
      <c r="S1616" s="1" t="s">
        <v>117</v>
      </c>
      <c r="T1616" s="1" t="s">
        <v>411</v>
      </c>
      <c r="U1616" s="1" t="s">
        <v>412</v>
      </c>
      <c r="V1616" s="1" t="s">
        <v>679</v>
      </c>
      <c r="W1616" s="1">
        <v>41.69</v>
      </c>
      <c r="X1616" s="1">
        <v>-80.06</v>
      </c>
      <c r="Y1616" s="1" t="s">
        <v>141</v>
      </c>
      <c r="Z1616" s="1" t="s">
        <v>414</v>
      </c>
      <c r="AA1616" s="1" t="s">
        <v>50</v>
      </c>
      <c r="AB1616" s="1" t="s">
        <v>201</v>
      </c>
      <c r="AC1616" s="1" t="s">
        <v>202</v>
      </c>
      <c r="AD1616" s="1" t="s">
        <v>676</v>
      </c>
      <c r="AE1616" s="1" t="s">
        <v>676</v>
      </c>
      <c r="AF1616" s="1" t="s">
        <v>53</v>
      </c>
      <c r="AG1616" s="1" t="s">
        <v>53</v>
      </c>
      <c r="AH1616" s="1" t="s">
        <v>415</v>
      </c>
      <c r="AI1616" s="1" t="s">
        <v>55</v>
      </c>
      <c r="AJ1616" s="1">
        <v>70</v>
      </c>
      <c r="AK1616" s="1">
        <v>3981</v>
      </c>
      <c r="AL1616" s="4">
        <v>0.39</v>
      </c>
      <c r="AM1616" s="4">
        <v>91</v>
      </c>
      <c r="AN1616" s="1">
        <f>(0.5*SQRT(AK1616))^2</f>
        <v>995.25</v>
      </c>
      <c r="AO1616" s="1" t="s">
        <v>49</v>
      </c>
      <c r="AP1616" s="6">
        <v>1</v>
      </c>
      <c r="AQ1616" s="6" t="s">
        <v>49</v>
      </c>
      <c r="AR1616" s="6" t="s">
        <v>49</v>
      </c>
      <c r="AS1616" s="1">
        <f>AN1616*AL1616</f>
        <v>388.14750000000004</v>
      </c>
      <c r="AT1616" s="4">
        <f>AS1616/(AM1616^2)*100</f>
        <v>4.6872056514913663</v>
      </c>
      <c r="AU1616" s="5">
        <v>0</v>
      </c>
      <c r="AV1616" s="4">
        <f>AT1616*(1-AL1616)/AL1616</f>
        <v>7.3312703779736754</v>
      </c>
      <c r="AW1616" s="9" t="s">
        <v>675</v>
      </c>
    </row>
    <row r="1617" spans="1:49">
      <c r="A1617" s="1">
        <v>55</v>
      </c>
      <c r="B1617" s="1" t="s">
        <v>38</v>
      </c>
      <c r="C1617" s="1" t="s">
        <v>38</v>
      </c>
      <c r="D1617" s="1" t="s">
        <v>674</v>
      </c>
      <c r="E1617" s="1" t="s">
        <v>40</v>
      </c>
      <c r="F1617" s="1">
        <v>2003</v>
      </c>
      <c r="G1617" s="1" t="s">
        <v>407</v>
      </c>
      <c r="H1617" s="3" t="s">
        <v>408</v>
      </c>
      <c r="I1617" s="3" t="s">
        <v>409</v>
      </c>
      <c r="J1617" s="1" t="s">
        <v>410</v>
      </c>
      <c r="K1617" s="1" t="s">
        <v>45</v>
      </c>
      <c r="L1617" s="3" t="s">
        <v>46</v>
      </c>
      <c r="M1617" s="1" t="s">
        <v>12</v>
      </c>
      <c r="N1617" s="1" t="s">
        <v>76</v>
      </c>
      <c r="O1617" s="1">
        <v>0.41</v>
      </c>
      <c r="P1617" s="1" t="s">
        <v>49</v>
      </c>
      <c r="Q1617" s="1">
        <v>0.41</v>
      </c>
      <c r="R1617" s="1">
        <v>1</v>
      </c>
      <c r="S1617" s="1" t="s">
        <v>117</v>
      </c>
      <c r="T1617" s="1" t="s">
        <v>411</v>
      </c>
      <c r="U1617" s="1" t="s">
        <v>412</v>
      </c>
      <c r="V1617" s="1" t="s">
        <v>679</v>
      </c>
      <c r="W1617" s="1">
        <v>41.69</v>
      </c>
      <c r="X1617" s="1">
        <v>-80.06</v>
      </c>
      <c r="Y1617" s="1" t="s">
        <v>141</v>
      </c>
      <c r="Z1617" s="1" t="s">
        <v>414</v>
      </c>
      <c r="AA1617" s="6" t="s">
        <v>49</v>
      </c>
      <c r="AB1617" s="6" t="s">
        <v>49</v>
      </c>
      <c r="AC1617" s="6" t="s">
        <v>49</v>
      </c>
      <c r="AD1617" s="1" t="s">
        <v>213</v>
      </c>
      <c r="AE1617" s="1" t="s">
        <v>52</v>
      </c>
      <c r="AF1617" s="6" t="s">
        <v>49</v>
      </c>
      <c r="AG1617" s="6" t="s">
        <v>49</v>
      </c>
      <c r="AH1617" s="1" t="s">
        <v>415</v>
      </c>
      <c r="AI1617" s="1" t="s">
        <v>55</v>
      </c>
      <c r="AJ1617" s="20" t="s">
        <v>49</v>
      </c>
      <c r="AK1617" s="20" t="s">
        <v>49</v>
      </c>
      <c r="AL1617" s="20" t="s">
        <v>49</v>
      </c>
      <c r="AM1617" s="20" t="s">
        <v>49</v>
      </c>
      <c r="AN1617" s="1" t="s">
        <v>49</v>
      </c>
      <c r="AO1617" s="1" t="s">
        <v>49</v>
      </c>
      <c r="AP1617" s="6">
        <v>1</v>
      </c>
      <c r="AQ1617" s="6">
        <v>0.1</v>
      </c>
      <c r="AR1617" s="6" t="s">
        <v>49</v>
      </c>
      <c r="AS1617" s="6" t="s">
        <v>49</v>
      </c>
      <c r="AT1617" s="6" t="s">
        <v>49</v>
      </c>
      <c r="AU1617" s="6" t="s">
        <v>49</v>
      </c>
      <c r="AV1617" s="6" t="s">
        <v>49</v>
      </c>
      <c r="AW1617" s="13" t="s">
        <v>678</v>
      </c>
    </row>
    <row r="1618" spans="1:49">
      <c r="A1618" s="1">
        <v>55</v>
      </c>
      <c r="B1618" s="1" t="s">
        <v>38</v>
      </c>
      <c r="C1618" s="1" t="s">
        <v>38</v>
      </c>
      <c r="D1618" s="1" t="s">
        <v>674</v>
      </c>
      <c r="E1618" s="1" t="s">
        <v>40</v>
      </c>
      <c r="F1618" s="1">
        <v>2003</v>
      </c>
      <c r="G1618" s="1" t="s">
        <v>407</v>
      </c>
      <c r="H1618" s="3" t="s">
        <v>408</v>
      </c>
      <c r="I1618" s="3" t="s">
        <v>409</v>
      </c>
      <c r="J1618" s="1" t="s">
        <v>410</v>
      </c>
      <c r="K1618" s="1" t="s">
        <v>45</v>
      </c>
      <c r="L1618" s="3" t="s">
        <v>46</v>
      </c>
      <c r="M1618" s="1" t="s">
        <v>12</v>
      </c>
      <c r="N1618" s="1" t="s">
        <v>76</v>
      </c>
      <c r="O1618" s="1">
        <v>0.41</v>
      </c>
      <c r="P1618" s="1" t="s">
        <v>49</v>
      </c>
      <c r="Q1618" s="1">
        <v>0.41</v>
      </c>
      <c r="R1618" s="1">
        <v>1</v>
      </c>
      <c r="S1618" s="1" t="s">
        <v>117</v>
      </c>
      <c r="T1618" s="1" t="s">
        <v>411</v>
      </c>
      <c r="U1618" s="1" t="s">
        <v>412</v>
      </c>
      <c r="V1618" s="1" t="s">
        <v>679</v>
      </c>
      <c r="W1618" s="1">
        <v>41.69</v>
      </c>
      <c r="X1618" s="1">
        <v>-80.06</v>
      </c>
      <c r="Y1618" s="1" t="s">
        <v>141</v>
      </c>
      <c r="Z1618" s="1" t="s">
        <v>414</v>
      </c>
      <c r="AA1618" s="6" t="s">
        <v>49</v>
      </c>
      <c r="AB1618" s="6" t="s">
        <v>49</v>
      </c>
      <c r="AC1618" s="6" t="s">
        <v>49</v>
      </c>
      <c r="AD1618" s="1" t="s">
        <v>213</v>
      </c>
      <c r="AE1618" s="1" t="s">
        <v>676</v>
      </c>
      <c r="AF1618" s="6" t="s">
        <v>49</v>
      </c>
      <c r="AG1618" s="6" t="s">
        <v>49</v>
      </c>
      <c r="AH1618" s="1" t="s">
        <v>415</v>
      </c>
      <c r="AI1618" s="1" t="s">
        <v>55</v>
      </c>
      <c r="AJ1618" s="20" t="s">
        <v>49</v>
      </c>
      <c r="AK1618" s="20" t="s">
        <v>49</v>
      </c>
      <c r="AL1618" s="20" t="s">
        <v>49</v>
      </c>
      <c r="AM1618" s="20" t="s">
        <v>49</v>
      </c>
      <c r="AN1618" s="1" t="s">
        <v>49</v>
      </c>
      <c r="AO1618" s="1" t="s">
        <v>49</v>
      </c>
      <c r="AP1618" s="6">
        <v>1</v>
      </c>
      <c r="AQ1618" s="6">
        <v>0.08</v>
      </c>
      <c r="AR1618" s="6" t="s">
        <v>49</v>
      </c>
      <c r="AS1618" s="6" t="s">
        <v>49</v>
      </c>
      <c r="AT1618" s="6" t="s">
        <v>49</v>
      </c>
      <c r="AU1618" s="6" t="s">
        <v>49</v>
      </c>
      <c r="AV1618" s="6" t="s">
        <v>49</v>
      </c>
      <c r="AW1618" s="13" t="s">
        <v>678</v>
      </c>
    </row>
    <row r="1619" spans="1:49">
      <c r="A1619" s="1">
        <v>55</v>
      </c>
      <c r="B1619" s="1" t="s">
        <v>38</v>
      </c>
      <c r="C1619" s="1" t="s">
        <v>38</v>
      </c>
      <c r="D1619" s="1" t="s">
        <v>674</v>
      </c>
      <c r="E1619" s="1" t="s">
        <v>40</v>
      </c>
      <c r="F1619" s="1">
        <v>2003</v>
      </c>
      <c r="G1619" s="1" t="s">
        <v>407</v>
      </c>
      <c r="H1619" s="3" t="s">
        <v>408</v>
      </c>
      <c r="I1619" s="3" t="s">
        <v>409</v>
      </c>
      <c r="J1619" s="1" t="s">
        <v>410</v>
      </c>
      <c r="K1619" s="1" t="s">
        <v>45</v>
      </c>
      <c r="L1619" s="3" t="s">
        <v>46</v>
      </c>
      <c r="M1619" s="1" t="s">
        <v>12</v>
      </c>
      <c r="N1619" s="1" t="s">
        <v>76</v>
      </c>
      <c r="O1619" s="1">
        <v>0.41</v>
      </c>
      <c r="P1619" s="1" t="s">
        <v>49</v>
      </c>
      <c r="Q1619" s="1">
        <v>0.41</v>
      </c>
      <c r="R1619" s="1">
        <v>1</v>
      </c>
      <c r="S1619" s="1" t="s">
        <v>117</v>
      </c>
      <c r="T1619" s="1" t="s">
        <v>411</v>
      </c>
      <c r="U1619" s="1" t="s">
        <v>412</v>
      </c>
      <c r="V1619" s="1" t="s">
        <v>679</v>
      </c>
      <c r="W1619" s="1">
        <v>41.69</v>
      </c>
      <c r="X1619" s="1">
        <v>-80.06</v>
      </c>
      <c r="Y1619" s="1" t="s">
        <v>141</v>
      </c>
      <c r="Z1619" s="1" t="s">
        <v>414</v>
      </c>
      <c r="AA1619" s="6" t="s">
        <v>49</v>
      </c>
      <c r="AB1619" s="6" t="s">
        <v>49</v>
      </c>
      <c r="AC1619" s="6" t="s">
        <v>49</v>
      </c>
      <c r="AD1619" s="1" t="s">
        <v>52</v>
      </c>
      <c r="AE1619" s="1" t="s">
        <v>676</v>
      </c>
      <c r="AF1619" s="6" t="s">
        <v>49</v>
      </c>
      <c r="AG1619" s="6" t="s">
        <v>49</v>
      </c>
      <c r="AH1619" s="1" t="s">
        <v>415</v>
      </c>
      <c r="AI1619" s="1" t="s">
        <v>55</v>
      </c>
      <c r="AJ1619" s="20" t="s">
        <v>49</v>
      </c>
      <c r="AK1619" s="20" t="s">
        <v>49</v>
      </c>
      <c r="AL1619" s="20" t="s">
        <v>49</v>
      </c>
      <c r="AM1619" s="20" t="s">
        <v>49</v>
      </c>
      <c r="AN1619" s="1" t="s">
        <v>49</v>
      </c>
      <c r="AO1619" s="1" t="s">
        <v>49</v>
      </c>
      <c r="AP1619" s="6">
        <v>1</v>
      </c>
      <c r="AQ1619" s="6">
        <v>0.24</v>
      </c>
      <c r="AR1619" s="6" t="s">
        <v>49</v>
      </c>
      <c r="AS1619" s="6" t="s">
        <v>49</v>
      </c>
      <c r="AT1619" s="6" t="s">
        <v>49</v>
      </c>
      <c r="AU1619" s="6" t="s">
        <v>49</v>
      </c>
      <c r="AV1619" s="6" t="s">
        <v>49</v>
      </c>
      <c r="AW1619" s="13" t="s">
        <v>678</v>
      </c>
    </row>
    <row r="1620" spans="1:49" ht="14.4" customHeight="1">
      <c r="A1620" s="1">
        <v>82</v>
      </c>
      <c r="B1620" s="1" t="s">
        <v>38</v>
      </c>
      <c r="C1620" s="1" t="s">
        <v>49</v>
      </c>
      <c r="D1620" s="1" t="s">
        <v>693</v>
      </c>
      <c r="E1620" s="1" t="s">
        <v>40</v>
      </c>
      <c r="F1620" s="1">
        <v>2011</v>
      </c>
      <c r="G1620" s="1" t="s">
        <v>694</v>
      </c>
      <c r="H1620" s="1" t="s">
        <v>695</v>
      </c>
      <c r="I1620" s="1" t="s">
        <v>696</v>
      </c>
      <c r="J1620" s="1" t="s">
        <v>697</v>
      </c>
      <c r="K1620" s="1" t="s">
        <v>45</v>
      </c>
      <c r="L1620" s="3" t="s">
        <v>397</v>
      </c>
      <c r="M1620" s="1" t="s">
        <v>49</v>
      </c>
      <c r="N1620" s="1" t="s">
        <v>116</v>
      </c>
      <c r="O1620" s="1" t="s">
        <v>49</v>
      </c>
      <c r="P1620" s="1" t="s">
        <v>49</v>
      </c>
      <c r="Q1620" s="1" t="s">
        <v>49</v>
      </c>
      <c r="R1620" s="1">
        <v>1</v>
      </c>
      <c r="S1620" s="1" t="s">
        <v>294</v>
      </c>
      <c r="T1620" s="1" t="s">
        <v>49</v>
      </c>
      <c r="U1620" s="1" t="s">
        <v>251</v>
      </c>
      <c r="V1620" s="1" t="s">
        <v>698</v>
      </c>
      <c r="W1620" s="1" t="s">
        <v>49</v>
      </c>
      <c r="X1620" s="1" t="s">
        <v>49</v>
      </c>
      <c r="Y1620" s="1" t="s">
        <v>48</v>
      </c>
      <c r="Z1620" s="1" t="s">
        <v>49</v>
      </c>
      <c r="AA1620" s="1" t="s">
        <v>127</v>
      </c>
      <c r="AB1620" s="1" t="s">
        <v>699</v>
      </c>
      <c r="AC1620" s="1" t="s">
        <v>700</v>
      </c>
      <c r="AD1620" s="1" t="s">
        <v>701</v>
      </c>
      <c r="AE1620" s="1" t="s">
        <v>701</v>
      </c>
      <c r="AF1620" s="1" t="s">
        <v>60</v>
      </c>
      <c r="AG1620" s="1" t="s">
        <v>129</v>
      </c>
      <c r="AH1620" s="1" t="s">
        <v>589</v>
      </c>
      <c r="AI1620" s="1" t="s">
        <v>200</v>
      </c>
      <c r="AJ1620" s="1">
        <v>339</v>
      </c>
      <c r="AK1620" s="1">
        <v>2552</v>
      </c>
      <c r="AL1620" s="4">
        <v>0.42799999999999999</v>
      </c>
      <c r="AM1620" s="1">
        <v>428.14</v>
      </c>
      <c r="AN1620" s="1">
        <f t="shared" ref="AN1620:AN1631" si="130">AS1620/AL1620</f>
        <v>27226.065046728967</v>
      </c>
      <c r="AO1620" s="6" t="s">
        <v>49</v>
      </c>
      <c r="AP1620" s="6">
        <v>0</v>
      </c>
      <c r="AQ1620" s="6" t="s">
        <v>49</v>
      </c>
      <c r="AR1620" s="6" t="s">
        <v>49</v>
      </c>
      <c r="AS1620" s="1">
        <f>33104.42*0.088*4</f>
        <v>11652.755839999998</v>
      </c>
      <c r="AT1620" s="4">
        <f t="shared" ref="AT1620:AT1629" si="131">AS1620/(AM1620^2)*100</f>
        <v>6.3570706396626235</v>
      </c>
      <c r="AU1620" s="6">
        <v>0</v>
      </c>
      <c r="AV1620" s="4">
        <f t="shared" ref="AV1620:AV1629" si="132">AT1620*(1-AL1620)/AL1620</f>
        <v>8.4958981445958432</v>
      </c>
      <c r="AW1620" s="9" t="s">
        <v>702</v>
      </c>
    </row>
    <row r="1621" spans="1:49" ht="14.4" customHeight="1">
      <c r="A1621" s="1">
        <v>82</v>
      </c>
      <c r="B1621" s="1" t="s">
        <v>38</v>
      </c>
      <c r="C1621" s="1" t="s">
        <v>49</v>
      </c>
      <c r="D1621" s="1" t="s">
        <v>693</v>
      </c>
      <c r="E1621" s="1" t="s">
        <v>40</v>
      </c>
      <c r="F1621" s="1">
        <v>2011</v>
      </c>
      <c r="G1621" s="1" t="s">
        <v>694</v>
      </c>
      <c r="H1621" s="1" t="s">
        <v>695</v>
      </c>
      <c r="I1621" s="1" t="s">
        <v>696</v>
      </c>
      <c r="J1621" s="1" t="s">
        <v>697</v>
      </c>
      <c r="K1621" s="1" t="s">
        <v>45</v>
      </c>
      <c r="L1621" s="3" t="s">
        <v>397</v>
      </c>
      <c r="M1621" s="1" t="s">
        <v>49</v>
      </c>
      <c r="N1621" s="1" t="s">
        <v>116</v>
      </c>
      <c r="O1621" s="1" t="s">
        <v>49</v>
      </c>
      <c r="P1621" s="1" t="s">
        <v>49</v>
      </c>
      <c r="Q1621" s="1" t="s">
        <v>49</v>
      </c>
      <c r="R1621" s="1">
        <v>1</v>
      </c>
      <c r="S1621" s="1" t="s">
        <v>294</v>
      </c>
      <c r="T1621" s="1" t="s">
        <v>49</v>
      </c>
      <c r="U1621" s="1" t="s">
        <v>251</v>
      </c>
      <c r="V1621" s="1" t="s">
        <v>698</v>
      </c>
      <c r="W1621" s="1" t="s">
        <v>49</v>
      </c>
      <c r="X1621" s="1" t="s">
        <v>49</v>
      </c>
      <c r="Y1621" s="1" t="s">
        <v>48</v>
      </c>
      <c r="Z1621" s="1" t="s">
        <v>49</v>
      </c>
      <c r="AA1621" s="1" t="s">
        <v>127</v>
      </c>
      <c r="AB1621" s="1" t="s">
        <v>699</v>
      </c>
      <c r="AC1621" s="1" t="s">
        <v>242</v>
      </c>
      <c r="AD1621" s="1" t="s">
        <v>703</v>
      </c>
      <c r="AE1621" s="1" t="s">
        <v>703</v>
      </c>
      <c r="AF1621" s="1" t="s">
        <v>60</v>
      </c>
      <c r="AG1621" s="1" t="s">
        <v>61</v>
      </c>
      <c r="AH1621" s="1" t="s">
        <v>589</v>
      </c>
      <c r="AI1621" s="1" t="s">
        <v>200</v>
      </c>
      <c r="AJ1621" s="1">
        <v>339</v>
      </c>
      <c r="AK1621" s="1">
        <v>2552</v>
      </c>
      <c r="AL1621" s="4">
        <v>0.57499999999999996</v>
      </c>
      <c r="AM1621" s="1">
        <v>35.74</v>
      </c>
      <c r="AN1621" s="1">
        <f t="shared" si="130"/>
        <v>133.96194782608697</v>
      </c>
      <c r="AO1621" s="6" t="s">
        <v>49</v>
      </c>
      <c r="AP1621" s="6">
        <v>0</v>
      </c>
      <c r="AQ1621" s="6" t="s">
        <v>49</v>
      </c>
      <c r="AR1621" s="6" t="s">
        <v>49</v>
      </c>
      <c r="AS1621" s="1">
        <f>176.67*0.109*4</f>
        <v>77.028120000000001</v>
      </c>
      <c r="AT1621" s="4">
        <f t="shared" si="131"/>
        <v>6.0303178242163682</v>
      </c>
      <c r="AU1621" s="6">
        <v>0</v>
      </c>
      <c r="AV1621" s="4">
        <f t="shared" si="132"/>
        <v>4.4571914352903601</v>
      </c>
      <c r="AW1621" s="9" t="s">
        <v>702</v>
      </c>
    </row>
    <row r="1622" spans="1:49" ht="14.4" customHeight="1">
      <c r="A1622" s="1">
        <v>82</v>
      </c>
      <c r="B1622" s="1" t="s">
        <v>38</v>
      </c>
      <c r="C1622" s="1" t="s">
        <v>49</v>
      </c>
      <c r="D1622" s="1" t="s">
        <v>693</v>
      </c>
      <c r="E1622" s="1" t="s">
        <v>40</v>
      </c>
      <c r="F1622" s="1">
        <v>2011</v>
      </c>
      <c r="G1622" s="1" t="s">
        <v>694</v>
      </c>
      <c r="H1622" s="1" t="s">
        <v>695</v>
      </c>
      <c r="I1622" s="1" t="s">
        <v>696</v>
      </c>
      <c r="J1622" s="1" t="s">
        <v>697</v>
      </c>
      <c r="K1622" s="1" t="s">
        <v>45</v>
      </c>
      <c r="L1622" s="3" t="s">
        <v>397</v>
      </c>
      <c r="M1622" s="1" t="s">
        <v>49</v>
      </c>
      <c r="N1622" s="1" t="s">
        <v>116</v>
      </c>
      <c r="O1622" s="1" t="s">
        <v>49</v>
      </c>
      <c r="P1622" s="1" t="s">
        <v>49</v>
      </c>
      <c r="Q1622" s="1" t="s">
        <v>49</v>
      </c>
      <c r="R1622" s="1">
        <v>1</v>
      </c>
      <c r="S1622" s="1" t="s">
        <v>294</v>
      </c>
      <c r="T1622" s="1" t="s">
        <v>49</v>
      </c>
      <c r="U1622" s="1" t="s">
        <v>251</v>
      </c>
      <c r="V1622" s="1" t="s">
        <v>698</v>
      </c>
      <c r="W1622" s="1" t="s">
        <v>49</v>
      </c>
      <c r="X1622" s="1" t="s">
        <v>49</v>
      </c>
      <c r="Y1622" s="1" t="s">
        <v>48</v>
      </c>
      <c r="Z1622" s="1" t="s">
        <v>49</v>
      </c>
      <c r="AA1622" s="1" t="s">
        <v>127</v>
      </c>
      <c r="AB1622" s="1" t="s">
        <v>699</v>
      </c>
      <c r="AC1622" s="1" t="s">
        <v>242</v>
      </c>
      <c r="AD1622" s="1" t="s">
        <v>704</v>
      </c>
      <c r="AE1622" s="1" t="s">
        <v>704</v>
      </c>
      <c r="AF1622" s="1" t="s">
        <v>60</v>
      </c>
      <c r="AG1622" s="1" t="s">
        <v>61</v>
      </c>
      <c r="AH1622" s="1" t="s">
        <v>589</v>
      </c>
      <c r="AI1622" s="1" t="s">
        <v>200</v>
      </c>
      <c r="AJ1622" s="1">
        <v>339</v>
      </c>
      <c r="AK1622" s="1">
        <v>2552</v>
      </c>
      <c r="AL1622" s="4">
        <v>0.371</v>
      </c>
      <c r="AM1622" s="1">
        <v>18.079999999999998</v>
      </c>
      <c r="AN1622" s="1">
        <f t="shared" si="130"/>
        <v>16.195471698113209</v>
      </c>
      <c r="AO1622" s="6" t="s">
        <v>49</v>
      </c>
      <c r="AP1622" s="6">
        <v>0</v>
      </c>
      <c r="AQ1622" s="6" t="s">
        <v>49</v>
      </c>
      <c r="AR1622" s="6" t="s">
        <v>49</v>
      </c>
      <c r="AS1622" s="1">
        <f>21.77*0.069*4</f>
        <v>6.0085200000000007</v>
      </c>
      <c r="AT1622" s="4">
        <f t="shared" si="131"/>
        <v>1.8381064492129382</v>
      </c>
      <c r="AU1622" s="6">
        <v>0</v>
      </c>
      <c r="AV1622" s="4">
        <f t="shared" si="132"/>
        <v>3.1163583734634455</v>
      </c>
      <c r="AW1622" s="9" t="s">
        <v>702</v>
      </c>
    </row>
    <row r="1623" spans="1:49" ht="14.4" customHeight="1">
      <c r="A1623" s="1">
        <v>82</v>
      </c>
      <c r="B1623" s="1" t="s">
        <v>38</v>
      </c>
      <c r="C1623" s="1" t="s">
        <v>49</v>
      </c>
      <c r="D1623" s="1" t="s">
        <v>693</v>
      </c>
      <c r="E1623" s="1" t="s">
        <v>40</v>
      </c>
      <c r="F1623" s="1">
        <v>2011</v>
      </c>
      <c r="G1623" s="1" t="s">
        <v>694</v>
      </c>
      <c r="H1623" s="1" t="s">
        <v>695</v>
      </c>
      <c r="I1623" s="1" t="s">
        <v>696</v>
      </c>
      <c r="J1623" s="1" t="s">
        <v>697</v>
      </c>
      <c r="K1623" s="1" t="s">
        <v>45</v>
      </c>
      <c r="L1623" s="3" t="s">
        <v>397</v>
      </c>
      <c r="M1623" s="1" t="s">
        <v>49</v>
      </c>
      <c r="N1623" s="1" t="s">
        <v>116</v>
      </c>
      <c r="O1623" s="1" t="s">
        <v>49</v>
      </c>
      <c r="P1623" s="1" t="s">
        <v>49</v>
      </c>
      <c r="Q1623" s="1" t="s">
        <v>49</v>
      </c>
      <c r="R1623" s="1">
        <v>1</v>
      </c>
      <c r="S1623" s="1" t="s">
        <v>294</v>
      </c>
      <c r="T1623" s="1" t="s">
        <v>49</v>
      </c>
      <c r="U1623" s="1" t="s">
        <v>251</v>
      </c>
      <c r="V1623" s="1" t="s">
        <v>698</v>
      </c>
      <c r="W1623" s="1" t="s">
        <v>49</v>
      </c>
      <c r="X1623" s="1" t="s">
        <v>49</v>
      </c>
      <c r="Y1623" s="1" t="s">
        <v>48</v>
      </c>
      <c r="Z1623" s="1" t="s">
        <v>49</v>
      </c>
      <c r="AA1623" s="1" t="s">
        <v>127</v>
      </c>
      <c r="AB1623" s="1" t="s">
        <v>699</v>
      </c>
      <c r="AC1623" s="1" t="s">
        <v>242</v>
      </c>
      <c r="AD1623" s="1" t="s">
        <v>705</v>
      </c>
      <c r="AE1623" s="1" t="s">
        <v>705</v>
      </c>
      <c r="AF1623" s="1" t="s">
        <v>60</v>
      </c>
      <c r="AG1623" s="1" t="s">
        <v>61</v>
      </c>
      <c r="AH1623" s="1" t="s">
        <v>589</v>
      </c>
      <c r="AI1623" s="1" t="s">
        <v>200</v>
      </c>
      <c r="AJ1623" s="1">
        <v>339</v>
      </c>
      <c r="AK1623" s="1">
        <v>2552</v>
      </c>
      <c r="AL1623" s="4">
        <v>0.33400000000000002</v>
      </c>
      <c r="AM1623" s="1">
        <v>40.22</v>
      </c>
      <c r="AN1623" s="1">
        <f t="shared" si="130"/>
        <v>79.897964071856293</v>
      </c>
      <c r="AO1623" s="6" t="s">
        <v>49</v>
      </c>
      <c r="AP1623" s="6">
        <v>0</v>
      </c>
      <c r="AQ1623" s="6" t="s">
        <v>49</v>
      </c>
      <c r="AR1623" s="6" t="s">
        <v>49</v>
      </c>
      <c r="AS1623" s="1">
        <f>98.11*0.068*4</f>
        <v>26.685920000000003</v>
      </c>
      <c r="AT1623" s="4">
        <f t="shared" si="131"/>
        <v>1.6496736868159982</v>
      </c>
      <c r="AU1623" s="6">
        <v>0</v>
      </c>
      <c r="AV1623" s="4">
        <f t="shared" si="132"/>
        <v>3.2894690880821997</v>
      </c>
      <c r="AW1623" s="9" t="s">
        <v>702</v>
      </c>
    </row>
    <row r="1624" spans="1:49" ht="14.4" customHeight="1">
      <c r="A1624" s="1">
        <v>82</v>
      </c>
      <c r="B1624" s="1" t="s">
        <v>38</v>
      </c>
      <c r="C1624" s="1" t="s">
        <v>49</v>
      </c>
      <c r="D1624" s="1" t="s">
        <v>693</v>
      </c>
      <c r="E1624" s="1" t="s">
        <v>40</v>
      </c>
      <c r="F1624" s="1">
        <v>2011</v>
      </c>
      <c r="G1624" s="1" t="s">
        <v>694</v>
      </c>
      <c r="H1624" s="1" t="s">
        <v>695</v>
      </c>
      <c r="I1624" s="1" t="s">
        <v>696</v>
      </c>
      <c r="J1624" s="1" t="s">
        <v>697</v>
      </c>
      <c r="K1624" s="1" t="s">
        <v>45</v>
      </c>
      <c r="L1624" s="3" t="s">
        <v>397</v>
      </c>
      <c r="M1624" s="1" t="s">
        <v>49</v>
      </c>
      <c r="N1624" s="1" t="s">
        <v>116</v>
      </c>
      <c r="O1624" s="1" t="s">
        <v>49</v>
      </c>
      <c r="P1624" s="1" t="s">
        <v>49</v>
      </c>
      <c r="Q1624" s="1" t="s">
        <v>49</v>
      </c>
      <c r="R1624" s="1">
        <v>1</v>
      </c>
      <c r="S1624" s="1" t="s">
        <v>294</v>
      </c>
      <c r="T1624" s="1" t="s">
        <v>49</v>
      </c>
      <c r="U1624" s="1" t="s">
        <v>251</v>
      </c>
      <c r="V1624" s="1" t="s">
        <v>698</v>
      </c>
      <c r="W1624" s="1" t="s">
        <v>49</v>
      </c>
      <c r="X1624" s="1" t="s">
        <v>49</v>
      </c>
      <c r="Y1624" s="1" t="s">
        <v>48</v>
      </c>
      <c r="Z1624" s="1" t="s">
        <v>49</v>
      </c>
      <c r="AA1624" s="1" t="s">
        <v>94</v>
      </c>
      <c r="AB1624" s="1" t="s">
        <v>578</v>
      </c>
      <c r="AC1624" s="1" t="s">
        <v>349</v>
      </c>
      <c r="AD1624" s="1" t="s">
        <v>97</v>
      </c>
      <c r="AE1624" s="1" t="s">
        <v>97</v>
      </c>
      <c r="AF1624" s="1" t="s">
        <v>484</v>
      </c>
      <c r="AG1624" s="1" t="s">
        <v>484</v>
      </c>
      <c r="AH1624" s="1" t="s">
        <v>589</v>
      </c>
      <c r="AI1624" s="1" t="s">
        <v>200</v>
      </c>
      <c r="AJ1624" s="1">
        <v>339</v>
      </c>
      <c r="AK1624" s="1">
        <v>2552</v>
      </c>
      <c r="AL1624" s="4">
        <v>0.83599999999999997</v>
      </c>
      <c r="AM1624" s="1">
        <v>76.95</v>
      </c>
      <c r="AN1624" s="1">
        <f t="shared" si="130"/>
        <v>115.41488038277512</v>
      </c>
      <c r="AO1624" s="6" t="s">
        <v>49</v>
      </c>
      <c r="AP1624" s="6">
        <v>0</v>
      </c>
      <c r="AQ1624" s="6" t="s">
        <v>49</v>
      </c>
      <c r="AR1624" s="6" t="s">
        <v>49</v>
      </c>
      <c r="AS1624" s="1">
        <f>186.99*0.129*4</f>
        <v>96.486840000000001</v>
      </c>
      <c r="AT1624" s="4">
        <f t="shared" si="131"/>
        <v>1.629486755658911</v>
      </c>
      <c r="AU1624" s="6">
        <v>0</v>
      </c>
      <c r="AV1624" s="4">
        <f t="shared" si="132"/>
        <v>0.31966008125366202</v>
      </c>
      <c r="AW1624" s="9" t="s">
        <v>702</v>
      </c>
    </row>
    <row r="1625" spans="1:49" ht="14.4" customHeight="1">
      <c r="A1625" s="1">
        <v>82</v>
      </c>
      <c r="B1625" s="1" t="s">
        <v>38</v>
      </c>
      <c r="C1625" s="1" t="s">
        <v>49</v>
      </c>
      <c r="D1625" s="1" t="s">
        <v>693</v>
      </c>
      <c r="E1625" s="1" t="s">
        <v>40</v>
      </c>
      <c r="F1625" s="1">
        <v>2011</v>
      </c>
      <c r="G1625" s="1" t="s">
        <v>694</v>
      </c>
      <c r="H1625" s="1" t="s">
        <v>695</v>
      </c>
      <c r="I1625" s="1" t="s">
        <v>696</v>
      </c>
      <c r="J1625" s="1" t="s">
        <v>697</v>
      </c>
      <c r="K1625" s="1" t="s">
        <v>45</v>
      </c>
      <c r="L1625" s="3" t="s">
        <v>397</v>
      </c>
      <c r="M1625" s="1" t="s">
        <v>49</v>
      </c>
      <c r="N1625" s="1" t="s">
        <v>116</v>
      </c>
      <c r="O1625" s="1" t="s">
        <v>49</v>
      </c>
      <c r="P1625" s="1" t="s">
        <v>49</v>
      </c>
      <c r="Q1625" s="1" t="s">
        <v>49</v>
      </c>
      <c r="R1625" s="1">
        <v>1</v>
      </c>
      <c r="S1625" s="1" t="s">
        <v>294</v>
      </c>
      <c r="T1625" s="1" t="s">
        <v>49</v>
      </c>
      <c r="U1625" s="1" t="s">
        <v>251</v>
      </c>
      <c r="V1625" s="1" t="s">
        <v>698</v>
      </c>
      <c r="W1625" s="1" t="s">
        <v>49</v>
      </c>
      <c r="X1625" s="1" t="s">
        <v>49</v>
      </c>
      <c r="Y1625" s="1" t="s">
        <v>48</v>
      </c>
      <c r="Z1625" s="1" t="s">
        <v>49</v>
      </c>
      <c r="AA1625" s="1" t="s">
        <v>127</v>
      </c>
      <c r="AB1625" s="1" t="s">
        <v>241</v>
      </c>
      <c r="AC1625" s="1" t="s">
        <v>290</v>
      </c>
      <c r="AD1625" s="1" t="s">
        <v>706</v>
      </c>
      <c r="AE1625" s="1" t="s">
        <v>706</v>
      </c>
      <c r="AF1625" s="1" t="s">
        <v>60</v>
      </c>
      <c r="AG1625" s="1" t="s">
        <v>61</v>
      </c>
      <c r="AH1625" s="1" t="s">
        <v>589</v>
      </c>
      <c r="AI1625" s="1" t="s">
        <v>200</v>
      </c>
      <c r="AJ1625" s="1">
        <v>339</v>
      </c>
      <c r="AK1625" s="1">
        <v>2552</v>
      </c>
      <c r="AL1625" s="4">
        <v>0.69799999999999995</v>
      </c>
      <c r="AM1625" s="1">
        <v>2.86</v>
      </c>
      <c r="AN1625" s="1">
        <f t="shared" si="130"/>
        <v>0.18911174785100288</v>
      </c>
      <c r="AO1625" s="6" t="s">
        <v>49</v>
      </c>
      <c r="AP1625" s="6">
        <v>0</v>
      </c>
      <c r="AQ1625" s="6" t="s">
        <v>49</v>
      </c>
      <c r="AR1625" s="6" t="s">
        <v>49</v>
      </c>
      <c r="AS1625" s="1">
        <f>0.33*0.1*4</f>
        <v>0.13200000000000001</v>
      </c>
      <c r="AT1625" s="4">
        <f t="shared" si="131"/>
        <v>1.6137708445400756</v>
      </c>
      <c r="AU1625" s="6">
        <v>0</v>
      </c>
      <c r="AV1625" s="4">
        <f t="shared" si="132"/>
        <v>0.69822176941418757</v>
      </c>
      <c r="AW1625" s="9" t="s">
        <v>702</v>
      </c>
    </row>
    <row r="1626" spans="1:49" ht="14.4" customHeight="1">
      <c r="A1626" s="1">
        <v>82</v>
      </c>
      <c r="B1626" s="1" t="s">
        <v>38</v>
      </c>
      <c r="C1626" s="1" t="s">
        <v>49</v>
      </c>
      <c r="D1626" s="1" t="s">
        <v>693</v>
      </c>
      <c r="E1626" s="1" t="s">
        <v>40</v>
      </c>
      <c r="F1626" s="1">
        <v>2011</v>
      </c>
      <c r="G1626" s="1" t="s">
        <v>694</v>
      </c>
      <c r="H1626" s="1" t="s">
        <v>695</v>
      </c>
      <c r="I1626" s="1" t="s">
        <v>696</v>
      </c>
      <c r="J1626" s="1" t="s">
        <v>697</v>
      </c>
      <c r="K1626" s="1" t="s">
        <v>45</v>
      </c>
      <c r="L1626" s="3" t="s">
        <v>397</v>
      </c>
      <c r="M1626" s="1" t="s">
        <v>49</v>
      </c>
      <c r="N1626" s="1" t="s">
        <v>116</v>
      </c>
      <c r="O1626" s="1" t="s">
        <v>49</v>
      </c>
      <c r="P1626" s="1" t="s">
        <v>49</v>
      </c>
      <c r="Q1626" s="1" t="s">
        <v>49</v>
      </c>
      <c r="R1626" s="1">
        <v>1</v>
      </c>
      <c r="S1626" s="1" t="s">
        <v>294</v>
      </c>
      <c r="T1626" s="1" t="s">
        <v>49</v>
      </c>
      <c r="U1626" s="1" t="s">
        <v>251</v>
      </c>
      <c r="V1626" s="1" t="s">
        <v>698</v>
      </c>
      <c r="W1626" s="1" t="s">
        <v>49</v>
      </c>
      <c r="X1626" s="1" t="s">
        <v>49</v>
      </c>
      <c r="Y1626" s="1" t="s">
        <v>48</v>
      </c>
      <c r="Z1626" s="1" t="s">
        <v>49</v>
      </c>
      <c r="AA1626" s="1" t="s">
        <v>127</v>
      </c>
      <c r="AB1626" s="1" t="s">
        <v>241</v>
      </c>
      <c r="AC1626" s="1" t="s">
        <v>290</v>
      </c>
      <c r="AD1626" s="1" t="s">
        <v>707</v>
      </c>
      <c r="AE1626" s="1" t="s">
        <v>707</v>
      </c>
      <c r="AF1626" s="1" t="s">
        <v>60</v>
      </c>
      <c r="AG1626" s="1" t="s">
        <v>61</v>
      </c>
      <c r="AH1626" s="1" t="s">
        <v>589</v>
      </c>
      <c r="AI1626" s="1" t="s">
        <v>200</v>
      </c>
      <c r="AJ1626" s="1">
        <v>339</v>
      </c>
      <c r="AK1626" s="1">
        <v>2552</v>
      </c>
      <c r="AL1626" s="4">
        <v>0.96899999999999997</v>
      </c>
      <c r="AM1626" s="1">
        <v>61.21</v>
      </c>
      <c r="AN1626" s="1">
        <f t="shared" si="130"/>
        <v>171.60210526315791</v>
      </c>
      <c r="AO1626" s="6" t="s">
        <v>49</v>
      </c>
      <c r="AP1626" s="6">
        <v>0</v>
      </c>
      <c r="AQ1626" s="6" t="s">
        <v>49</v>
      </c>
      <c r="AR1626" s="6" t="s">
        <v>49</v>
      </c>
      <c r="AS1626" s="1">
        <f>374.51*0.111*4</f>
        <v>166.28244000000001</v>
      </c>
      <c r="AT1626" s="4">
        <f t="shared" si="131"/>
        <v>4.4381464567373419</v>
      </c>
      <c r="AU1626" s="6">
        <v>0</v>
      </c>
      <c r="AV1626" s="4">
        <f t="shared" si="132"/>
        <v>0.14198404557157659</v>
      </c>
      <c r="AW1626" s="9" t="s">
        <v>702</v>
      </c>
    </row>
    <row r="1627" spans="1:49" ht="14.4" customHeight="1">
      <c r="A1627" s="1">
        <v>82</v>
      </c>
      <c r="B1627" s="1" t="s">
        <v>38</v>
      </c>
      <c r="C1627" s="1" t="s">
        <v>49</v>
      </c>
      <c r="D1627" s="1" t="s">
        <v>693</v>
      </c>
      <c r="E1627" s="1" t="s">
        <v>40</v>
      </c>
      <c r="F1627" s="1">
        <v>2011</v>
      </c>
      <c r="G1627" s="1" t="s">
        <v>694</v>
      </c>
      <c r="H1627" s="1" t="s">
        <v>695</v>
      </c>
      <c r="I1627" s="1" t="s">
        <v>696</v>
      </c>
      <c r="J1627" s="1" t="s">
        <v>697</v>
      </c>
      <c r="K1627" s="1" t="s">
        <v>45</v>
      </c>
      <c r="L1627" s="3" t="s">
        <v>397</v>
      </c>
      <c r="M1627" s="1" t="s">
        <v>49</v>
      </c>
      <c r="N1627" s="1" t="s">
        <v>116</v>
      </c>
      <c r="O1627" s="1" t="s">
        <v>49</v>
      </c>
      <c r="P1627" s="1" t="s">
        <v>49</v>
      </c>
      <c r="Q1627" s="1" t="s">
        <v>49</v>
      </c>
      <c r="R1627" s="1">
        <v>1</v>
      </c>
      <c r="S1627" s="1" t="s">
        <v>294</v>
      </c>
      <c r="T1627" s="1" t="s">
        <v>49</v>
      </c>
      <c r="U1627" s="1" t="s">
        <v>251</v>
      </c>
      <c r="V1627" s="1" t="s">
        <v>698</v>
      </c>
      <c r="W1627" s="1" t="s">
        <v>49</v>
      </c>
      <c r="X1627" s="1" t="s">
        <v>49</v>
      </c>
      <c r="Y1627" s="1" t="s">
        <v>48</v>
      </c>
      <c r="Z1627" s="1" t="s">
        <v>49</v>
      </c>
      <c r="AA1627" s="1" t="s">
        <v>50</v>
      </c>
      <c r="AB1627" s="1" t="s">
        <v>51</v>
      </c>
      <c r="AC1627" s="1" t="s">
        <v>658</v>
      </c>
      <c r="AD1627" s="1" t="s">
        <v>708</v>
      </c>
      <c r="AE1627" s="1" t="s">
        <v>708</v>
      </c>
      <c r="AF1627" s="1" t="s">
        <v>60</v>
      </c>
      <c r="AG1627" s="1" t="s">
        <v>61</v>
      </c>
      <c r="AH1627" s="1" t="s">
        <v>589</v>
      </c>
      <c r="AI1627" s="1" t="s">
        <v>200</v>
      </c>
      <c r="AJ1627" s="1">
        <v>339</v>
      </c>
      <c r="AK1627" s="1">
        <v>2552</v>
      </c>
      <c r="AL1627" s="4">
        <v>0.19600000000000001</v>
      </c>
      <c r="AM1627" s="1">
        <v>12.63</v>
      </c>
      <c r="AN1627" s="1">
        <f t="shared" si="130"/>
        <v>18.937959183673467</v>
      </c>
      <c r="AO1627" s="6" t="s">
        <v>49</v>
      </c>
      <c r="AP1627" s="6">
        <v>0</v>
      </c>
      <c r="AQ1627" s="6" t="s">
        <v>49</v>
      </c>
      <c r="AR1627" s="6" t="s">
        <v>49</v>
      </c>
      <c r="AS1627" s="1">
        <f>21.09*0.044*4</f>
        <v>3.7118399999999996</v>
      </c>
      <c r="AT1627" s="4">
        <f t="shared" si="131"/>
        <v>2.3269258617738933</v>
      </c>
      <c r="AU1627" s="6">
        <v>0</v>
      </c>
      <c r="AV1627" s="4">
        <f t="shared" si="132"/>
        <v>9.5451448615622976</v>
      </c>
      <c r="AW1627" s="9" t="s">
        <v>702</v>
      </c>
    </row>
    <row r="1628" spans="1:49" ht="14.4" customHeight="1">
      <c r="A1628" s="1">
        <v>82</v>
      </c>
      <c r="B1628" s="1" t="s">
        <v>38</v>
      </c>
      <c r="C1628" s="1" t="s">
        <v>49</v>
      </c>
      <c r="D1628" s="1" t="s">
        <v>693</v>
      </c>
      <c r="E1628" s="1" t="s">
        <v>40</v>
      </c>
      <c r="F1628" s="1">
        <v>2011</v>
      </c>
      <c r="G1628" s="1" t="s">
        <v>694</v>
      </c>
      <c r="H1628" s="1" t="s">
        <v>695</v>
      </c>
      <c r="I1628" s="1" t="s">
        <v>696</v>
      </c>
      <c r="J1628" s="1" t="s">
        <v>697</v>
      </c>
      <c r="K1628" s="1" t="s">
        <v>45</v>
      </c>
      <c r="L1628" s="3" t="s">
        <v>397</v>
      </c>
      <c r="M1628" s="1" t="s">
        <v>49</v>
      </c>
      <c r="N1628" s="1" t="s">
        <v>116</v>
      </c>
      <c r="O1628" s="1" t="s">
        <v>49</v>
      </c>
      <c r="P1628" s="1" t="s">
        <v>49</v>
      </c>
      <c r="Q1628" s="1" t="s">
        <v>49</v>
      </c>
      <c r="R1628" s="1">
        <v>1</v>
      </c>
      <c r="S1628" s="1" t="s">
        <v>294</v>
      </c>
      <c r="T1628" s="1" t="s">
        <v>49</v>
      </c>
      <c r="U1628" s="1" t="s">
        <v>251</v>
      </c>
      <c r="V1628" s="1" t="s">
        <v>698</v>
      </c>
      <c r="W1628" s="1" t="s">
        <v>49</v>
      </c>
      <c r="X1628" s="1" t="s">
        <v>49</v>
      </c>
      <c r="Y1628" s="1" t="s">
        <v>48</v>
      </c>
      <c r="Z1628" s="1" t="s">
        <v>49</v>
      </c>
      <c r="AA1628" s="1" t="s">
        <v>127</v>
      </c>
      <c r="AB1628" s="1" t="s">
        <v>241</v>
      </c>
      <c r="AC1628" s="1" t="s">
        <v>290</v>
      </c>
      <c r="AD1628" s="1" t="s">
        <v>709</v>
      </c>
      <c r="AE1628" s="1" t="s">
        <v>709</v>
      </c>
      <c r="AF1628" s="1" t="s">
        <v>60</v>
      </c>
      <c r="AG1628" s="1" t="s">
        <v>61</v>
      </c>
      <c r="AH1628" s="1" t="s">
        <v>589</v>
      </c>
      <c r="AI1628" s="1" t="s">
        <v>200</v>
      </c>
      <c r="AJ1628" s="1">
        <v>339</v>
      </c>
      <c r="AK1628" s="1">
        <v>2552</v>
      </c>
      <c r="AL1628" s="4">
        <v>0.85399999999999998</v>
      </c>
      <c r="AM1628" s="1">
        <v>58.23</v>
      </c>
      <c r="AN1628" s="1">
        <f t="shared" si="130"/>
        <v>186.35728337236532</v>
      </c>
      <c r="AO1628" s="6" t="s">
        <v>49</v>
      </c>
      <c r="AP1628" s="6">
        <v>0</v>
      </c>
      <c r="AQ1628" s="6" t="s">
        <v>49</v>
      </c>
      <c r="AR1628" s="6" t="s">
        <v>49</v>
      </c>
      <c r="AS1628" s="1">
        <f>382.57*0.104*4</f>
        <v>159.14911999999998</v>
      </c>
      <c r="AT1628" s="4">
        <f t="shared" si="131"/>
        <v>4.6936495646708121</v>
      </c>
      <c r="AU1628" s="6">
        <v>0</v>
      </c>
      <c r="AV1628" s="4">
        <f t="shared" si="132"/>
        <v>0.80242720894840602</v>
      </c>
      <c r="AW1628" s="9" t="s">
        <v>702</v>
      </c>
    </row>
    <row r="1629" spans="1:49" ht="14.4" customHeight="1">
      <c r="A1629" s="1">
        <v>82</v>
      </c>
      <c r="B1629" s="1" t="s">
        <v>38</v>
      </c>
      <c r="C1629" s="1" t="s">
        <v>49</v>
      </c>
      <c r="D1629" s="1" t="s">
        <v>693</v>
      </c>
      <c r="E1629" s="1" t="s">
        <v>40</v>
      </c>
      <c r="F1629" s="1">
        <v>2011</v>
      </c>
      <c r="G1629" s="1" t="s">
        <v>694</v>
      </c>
      <c r="H1629" s="1" t="s">
        <v>695</v>
      </c>
      <c r="I1629" s="1" t="s">
        <v>696</v>
      </c>
      <c r="J1629" s="1" t="s">
        <v>697</v>
      </c>
      <c r="K1629" s="1" t="s">
        <v>45</v>
      </c>
      <c r="L1629" s="3" t="s">
        <v>397</v>
      </c>
      <c r="M1629" s="1" t="s">
        <v>49</v>
      </c>
      <c r="N1629" s="1" t="s">
        <v>116</v>
      </c>
      <c r="O1629" s="1" t="s">
        <v>49</v>
      </c>
      <c r="P1629" s="1" t="s">
        <v>49</v>
      </c>
      <c r="Q1629" s="1" t="s">
        <v>49</v>
      </c>
      <c r="R1629" s="1">
        <v>1</v>
      </c>
      <c r="S1629" s="1" t="s">
        <v>294</v>
      </c>
      <c r="T1629" s="1" t="s">
        <v>49</v>
      </c>
      <c r="U1629" s="1" t="s">
        <v>251</v>
      </c>
      <c r="V1629" s="1" t="s">
        <v>698</v>
      </c>
      <c r="W1629" s="1" t="s">
        <v>49</v>
      </c>
      <c r="X1629" s="1" t="s">
        <v>49</v>
      </c>
      <c r="Y1629" s="1" t="s">
        <v>48</v>
      </c>
      <c r="Z1629" s="1" t="s">
        <v>49</v>
      </c>
      <c r="AA1629" s="1" t="s">
        <v>50</v>
      </c>
      <c r="AB1629" s="1" t="s">
        <v>51</v>
      </c>
      <c r="AC1629" s="1" t="s">
        <v>658</v>
      </c>
      <c r="AD1629" s="1" t="s">
        <v>710</v>
      </c>
      <c r="AE1629" s="1" t="s">
        <v>710</v>
      </c>
      <c r="AF1629" s="1" t="s">
        <v>60</v>
      </c>
      <c r="AG1629" s="1" t="s">
        <v>61</v>
      </c>
      <c r="AH1629" s="1" t="s">
        <v>589</v>
      </c>
      <c r="AI1629" s="1" t="s">
        <v>200</v>
      </c>
      <c r="AJ1629" s="1">
        <v>339</v>
      </c>
      <c r="AK1629" s="1">
        <v>2552</v>
      </c>
      <c r="AL1629" s="4">
        <v>0.32200000000000001</v>
      </c>
      <c r="AM1629" s="1">
        <v>64.03</v>
      </c>
      <c r="AN1629" s="1">
        <f t="shared" si="130"/>
        <v>370.27080745341607</v>
      </c>
      <c r="AO1629" s="6" t="s">
        <v>49</v>
      </c>
      <c r="AP1629" s="6">
        <v>0</v>
      </c>
      <c r="AQ1629" s="6" t="s">
        <v>49</v>
      </c>
      <c r="AR1629" s="6" t="s">
        <v>49</v>
      </c>
      <c r="AS1629" s="1">
        <f>496.78*0.06*4</f>
        <v>119.22719999999998</v>
      </c>
      <c r="AT1629" s="4">
        <f t="shared" si="131"/>
        <v>2.9080933360121359</v>
      </c>
      <c r="AU1629" s="6">
        <v>0</v>
      </c>
      <c r="AV1629" s="4">
        <f t="shared" si="132"/>
        <v>6.1232524280007077</v>
      </c>
      <c r="AW1629" s="9" t="s">
        <v>702</v>
      </c>
    </row>
    <row r="1630" spans="1:49" ht="14.4" customHeight="1">
      <c r="A1630" s="1">
        <v>82</v>
      </c>
      <c r="B1630" s="1" t="s">
        <v>38</v>
      </c>
      <c r="C1630" s="1" t="s">
        <v>49</v>
      </c>
      <c r="D1630" s="1" t="s">
        <v>693</v>
      </c>
      <c r="E1630" s="1" t="s">
        <v>40</v>
      </c>
      <c r="F1630" s="1">
        <v>2011</v>
      </c>
      <c r="G1630" s="1" t="s">
        <v>694</v>
      </c>
      <c r="H1630" s="1" t="s">
        <v>695</v>
      </c>
      <c r="I1630" s="1" t="s">
        <v>696</v>
      </c>
      <c r="J1630" s="1" t="s">
        <v>697</v>
      </c>
      <c r="K1630" s="1" t="s">
        <v>45</v>
      </c>
      <c r="L1630" s="3" t="s">
        <v>397</v>
      </c>
      <c r="M1630" s="1" t="s">
        <v>49</v>
      </c>
      <c r="N1630" s="1" t="s">
        <v>116</v>
      </c>
      <c r="O1630" s="1" t="s">
        <v>49</v>
      </c>
      <c r="P1630" s="1" t="s">
        <v>49</v>
      </c>
      <c r="Q1630" s="1" t="s">
        <v>49</v>
      </c>
      <c r="R1630" s="1">
        <v>1</v>
      </c>
      <c r="S1630" s="1" t="s">
        <v>294</v>
      </c>
      <c r="T1630" s="1" t="s">
        <v>49</v>
      </c>
      <c r="U1630" s="1" t="s">
        <v>251</v>
      </c>
      <c r="V1630" s="1" t="s">
        <v>698</v>
      </c>
      <c r="W1630" s="1" t="s">
        <v>49</v>
      </c>
      <c r="X1630" s="1" t="s">
        <v>49</v>
      </c>
      <c r="Y1630" s="1" t="s">
        <v>48</v>
      </c>
      <c r="Z1630" s="1" t="s">
        <v>49</v>
      </c>
      <c r="AA1630" s="1" t="s">
        <v>127</v>
      </c>
      <c r="AB1630" s="1" t="s">
        <v>241</v>
      </c>
      <c r="AC1630" s="1" t="s">
        <v>579</v>
      </c>
      <c r="AD1630" s="1" t="s">
        <v>711</v>
      </c>
      <c r="AE1630" s="1" t="s">
        <v>711</v>
      </c>
      <c r="AF1630" s="1" t="s">
        <v>60</v>
      </c>
      <c r="AG1630" s="1" t="s">
        <v>173</v>
      </c>
      <c r="AH1630" s="1" t="s">
        <v>589</v>
      </c>
      <c r="AI1630" s="1" t="s">
        <v>200</v>
      </c>
      <c r="AJ1630" s="1">
        <v>339</v>
      </c>
      <c r="AK1630" s="1">
        <v>2552</v>
      </c>
      <c r="AL1630" s="4">
        <v>0.44900000000000001</v>
      </c>
      <c r="AM1630" s="1">
        <v>3.36</v>
      </c>
      <c r="AN1630" s="1">
        <f t="shared" si="130"/>
        <v>0.24320712694877508</v>
      </c>
      <c r="AO1630" s="6" t="s">
        <v>49</v>
      </c>
      <c r="AP1630" s="6">
        <v>0</v>
      </c>
      <c r="AQ1630" s="6" t="s">
        <v>49</v>
      </c>
      <c r="AR1630" s="6" t="s">
        <v>49</v>
      </c>
      <c r="AS1630" s="1">
        <f>0.39*0.07*4</f>
        <v>0.10920000000000002</v>
      </c>
      <c r="AT1630" s="4">
        <f>AS1630*100</f>
        <v>10.920000000000002</v>
      </c>
      <c r="AU1630" s="6">
        <v>1</v>
      </c>
      <c r="AV1630" s="4">
        <f>(AN1630-AS1630)*100</f>
        <v>13.400712694877507</v>
      </c>
      <c r="AW1630" s="9" t="s">
        <v>702</v>
      </c>
    </row>
    <row r="1631" spans="1:49" ht="14.4" customHeight="1">
      <c r="A1631" s="1">
        <v>82</v>
      </c>
      <c r="B1631" s="1" t="s">
        <v>38</v>
      </c>
      <c r="C1631" s="1" t="s">
        <v>49</v>
      </c>
      <c r="D1631" s="1" t="s">
        <v>693</v>
      </c>
      <c r="E1631" s="1" t="s">
        <v>40</v>
      </c>
      <c r="F1631" s="1">
        <v>2011</v>
      </c>
      <c r="G1631" s="1" t="s">
        <v>694</v>
      </c>
      <c r="H1631" s="1" t="s">
        <v>695</v>
      </c>
      <c r="I1631" s="1" t="s">
        <v>696</v>
      </c>
      <c r="J1631" s="1" t="s">
        <v>697</v>
      </c>
      <c r="K1631" s="1" t="s">
        <v>45</v>
      </c>
      <c r="L1631" s="3" t="s">
        <v>397</v>
      </c>
      <c r="M1631" s="1" t="s">
        <v>49</v>
      </c>
      <c r="N1631" s="1" t="s">
        <v>116</v>
      </c>
      <c r="O1631" s="1" t="s">
        <v>49</v>
      </c>
      <c r="P1631" s="1" t="s">
        <v>49</v>
      </c>
      <c r="Q1631" s="1" t="s">
        <v>49</v>
      </c>
      <c r="R1631" s="1">
        <v>1</v>
      </c>
      <c r="S1631" s="1" t="s">
        <v>294</v>
      </c>
      <c r="T1631" s="1" t="s">
        <v>49</v>
      </c>
      <c r="U1631" s="1" t="s">
        <v>251</v>
      </c>
      <c r="V1631" s="1" t="s">
        <v>698</v>
      </c>
      <c r="W1631" s="1" t="s">
        <v>49</v>
      </c>
      <c r="X1631" s="1" t="s">
        <v>49</v>
      </c>
      <c r="Y1631" s="1" t="s">
        <v>48</v>
      </c>
      <c r="Z1631" s="1" t="s">
        <v>49</v>
      </c>
      <c r="AA1631" s="1" t="s">
        <v>50</v>
      </c>
      <c r="AB1631" s="1" t="s">
        <v>51</v>
      </c>
      <c r="AC1631" s="1" t="s">
        <v>658</v>
      </c>
      <c r="AD1631" s="1" t="s">
        <v>712</v>
      </c>
      <c r="AE1631" s="1" t="s">
        <v>712</v>
      </c>
      <c r="AF1631" s="1" t="s">
        <v>60</v>
      </c>
      <c r="AG1631" s="1" t="s">
        <v>173</v>
      </c>
      <c r="AH1631" s="1" t="s">
        <v>589</v>
      </c>
      <c r="AI1631" s="1" t="s">
        <v>200</v>
      </c>
      <c r="AJ1631" s="1">
        <v>339</v>
      </c>
      <c r="AK1631" s="1">
        <v>2552</v>
      </c>
      <c r="AL1631" s="4">
        <v>0.28399999999999997</v>
      </c>
      <c r="AM1631" s="1">
        <v>1.7</v>
      </c>
      <c r="AN1631" s="1">
        <f t="shared" si="130"/>
        <v>0.38535211267605635</v>
      </c>
      <c r="AO1631" s="6" t="s">
        <v>49</v>
      </c>
      <c r="AP1631" s="6">
        <v>0</v>
      </c>
      <c r="AQ1631" s="6" t="s">
        <v>49</v>
      </c>
      <c r="AR1631" s="6" t="s">
        <v>49</v>
      </c>
      <c r="AS1631" s="1">
        <f>0.48*0.057*4</f>
        <v>0.10944</v>
      </c>
      <c r="AT1631" s="4">
        <f>AS1631*100</f>
        <v>10.943999999999999</v>
      </c>
      <c r="AU1631" s="6">
        <v>1</v>
      </c>
      <c r="AV1631" s="4">
        <f>(AN1631-AS1631)*100</f>
        <v>27.591211267605637</v>
      </c>
      <c r="AW1631" s="9" t="s">
        <v>702</v>
      </c>
    </row>
    <row r="1632" spans="1:49" ht="14.4" customHeight="1">
      <c r="A1632" s="1">
        <v>85</v>
      </c>
      <c r="B1632" s="1" t="s">
        <v>38</v>
      </c>
      <c r="C1632" s="1" t="s">
        <v>49</v>
      </c>
      <c r="D1632" s="1" t="s">
        <v>713</v>
      </c>
      <c r="E1632" s="1" t="s">
        <v>302</v>
      </c>
      <c r="F1632" s="1">
        <v>2011</v>
      </c>
      <c r="G1632" s="1" t="s">
        <v>162</v>
      </c>
      <c r="H1632" s="3" t="s">
        <v>163</v>
      </c>
      <c r="I1632" s="3" t="s">
        <v>164</v>
      </c>
      <c r="J1632" s="3" t="s">
        <v>165</v>
      </c>
      <c r="K1632" s="3" t="s">
        <v>714</v>
      </c>
      <c r="L1632" s="3" t="s">
        <v>397</v>
      </c>
      <c r="M1632" s="1" t="s">
        <v>115</v>
      </c>
      <c r="N1632" s="1" t="s">
        <v>116</v>
      </c>
      <c r="O1632" s="1">
        <v>1</v>
      </c>
      <c r="P1632" s="1">
        <v>1</v>
      </c>
      <c r="Q1632" s="1" t="s">
        <v>49</v>
      </c>
      <c r="R1632" s="1">
        <v>1</v>
      </c>
      <c r="S1632" s="1" t="s">
        <v>166</v>
      </c>
      <c r="T1632" s="1" t="s">
        <v>166</v>
      </c>
      <c r="U1632" s="1" t="s">
        <v>119</v>
      </c>
      <c r="V1632" s="1" t="s">
        <v>715</v>
      </c>
      <c r="W1632" s="1" t="s">
        <v>49</v>
      </c>
      <c r="X1632" s="1" t="s">
        <v>49</v>
      </c>
      <c r="Y1632" s="1" t="s">
        <v>48</v>
      </c>
      <c r="Z1632" s="1" t="s">
        <v>49</v>
      </c>
      <c r="AA1632" s="1" t="s">
        <v>50</v>
      </c>
      <c r="AB1632" s="1" t="s">
        <v>66</v>
      </c>
      <c r="AC1632" s="1" t="s">
        <v>169</v>
      </c>
      <c r="AD1632" s="1" t="s">
        <v>716</v>
      </c>
      <c r="AE1632" s="1" t="s">
        <v>716</v>
      </c>
      <c r="AF1632" s="1" t="s">
        <v>60</v>
      </c>
      <c r="AG1632" s="1" t="s">
        <v>61</v>
      </c>
      <c r="AH1632" s="1" t="s">
        <v>152</v>
      </c>
      <c r="AI1632" s="1" t="s">
        <v>55</v>
      </c>
      <c r="AJ1632" s="1">
        <v>13</v>
      </c>
      <c r="AK1632" s="1">
        <v>751</v>
      </c>
      <c r="AL1632" s="4">
        <v>0.61</v>
      </c>
      <c r="AM1632" s="1">
        <v>8.4767240000000008</v>
      </c>
      <c r="AN1632" s="1">
        <v>0.67</v>
      </c>
      <c r="AO1632" s="1" t="s">
        <v>49</v>
      </c>
      <c r="AP1632" s="6">
        <v>0</v>
      </c>
      <c r="AQ1632" s="6" t="s">
        <v>49</v>
      </c>
      <c r="AR1632" s="6" t="s">
        <v>49</v>
      </c>
      <c r="AS1632" s="1">
        <v>0.41</v>
      </c>
      <c r="AT1632" s="4">
        <f>AS1632/(AM1632^2)*100</f>
        <v>0.57059474941489918</v>
      </c>
      <c r="AU1632" s="5">
        <v>0</v>
      </c>
      <c r="AV1632" s="4">
        <f>AT1632*(1-AL1632)/AL1632</f>
        <v>0.3648064791341159</v>
      </c>
      <c r="AW1632" s="1" t="s">
        <v>717</v>
      </c>
    </row>
    <row r="1633" spans="1:49" ht="14.4" customHeight="1">
      <c r="A1633" s="1">
        <v>85</v>
      </c>
      <c r="B1633" s="1" t="s">
        <v>38</v>
      </c>
      <c r="C1633" s="1" t="s">
        <v>49</v>
      </c>
      <c r="D1633" s="1" t="s">
        <v>713</v>
      </c>
      <c r="E1633" s="1" t="s">
        <v>302</v>
      </c>
      <c r="F1633" s="1">
        <v>2011</v>
      </c>
      <c r="G1633" s="1" t="s">
        <v>162</v>
      </c>
      <c r="H1633" s="3" t="s">
        <v>163</v>
      </c>
      <c r="I1633" s="3" t="s">
        <v>164</v>
      </c>
      <c r="J1633" s="3" t="s">
        <v>165</v>
      </c>
      <c r="K1633" s="3" t="s">
        <v>714</v>
      </c>
      <c r="L1633" s="3" t="s">
        <v>397</v>
      </c>
      <c r="M1633" s="1" t="s">
        <v>115</v>
      </c>
      <c r="N1633" s="1" t="s">
        <v>116</v>
      </c>
      <c r="O1633" s="1">
        <v>1</v>
      </c>
      <c r="P1633" s="1">
        <v>1</v>
      </c>
      <c r="Q1633" s="1" t="s">
        <v>49</v>
      </c>
      <c r="R1633" s="1">
        <v>1</v>
      </c>
      <c r="S1633" s="1" t="s">
        <v>166</v>
      </c>
      <c r="T1633" s="1" t="s">
        <v>166</v>
      </c>
      <c r="U1633" s="1" t="s">
        <v>119</v>
      </c>
      <c r="V1633" s="1" t="s">
        <v>715</v>
      </c>
      <c r="W1633" s="1" t="s">
        <v>49</v>
      </c>
      <c r="X1633" s="1" t="s">
        <v>49</v>
      </c>
      <c r="Y1633" s="1" t="s">
        <v>48</v>
      </c>
      <c r="Z1633" s="1" t="s">
        <v>49</v>
      </c>
      <c r="AA1633" s="1" t="s">
        <v>50</v>
      </c>
      <c r="AB1633" s="1" t="s">
        <v>66</v>
      </c>
      <c r="AC1633" s="1" t="s">
        <v>169</v>
      </c>
      <c r="AD1633" s="1" t="s">
        <v>718</v>
      </c>
      <c r="AE1633" s="1" t="s">
        <v>718</v>
      </c>
      <c r="AF1633" s="1" t="s">
        <v>60</v>
      </c>
      <c r="AG1633" s="1" t="s">
        <v>61</v>
      </c>
      <c r="AH1633" s="1" t="s">
        <v>152</v>
      </c>
      <c r="AI1633" s="1" t="s">
        <v>55</v>
      </c>
      <c r="AJ1633" s="1">
        <v>13</v>
      </c>
      <c r="AK1633" s="1">
        <v>974</v>
      </c>
      <c r="AL1633" s="4">
        <v>0.47</v>
      </c>
      <c r="AM1633" s="1">
        <v>12.354520000000001</v>
      </c>
      <c r="AN1633" s="1">
        <v>1.25</v>
      </c>
      <c r="AO1633" s="1" t="s">
        <v>49</v>
      </c>
      <c r="AP1633" s="6">
        <v>0</v>
      </c>
      <c r="AQ1633" s="6" t="s">
        <v>49</v>
      </c>
      <c r="AR1633" s="6" t="s">
        <v>49</v>
      </c>
      <c r="AS1633" s="1">
        <v>0.57999999999999996</v>
      </c>
      <c r="AT1633" s="4">
        <f>AS1633/(AM1633^2)*100</f>
        <v>0.37999356314783334</v>
      </c>
      <c r="AU1633" s="5">
        <v>0</v>
      </c>
      <c r="AV1633" s="4">
        <f>AT1633*(1-AL1633)/AL1633</f>
        <v>0.42850337971989721</v>
      </c>
      <c r="AW1633" s="1" t="s">
        <v>717</v>
      </c>
    </row>
  </sheetData>
  <phoneticPr fontId="21" type="noConversion"/>
  <conditionalFormatting sqref="AT210:AW224">
    <cfRule type="uniqueValues" dxfId="1" priority="2"/>
  </conditionalFormatting>
  <conditionalFormatting sqref="AT231:AW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Y475"/>
  <sheetViews>
    <sheetView topLeftCell="T1" zoomScale="80" zoomScaleNormal="80" workbookViewId="0">
      <pane ySplit="1" topLeftCell="A454" activePane="bottomLeft" state="frozen"/>
      <selection pane="bottomLeft" activeCell="W479" sqref="W479"/>
    </sheetView>
  </sheetViews>
  <sheetFormatPr defaultColWidth="10.90625" defaultRowHeight="14.4" customHeight="1"/>
  <cols>
    <col min="1" max="9" width="11.54296875" style="6"/>
    <col min="10" max="10" width="18.81640625" style="6" customWidth="1"/>
    <col min="11" max="11" width="17.08984375" style="6" customWidth="1"/>
    <col min="12" max="20" width="11.54296875" style="6"/>
    <col min="21" max="21" width="17.453125" style="6" customWidth="1"/>
    <col min="22" max="28" width="11.54296875" style="6"/>
    <col min="29" max="29" width="15.81640625" style="6" customWidth="1"/>
    <col min="30" max="30" width="24.453125" style="6" customWidth="1"/>
    <col min="31" max="31" width="23.54296875" style="6" customWidth="1"/>
    <col min="32" max="48" width="11.54296875" style="6"/>
  </cols>
  <sheetData>
    <row r="1" spans="1:48" s="13" customFormat="1" ht="14.4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9" t="s">
        <v>104</v>
      </c>
      <c r="U1" s="9" t="s">
        <v>105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0" t="s">
        <v>29</v>
      </c>
      <c r="AM1" s="9" t="s">
        <v>30</v>
      </c>
      <c r="AN1" s="9" t="s">
        <v>31</v>
      </c>
      <c r="AO1" s="9" t="s">
        <v>32</v>
      </c>
      <c r="AP1" s="9" t="s">
        <v>107</v>
      </c>
      <c r="AQ1" s="10" t="s">
        <v>106</v>
      </c>
      <c r="AR1" s="11" t="s">
        <v>33</v>
      </c>
      <c r="AS1" s="10" t="s">
        <v>34</v>
      </c>
      <c r="AT1" s="9" t="s">
        <v>35</v>
      </c>
      <c r="AU1" s="13" t="s">
        <v>36</v>
      </c>
      <c r="AV1" s="13" t="s">
        <v>37</v>
      </c>
    </row>
    <row r="2" spans="1:48" ht="14.4" customHeight="1">
      <c r="A2" s="6" t="s">
        <v>264</v>
      </c>
      <c r="B2" s="6" t="s">
        <v>38</v>
      </c>
      <c r="C2" s="6" t="s">
        <v>38</v>
      </c>
      <c r="D2" s="6" t="s">
        <v>265</v>
      </c>
      <c r="E2" s="6" t="s">
        <v>190</v>
      </c>
      <c r="F2" s="6">
        <v>2003</v>
      </c>
      <c r="G2" s="6" t="s">
        <v>266</v>
      </c>
      <c r="H2" s="6" t="s">
        <v>42</v>
      </c>
      <c r="I2" s="6" t="s">
        <v>267</v>
      </c>
      <c r="J2" s="6" t="str">
        <f>H2&amp;"_"&amp;I2</f>
        <v>Lobelia_cardinalis</v>
      </c>
      <c r="K2" s="6" t="s">
        <v>45</v>
      </c>
      <c r="L2" s="6" t="s">
        <v>46</v>
      </c>
      <c r="M2" s="6" t="s">
        <v>12</v>
      </c>
      <c r="N2" s="6" t="s">
        <v>76</v>
      </c>
      <c r="O2" s="6" t="s">
        <v>49</v>
      </c>
      <c r="P2" s="6" t="s">
        <v>49</v>
      </c>
      <c r="Q2" s="6" t="s">
        <v>49</v>
      </c>
      <c r="R2" s="6" t="s">
        <v>49</v>
      </c>
      <c r="S2" s="6" t="s">
        <v>268</v>
      </c>
      <c r="T2" s="6" t="s">
        <v>269</v>
      </c>
      <c r="U2" s="6" t="s">
        <v>251</v>
      </c>
      <c r="V2" s="6" t="s">
        <v>270</v>
      </c>
      <c r="W2" s="12">
        <v>41.746667000000002</v>
      </c>
      <c r="X2" s="12">
        <v>-93.388333000000003</v>
      </c>
      <c r="Y2" s="6" t="s">
        <v>141</v>
      </c>
      <c r="Z2" s="6" t="s">
        <v>271</v>
      </c>
      <c r="AA2" s="1" t="s">
        <v>50</v>
      </c>
      <c r="AB2" s="1" t="s">
        <v>66</v>
      </c>
      <c r="AC2" s="1" t="s">
        <v>67</v>
      </c>
      <c r="AD2" s="6" t="s">
        <v>68</v>
      </c>
      <c r="AE2" s="6" t="s">
        <v>68</v>
      </c>
      <c r="AF2" s="1" t="s">
        <v>60</v>
      </c>
      <c r="AG2" s="1" t="s">
        <v>61</v>
      </c>
      <c r="AH2" s="6" t="s">
        <v>49</v>
      </c>
      <c r="AI2" s="6" t="s">
        <v>272</v>
      </c>
      <c r="AJ2" s="6" t="s">
        <v>49</v>
      </c>
      <c r="AK2" s="6">
        <v>70</v>
      </c>
      <c r="AL2" s="6" t="s">
        <v>49</v>
      </c>
      <c r="AM2" s="6">
        <v>20.9621</v>
      </c>
      <c r="AN2" s="6">
        <v>3.1859999999999999</v>
      </c>
      <c r="AO2" s="6" t="s">
        <v>49</v>
      </c>
      <c r="AP2" s="6">
        <v>0</v>
      </c>
      <c r="AQ2" s="6" t="s">
        <v>49</v>
      </c>
      <c r="AR2" s="6">
        <v>3.1859999999999999</v>
      </c>
      <c r="AS2" s="6" t="s">
        <v>49</v>
      </c>
      <c r="AT2" s="6" t="s">
        <v>49</v>
      </c>
      <c r="AU2" s="6" t="s">
        <v>49</v>
      </c>
      <c r="AV2" s="6" t="s">
        <v>49</v>
      </c>
    </row>
    <row r="3" spans="1:48" ht="14.4" customHeight="1">
      <c r="A3" s="6" t="s">
        <v>264</v>
      </c>
      <c r="B3" s="6" t="s">
        <v>38</v>
      </c>
      <c r="C3" s="6" t="s">
        <v>38</v>
      </c>
      <c r="D3" s="6" t="s">
        <v>265</v>
      </c>
      <c r="E3" s="6" t="s">
        <v>190</v>
      </c>
      <c r="F3" s="6">
        <v>2003</v>
      </c>
      <c r="G3" s="6" t="s">
        <v>266</v>
      </c>
      <c r="H3" s="6" t="s">
        <v>42</v>
      </c>
      <c r="I3" s="6" t="s">
        <v>267</v>
      </c>
      <c r="J3" s="6" t="str">
        <f t="shared" ref="J3:J66" si="0">H3&amp;"_"&amp;I3</f>
        <v>Lobelia_cardinalis</v>
      </c>
      <c r="K3" s="6" t="s">
        <v>45</v>
      </c>
      <c r="L3" s="6" t="s">
        <v>46</v>
      </c>
      <c r="M3" s="6" t="s">
        <v>12</v>
      </c>
      <c r="N3" s="6" t="s">
        <v>76</v>
      </c>
      <c r="O3" s="6" t="s">
        <v>49</v>
      </c>
      <c r="P3" s="6" t="s">
        <v>49</v>
      </c>
      <c r="Q3" s="6" t="s">
        <v>49</v>
      </c>
      <c r="R3" s="6" t="s">
        <v>49</v>
      </c>
      <c r="S3" s="6" t="s">
        <v>268</v>
      </c>
      <c r="T3" s="6" t="s">
        <v>269</v>
      </c>
      <c r="U3" s="6" t="s">
        <v>251</v>
      </c>
      <c r="V3" s="6" t="s">
        <v>270</v>
      </c>
      <c r="W3" s="12">
        <v>41.746667000000002</v>
      </c>
      <c r="X3" s="12">
        <v>-93.388333000000003</v>
      </c>
      <c r="Y3" s="6" t="s">
        <v>141</v>
      </c>
      <c r="Z3" s="6" t="s">
        <v>271</v>
      </c>
      <c r="AA3" s="1" t="s">
        <v>50</v>
      </c>
      <c r="AB3" s="1" t="s">
        <v>66</v>
      </c>
      <c r="AC3" s="1" t="s">
        <v>67</v>
      </c>
      <c r="AD3" s="6" t="s">
        <v>69</v>
      </c>
      <c r="AE3" s="6" t="s">
        <v>69</v>
      </c>
      <c r="AF3" s="1" t="s">
        <v>60</v>
      </c>
      <c r="AG3" s="1" t="s">
        <v>61</v>
      </c>
      <c r="AH3" s="6" t="s">
        <v>49</v>
      </c>
      <c r="AI3" s="6" t="s">
        <v>272</v>
      </c>
      <c r="AJ3" s="6" t="s">
        <v>49</v>
      </c>
      <c r="AK3" s="6">
        <v>70</v>
      </c>
      <c r="AL3" s="6" t="s">
        <v>49</v>
      </c>
      <c r="AM3" s="6">
        <v>5.5579000000000001</v>
      </c>
      <c r="AN3" s="6">
        <v>0.502</v>
      </c>
      <c r="AO3" s="6" t="s">
        <v>49</v>
      </c>
      <c r="AP3" s="6">
        <v>0</v>
      </c>
      <c r="AQ3" s="6" t="s">
        <v>49</v>
      </c>
      <c r="AR3" s="6">
        <v>0.502</v>
      </c>
      <c r="AS3" s="6" t="s">
        <v>49</v>
      </c>
      <c r="AT3" s="6" t="s">
        <v>49</v>
      </c>
      <c r="AU3" s="6" t="s">
        <v>49</v>
      </c>
      <c r="AV3" s="6" t="s">
        <v>49</v>
      </c>
    </row>
    <row r="4" spans="1:48" ht="14.4" customHeight="1">
      <c r="A4" s="6" t="s">
        <v>264</v>
      </c>
      <c r="B4" s="6" t="s">
        <v>38</v>
      </c>
      <c r="C4" s="6" t="s">
        <v>38</v>
      </c>
      <c r="D4" s="6" t="s">
        <v>265</v>
      </c>
      <c r="E4" s="6" t="s">
        <v>190</v>
      </c>
      <c r="F4" s="6">
        <v>2003</v>
      </c>
      <c r="G4" s="6" t="s">
        <v>266</v>
      </c>
      <c r="H4" s="6" t="s">
        <v>42</v>
      </c>
      <c r="I4" s="6" t="s">
        <v>267</v>
      </c>
      <c r="J4" s="6" t="str">
        <f t="shared" si="0"/>
        <v>Lobelia_cardinalis</v>
      </c>
      <c r="K4" s="6" t="s">
        <v>45</v>
      </c>
      <c r="L4" s="6" t="s">
        <v>46</v>
      </c>
      <c r="M4" s="6" t="s">
        <v>12</v>
      </c>
      <c r="N4" s="6" t="s">
        <v>76</v>
      </c>
      <c r="O4" s="6" t="s">
        <v>49</v>
      </c>
      <c r="P4" s="6" t="s">
        <v>49</v>
      </c>
      <c r="Q4" s="6" t="s">
        <v>49</v>
      </c>
      <c r="R4" s="6" t="s">
        <v>49</v>
      </c>
      <c r="S4" s="6" t="s">
        <v>268</v>
      </c>
      <c r="T4" s="6" t="s">
        <v>269</v>
      </c>
      <c r="U4" s="6" t="s">
        <v>251</v>
      </c>
      <c r="V4" s="6" t="s">
        <v>270</v>
      </c>
      <c r="W4" s="12">
        <v>41.746667000000002</v>
      </c>
      <c r="X4" s="12">
        <v>-93.388333000000003</v>
      </c>
      <c r="Y4" s="6" t="s">
        <v>141</v>
      </c>
      <c r="Z4" s="6" t="s">
        <v>271</v>
      </c>
      <c r="AA4" s="1" t="s">
        <v>50</v>
      </c>
      <c r="AB4" s="1" t="s">
        <v>57</v>
      </c>
      <c r="AC4" s="1" t="s">
        <v>62</v>
      </c>
      <c r="AD4" s="6" t="s">
        <v>63</v>
      </c>
      <c r="AE4" s="6" t="s">
        <v>63</v>
      </c>
      <c r="AF4" s="1" t="s">
        <v>60</v>
      </c>
      <c r="AG4" s="1" t="s">
        <v>61</v>
      </c>
      <c r="AH4" s="6" t="s">
        <v>49</v>
      </c>
      <c r="AI4" s="6" t="s">
        <v>272</v>
      </c>
      <c r="AJ4" s="6" t="s">
        <v>49</v>
      </c>
      <c r="AK4" s="6">
        <v>70</v>
      </c>
      <c r="AL4" s="6" t="s">
        <v>49</v>
      </c>
      <c r="AM4" s="6">
        <v>20.813500000000001</v>
      </c>
      <c r="AN4" s="6">
        <v>1.371</v>
      </c>
      <c r="AO4" s="6" t="s">
        <v>49</v>
      </c>
      <c r="AP4" s="6">
        <v>0</v>
      </c>
      <c r="AQ4" s="6" t="s">
        <v>49</v>
      </c>
      <c r="AR4" s="6">
        <v>1.371</v>
      </c>
      <c r="AS4" s="6" t="s">
        <v>49</v>
      </c>
      <c r="AT4" s="6" t="s">
        <v>49</v>
      </c>
      <c r="AU4" s="6" t="s">
        <v>49</v>
      </c>
      <c r="AV4" s="6" t="s">
        <v>49</v>
      </c>
    </row>
    <row r="5" spans="1:48" ht="14.4" customHeight="1">
      <c r="A5" s="6" t="s">
        <v>264</v>
      </c>
      <c r="B5" s="6" t="s">
        <v>38</v>
      </c>
      <c r="C5" s="6" t="s">
        <v>38</v>
      </c>
      <c r="D5" s="6" t="s">
        <v>265</v>
      </c>
      <c r="E5" s="6" t="s">
        <v>190</v>
      </c>
      <c r="F5" s="6">
        <v>2003</v>
      </c>
      <c r="G5" s="6" t="s">
        <v>266</v>
      </c>
      <c r="H5" s="6" t="s">
        <v>42</v>
      </c>
      <c r="I5" s="6" t="s">
        <v>267</v>
      </c>
      <c r="J5" s="6" t="str">
        <f t="shared" si="0"/>
        <v>Lobelia_cardinalis</v>
      </c>
      <c r="K5" s="6" t="s">
        <v>45</v>
      </c>
      <c r="L5" s="6" t="s">
        <v>46</v>
      </c>
      <c r="M5" s="6" t="s">
        <v>12</v>
      </c>
      <c r="N5" s="6" t="s">
        <v>76</v>
      </c>
      <c r="O5" s="6" t="s">
        <v>49</v>
      </c>
      <c r="P5" s="6" t="s">
        <v>49</v>
      </c>
      <c r="Q5" s="6" t="s">
        <v>49</v>
      </c>
      <c r="R5" s="6" t="s">
        <v>49</v>
      </c>
      <c r="S5" s="6" t="s">
        <v>268</v>
      </c>
      <c r="T5" s="6" t="s">
        <v>269</v>
      </c>
      <c r="U5" s="6" t="s">
        <v>251</v>
      </c>
      <c r="V5" s="6" t="s">
        <v>270</v>
      </c>
      <c r="W5" s="12">
        <v>41.746667000000002</v>
      </c>
      <c r="X5" s="12">
        <v>-93.388333000000003</v>
      </c>
      <c r="Y5" s="6" t="s">
        <v>141</v>
      </c>
      <c r="Z5" s="6" t="s">
        <v>271</v>
      </c>
      <c r="AA5" s="1" t="s">
        <v>50</v>
      </c>
      <c r="AB5" s="1" t="s">
        <v>57</v>
      </c>
      <c r="AC5" s="1" t="s">
        <v>64</v>
      </c>
      <c r="AD5" s="6" t="s">
        <v>65</v>
      </c>
      <c r="AE5" s="6" t="s">
        <v>65</v>
      </c>
      <c r="AF5" s="1" t="s">
        <v>60</v>
      </c>
      <c r="AG5" s="1" t="s">
        <v>61</v>
      </c>
      <c r="AH5" s="6" t="s">
        <v>49</v>
      </c>
      <c r="AI5" s="6" t="s">
        <v>272</v>
      </c>
      <c r="AJ5" s="6" t="s">
        <v>49</v>
      </c>
      <c r="AK5" s="6">
        <v>70</v>
      </c>
      <c r="AL5" s="6" t="s">
        <v>49</v>
      </c>
      <c r="AM5" s="6">
        <v>2.5785999999999998</v>
      </c>
      <c r="AN5" s="6">
        <v>5.3999999999999999E-2</v>
      </c>
      <c r="AO5" s="6" t="s">
        <v>49</v>
      </c>
      <c r="AP5" s="6">
        <v>0</v>
      </c>
      <c r="AQ5" s="6" t="s">
        <v>49</v>
      </c>
      <c r="AR5" s="6">
        <v>5.3999999999999999E-2</v>
      </c>
      <c r="AS5" s="6" t="s">
        <v>49</v>
      </c>
      <c r="AT5" s="6" t="s">
        <v>49</v>
      </c>
      <c r="AU5" s="6" t="s">
        <v>49</v>
      </c>
      <c r="AV5" s="6" t="s">
        <v>49</v>
      </c>
    </row>
    <row r="6" spans="1:48" ht="14.4" customHeight="1">
      <c r="A6" s="6" t="s">
        <v>264</v>
      </c>
      <c r="B6" s="6" t="s">
        <v>38</v>
      </c>
      <c r="C6" s="6" t="s">
        <v>38</v>
      </c>
      <c r="D6" s="6" t="s">
        <v>265</v>
      </c>
      <c r="E6" s="6" t="s">
        <v>190</v>
      </c>
      <c r="F6" s="6">
        <v>2003</v>
      </c>
      <c r="G6" s="6" t="s">
        <v>266</v>
      </c>
      <c r="H6" s="6" t="s">
        <v>42</v>
      </c>
      <c r="I6" s="6" t="s">
        <v>267</v>
      </c>
      <c r="J6" s="6" t="str">
        <f t="shared" si="0"/>
        <v>Lobelia_cardinalis</v>
      </c>
      <c r="K6" s="6" t="s">
        <v>45</v>
      </c>
      <c r="L6" s="6" t="s">
        <v>46</v>
      </c>
      <c r="M6" s="6" t="s">
        <v>12</v>
      </c>
      <c r="N6" s="6" t="s">
        <v>76</v>
      </c>
      <c r="O6" s="6" t="s">
        <v>49</v>
      </c>
      <c r="P6" s="6" t="s">
        <v>49</v>
      </c>
      <c r="Q6" s="6" t="s">
        <v>49</v>
      </c>
      <c r="R6" s="6" t="s">
        <v>49</v>
      </c>
      <c r="S6" s="6" t="s">
        <v>268</v>
      </c>
      <c r="T6" s="6" t="s">
        <v>269</v>
      </c>
      <c r="U6" s="6" t="s">
        <v>251</v>
      </c>
      <c r="V6" s="6" t="s">
        <v>270</v>
      </c>
      <c r="W6" s="12">
        <v>41.746667000000002</v>
      </c>
      <c r="X6" s="12">
        <v>-93.388333000000003</v>
      </c>
      <c r="Y6" s="6" t="s">
        <v>141</v>
      </c>
      <c r="Z6" s="6" t="s">
        <v>271</v>
      </c>
      <c r="AA6" s="1" t="s">
        <v>50</v>
      </c>
      <c r="AB6" s="1" t="s">
        <v>57</v>
      </c>
      <c r="AC6" s="1" t="s">
        <v>58</v>
      </c>
      <c r="AD6" s="6" t="s">
        <v>59</v>
      </c>
      <c r="AE6" s="6" t="s">
        <v>59</v>
      </c>
      <c r="AF6" s="1" t="s">
        <v>60</v>
      </c>
      <c r="AG6" s="1" t="s">
        <v>61</v>
      </c>
      <c r="AH6" s="6" t="s">
        <v>49</v>
      </c>
      <c r="AI6" s="6" t="s">
        <v>272</v>
      </c>
      <c r="AJ6" s="6" t="s">
        <v>49</v>
      </c>
      <c r="AK6" s="6">
        <v>70</v>
      </c>
      <c r="AL6" s="6" t="s">
        <v>49</v>
      </c>
      <c r="AM6" s="6">
        <v>37.430999999999997</v>
      </c>
      <c r="AN6" s="6">
        <v>3.778</v>
      </c>
      <c r="AO6" s="6" t="s">
        <v>49</v>
      </c>
      <c r="AP6" s="6">
        <v>0</v>
      </c>
      <c r="AQ6" s="6" t="s">
        <v>49</v>
      </c>
      <c r="AR6" s="6">
        <v>3.778</v>
      </c>
      <c r="AS6" s="6" t="s">
        <v>49</v>
      </c>
      <c r="AT6" s="6" t="s">
        <v>49</v>
      </c>
      <c r="AU6" s="6" t="s">
        <v>49</v>
      </c>
      <c r="AV6" s="6" t="s">
        <v>49</v>
      </c>
    </row>
    <row r="7" spans="1:48" ht="14.4" customHeight="1">
      <c r="A7" s="6" t="s">
        <v>264</v>
      </c>
      <c r="B7" s="6" t="s">
        <v>38</v>
      </c>
      <c r="C7" s="6" t="s">
        <v>38</v>
      </c>
      <c r="D7" s="6" t="s">
        <v>265</v>
      </c>
      <c r="E7" s="6" t="s">
        <v>190</v>
      </c>
      <c r="F7" s="6">
        <v>2003</v>
      </c>
      <c r="G7" s="6" t="s">
        <v>266</v>
      </c>
      <c r="H7" s="6" t="s">
        <v>42</v>
      </c>
      <c r="I7" s="6" t="s">
        <v>267</v>
      </c>
      <c r="J7" s="6" t="str">
        <f t="shared" si="0"/>
        <v>Lobelia_cardinalis</v>
      </c>
      <c r="K7" s="6" t="s">
        <v>45</v>
      </c>
      <c r="L7" s="6" t="s">
        <v>46</v>
      </c>
      <c r="M7" s="6" t="s">
        <v>12</v>
      </c>
      <c r="N7" s="6" t="s">
        <v>76</v>
      </c>
      <c r="O7" s="6" t="s">
        <v>49</v>
      </c>
      <c r="P7" s="6" t="s">
        <v>49</v>
      </c>
      <c r="Q7" s="6" t="s">
        <v>49</v>
      </c>
      <c r="R7" s="6" t="s">
        <v>49</v>
      </c>
      <c r="S7" s="6" t="s">
        <v>268</v>
      </c>
      <c r="T7" s="6" t="s">
        <v>269</v>
      </c>
      <c r="U7" s="6" t="s">
        <v>251</v>
      </c>
      <c r="V7" s="6" t="s">
        <v>270</v>
      </c>
      <c r="W7" s="12">
        <v>41.746667000000002</v>
      </c>
      <c r="X7" s="12">
        <v>-93.388333000000003</v>
      </c>
      <c r="Y7" s="6" t="s">
        <v>141</v>
      </c>
      <c r="Z7" s="6" t="s">
        <v>271</v>
      </c>
      <c r="AA7" s="1" t="s">
        <v>50</v>
      </c>
      <c r="AB7" s="1" t="s">
        <v>57</v>
      </c>
      <c r="AC7" s="1" t="s">
        <v>58</v>
      </c>
      <c r="AD7" s="6" t="s">
        <v>273</v>
      </c>
      <c r="AE7" s="6" t="s">
        <v>273</v>
      </c>
      <c r="AF7" s="1" t="s">
        <v>60</v>
      </c>
      <c r="AG7" s="1" t="s">
        <v>61</v>
      </c>
      <c r="AH7" s="6" t="s">
        <v>49</v>
      </c>
      <c r="AI7" s="6" t="s">
        <v>272</v>
      </c>
      <c r="AJ7" s="6" t="s">
        <v>49</v>
      </c>
      <c r="AK7" s="6">
        <v>70</v>
      </c>
      <c r="AL7" s="6" t="s">
        <v>49</v>
      </c>
      <c r="AM7" s="6">
        <v>16.628900000000002</v>
      </c>
      <c r="AN7" s="6">
        <v>1.907</v>
      </c>
      <c r="AO7" s="6" t="s">
        <v>49</v>
      </c>
      <c r="AP7" s="6">
        <v>0</v>
      </c>
      <c r="AQ7" s="6" t="s">
        <v>49</v>
      </c>
      <c r="AR7" s="6">
        <v>1.907</v>
      </c>
      <c r="AS7" s="6" t="s">
        <v>49</v>
      </c>
      <c r="AT7" s="6" t="s">
        <v>49</v>
      </c>
      <c r="AU7" s="6" t="s">
        <v>49</v>
      </c>
      <c r="AV7" s="6" t="s">
        <v>49</v>
      </c>
    </row>
    <row r="8" spans="1:48" ht="14.4" customHeight="1">
      <c r="A8" s="6" t="s">
        <v>264</v>
      </c>
      <c r="B8" s="6" t="s">
        <v>38</v>
      </c>
      <c r="C8" s="6" t="s">
        <v>38</v>
      </c>
      <c r="D8" s="6" t="s">
        <v>265</v>
      </c>
      <c r="E8" s="6" t="s">
        <v>190</v>
      </c>
      <c r="F8" s="6">
        <v>2003</v>
      </c>
      <c r="G8" s="6" t="s">
        <v>266</v>
      </c>
      <c r="H8" s="6" t="s">
        <v>42</v>
      </c>
      <c r="I8" s="6" t="s">
        <v>267</v>
      </c>
      <c r="J8" s="6" t="str">
        <f t="shared" si="0"/>
        <v>Lobelia_cardinalis</v>
      </c>
      <c r="K8" s="6" t="s">
        <v>45</v>
      </c>
      <c r="L8" s="6" t="s">
        <v>46</v>
      </c>
      <c r="M8" s="6" t="s">
        <v>12</v>
      </c>
      <c r="N8" s="6" t="s">
        <v>76</v>
      </c>
      <c r="O8" s="6" t="s">
        <v>49</v>
      </c>
      <c r="P8" s="6" t="s">
        <v>49</v>
      </c>
      <c r="Q8" s="6" t="s">
        <v>49</v>
      </c>
      <c r="R8" s="6" t="s">
        <v>49</v>
      </c>
      <c r="S8" s="6" t="s">
        <v>268</v>
      </c>
      <c r="T8" s="6" t="s">
        <v>269</v>
      </c>
      <c r="U8" s="6" t="s">
        <v>251</v>
      </c>
      <c r="V8" s="6" t="s">
        <v>270</v>
      </c>
      <c r="W8" s="12">
        <v>41.746667000000002</v>
      </c>
      <c r="X8" s="12">
        <v>-93.388333000000003</v>
      </c>
      <c r="Y8" s="6" t="s">
        <v>141</v>
      </c>
      <c r="Z8" s="6" t="s">
        <v>271</v>
      </c>
      <c r="AA8" s="1" t="s">
        <v>50</v>
      </c>
      <c r="AB8" s="1" t="s">
        <v>51</v>
      </c>
      <c r="AC8" s="1" t="s">
        <v>52</v>
      </c>
      <c r="AD8" s="6" t="s">
        <v>52</v>
      </c>
      <c r="AE8" s="6" t="s">
        <v>52</v>
      </c>
      <c r="AF8" s="1" t="s">
        <v>60</v>
      </c>
      <c r="AG8" s="1" t="s">
        <v>53</v>
      </c>
      <c r="AH8" s="6" t="s">
        <v>49</v>
      </c>
      <c r="AI8" s="6" t="s">
        <v>272</v>
      </c>
      <c r="AJ8" s="6" t="s">
        <v>49</v>
      </c>
      <c r="AK8" s="6">
        <v>70</v>
      </c>
      <c r="AL8" s="6" t="s">
        <v>49</v>
      </c>
      <c r="AM8" s="6">
        <v>21.757100000000001</v>
      </c>
      <c r="AN8" s="6">
        <v>145.08500000000001</v>
      </c>
      <c r="AO8" s="6" t="s">
        <v>49</v>
      </c>
      <c r="AP8" s="6">
        <v>0</v>
      </c>
      <c r="AQ8" s="6" t="s">
        <v>49</v>
      </c>
      <c r="AR8" s="6">
        <v>145.08500000000001</v>
      </c>
      <c r="AS8" s="6" t="s">
        <v>49</v>
      </c>
      <c r="AT8" s="6" t="s">
        <v>49</v>
      </c>
      <c r="AU8" s="6" t="s">
        <v>49</v>
      </c>
      <c r="AV8" s="6" t="s">
        <v>49</v>
      </c>
    </row>
    <row r="9" spans="1:48" ht="14.4" customHeight="1">
      <c r="A9" s="6" t="s">
        <v>264</v>
      </c>
      <c r="B9" s="6" t="s">
        <v>38</v>
      </c>
      <c r="C9" s="6" t="s">
        <v>38</v>
      </c>
      <c r="D9" s="6" t="s">
        <v>265</v>
      </c>
      <c r="E9" s="6" t="s">
        <v>190</v>
      </c>
      <c r="F9" s="6">
        <v>2003</v>
      </c>
      <c r="G9" s="6" t="s">
        <v>266</v>
      </c>
      <c r="H9" s="6" t="s">
        <v>42</v>
      </c>
      <c r="I9" s="6" t="s">
        <v>267</v>
      </c>
      <c r="J9" s="6" t="str">
        <f t="shared" si="0"/>
        <v>Lobelia_cardinalis</v>
      </c>
      <c r="K9" s="6" t="s">
        <v>45</v>
      </c>
      <c r="L9" s="6" t="s">
        <v>46</v>
      </c>
      <c r="M9" s="6" t="s">
        <v>12</v>
      </c>
      <c r="N9" s="6" t="s">
        <v>76</v>
      </c>
      <c r="O9" s="6" t="s">
        <v>49</v>
      </c>
      <c r="P9" s="6" t="s">
        <v>49</v>
      </c>
      <c r="Q9" s="6" t="s">
        <v>49</v>
      </c>
      <c r="R9" s="6" t="s">
        <v>49</v>
      </c>
      <c r="S9" s="6" t="s">
        <v>268</v>
      </c>
      <c r="T9" s="6" t="s">
        <v>269</v>
      </c>
      <c r="U9" s="6" t="s">
        <v>251</v>
      </c>
      <c r="V9" s="6" t="s">
        <v>270</v>
      </c>
      <c r="W9" s="12">
        <v>41.746667000000002</v>
      </c>
      <c r="X9" s="12">
        <v>-93.388333000000003</v>
      </c>
      <c r="Y9" s="6" t="s">
        <v>141</v>
      </c>
      <c r="Z9" s="6" t="s">
        <v>271</v>
      </c>
      <c r="AA9" s="1" t="s">
        <v>49</v>
      </c>
      <c r="AB9" s="1" t="s">
        <v>49</v>
      </c>
      <c r="AC9" s="1" t="s">
        <v>49</v>
      </c>
      <c r="AD9" s="6" t="s">
        <v>68</v>
      </c>
      <c r="AE9" s="6" t="s">
        <v>69</v>
      </c>
      <c r="AF9" s="1" t="s">
        <v>49</v>
      </c>
      <c r="AG9" s="1" t="s">
        <v>49</v>
      </c>
      <c r="AH9" s="6" t="s">
        <v>49</v>
      </c>
      <c r="AI9" s="6" t="s">
        <v>272</v>
      </c>
      <c r="AJ9" s="6" t="s">
        <v>49</v>
      </c>
      <c r="AK9" s="6">
        <v>70</v>
      </c>
      <c r="AL9" s="6" t="s">
        <v>49</v>
      </c>
      <c r="AM9" s="6" t="s">
        <v>49</v>
      </c>
      <c r="AN9" s="6">
        <v>0.91</v>
      </c>
      <c r="AO9" s="6" t="s">
        <v>49</v>
      </c>
      <c r="AP9" s="6">
        <v>0</v>
      </c>
      <c r="AQ9" s="6" t="s">
        <v>49</v>
      </c>
      <c r="AR9" s="6">
        <v>0.91</v>
      </c>
      <c r="AS9" s="6" t="s">
        <v>49</v>
      </c>
      <c r="AT9" s="6" t="s">
        <v>49</v>
      </c>
      <c r="AU9" s="6" t="s">
        <v>49</v>
      </c>
      <c r="AV9" s="6" t="s">
        <v>49</v>
      </c>
    </row>
    <row r="10" spans="1:48" ht="14.4" customHeight="1">
      <c r="A10" s="6" t="s">
        <v>264</v>
      </c>
      <c r="B10" s="6" t="s">
        <v>38</v>
      </c>
      <c r="C10" s="6" t="s">
        <v>38</v>
      </c>
      <c r="D10" s="6" t="s">
        <v>265</v>
      </c>
      <c r="E10" s="6" t="s">
        <v>190</v>
      </c>
      <c r="F10" s="6">
        <v>2003</v>
      </c>
      <c r="G10" s="6" t="s">
        <v>266</v>
      </c>
      <c r="H10" s="6" t="s">
        <v>42</v>
      </c>
      <c r="I10" s="6" t="s">
        <v>267</v>
      </c>
      <c r="J10" s="6" t="str">
        <f t="shared" si="0"/>
        <v>Lobelia_cardinalis</v>
      </c>
      <c r="K10" s="6" t="s">
        <v>45</v>
      </c>
      <c r="L10" s="6" t="s">
        <v>46</v>
      </c>
      <c r="M10" s="6" t="s">
        <v>12</v>
      </c>
      <c r="N10" s="6" t="s">
        <v>76</v>
      </c>
      <c r="O10" s="6" t="s">
        <v>49</v>
      </c>
      <c r="P10" s="6" t="s">
        <v>49</v>
      </c>
      <c r="Q10" s="6" t="s">
        <v>49</v>
      </c>
      <c r="R10" s="6" t="s">
        <v>49</v>
      </c>
      <c r="S10" s="6" t="s">
        <v>268</v>
      </c>
      <c r="T10" s="6" t="s">
        <v>269</v>
      </c>
      <c r="U10" s="6" t="s">
        <v>251</v>
      </c>
      <c r="V10" s="6" t="s">
        <v>270</v>
      </c>
      <c r="W10" s="12">
        <v>41.746667000000002</v>
      </c>
      <c r="X10" s="12">
        <v>-93.388333000000003</v>
      </c>
      <c r="Y10" s="6" t="s">
        <v>141</v>
      </c>
      <c r="Z10" s="6" t="s">
        <v>271</v>
      </c>
      <c r="AA10" s="1" t="s">
        <v>49</v>
      </c>
      <c r="AB10" s="1" t="s">
        <v>49</v>
      </c>
      <c r="AC10" s="1" t="s">
        <v>49</v>
      </c>
      <c r="AD10" s="6" t="s">
        <v>68</v>
      </c>
      <c r="AE10" s="6" t="s">
        <v>63</v>
      </c>
      <c r="AF10" s="1" t="s">
        <v>49</v>
      </c>
      <c r="AG10" s="1" t="s">
        <v>49</v>
      </c>
      <c r="AH10" s="6" t="s">
        <v>49</v>
      </c>
      <c r="AI10" s="6" t="s">
        <v>272</v>
      </c>
      <c r="AJ10" s="6" t="s">
        <v>49</v>
      </c>
      <c r="AK10" s="6">
        <v>70</v>
      </c>
      <c r="AL10" s="6" t="s">
        <v>49</v>
      </c>
      <c r="AM10" s="6" t="s">
        <v>49</v>
      </c>
      <c r="AN10" s="6">
        <v>0.93100000000000005</v>
      </c>
      <c r="AO10" s="6" t="s">
        <v>49</v>
      </c>
      <c r="AP10" s="6">
        <v>0</v>
      </c>
      <c r="AQ10" s="6" t="s">
        <v>49</v>
      </c>
      <c r="AR10" s="6">
        <v>0.93100000000000005</v>
      </c>
      <c r="AS10" s="6" t="s">
        <v>49</v>
      </c>
      <c r="AT10" s="6" t="s">
        <v>49</v>
      </c>
      <c r="AU10" s="6" t="s">
        <v>49</v>
      </c>
      <c r="AV10" s="6" t="s">
        <v>49</v>
      </c>
    </row>
    <row r="11" spans="1:48" ht="14.4" customHeight="1">
      <c r="A11" s="6" t="s">
        <v>264</v>
      </c>
      <c r="B11" s="6" t="s">
        <v>38</v>
      </c>
      <c r="C11" s="6" t="s">
        <v>38</v>
      </c>
      <c r="D11" s="6" t="s">
        <v>265</v>
      </c>
      <c r="E11" s="6" t="s">
        <v>190</v>
      </c>
      <c r="F11" s="6">
        <v>2003</v>
      </c>
      <c r="G11" s="6" t="s">
        <v>266</v>
      </c>
      <c r="H11" s="6" t="s">
        <v>42</v>
      </c>
      <c r="I11" s="6" t="s">
        <v>267</v>
      </c>
      <c r="J11" s="6" t="str">
        <f t="shared" si="0"/>
        <v>Lobelia_cardinalis</v>
      </c>
      <c r="K11" s="6" t="s">
        <v>45</v>
      </c>
      <c r="L11" s="6" t="s">
        <v>46</v>
      </c>
      <c r="M11" s="6" t="s">
        <v>12</v>
      </c>
      <c r="N11" s="6" t="s">
        <v>76</v>
      </c>
      <c r="O11" s="6" t="s">
        <v>49</v>
      </c>
      <c r="P11" s="6" t="s">
        <v>49</v>
      </c>
      <c r="Q11" s="6" t="s">
        <v>49</v>
      </c>
      <c r="R11" s="6" t="s">
        <v>49</v>
      </c>
      <c r="S11" s="6" t="s">
        <v>268</v>
      </c>
      <c r="T11" s="6" t="s">
        <v>269</v>
      </c>
      <c r="U11" s="6" t="s">
        <v>251</v>
      </c>
      <c r="V11" s="6" t="s">
        <v>270</v>
      </c>
      <c r="W11" s="12">
        <v>41.746667000000002</v>
      </c>
      <c r="X11" s="12">
        <v>-93.388333000000003</v>
      </c>
      <c r="Y11" s="6" t="s">
        <v>141</v>
      </c>
      <c r="Z11" s="6" t="s">
        <v>271</v>
      </c>
      <c r="AA11" s="1" t="s">
        <v>49</v>
      </c>
      <c r="AB11" s="1" t="s">
        <v>49</v>
      </c>
      <c r="AC11" s="1" t="s">
        <v>49</v>
      </c>
      <c r="AD11" s="6" t="s">
        <v>68</v>
      </c>
      <c r="AE11" s="6" t="s">
        <v>65</v>
      </c>
      <c r="AF11" s="1" t="s">
        <v>49</v>
      </c>
      <c r="AG11" s="1" t="s">
        <v>49</v>
      </c>
      <c r="AH11" s="6" t="s">
        <v>49</v>
      </c>
      <c r="AI11" s="6" t="s">
        <v>272</v>
      </c>
      <c r="AJ11" s="6" t="s">
        <v>49</v>
      </c>
      <c r="AK11" s="6">
        <v>70</v>
      </c>
      <c r="AL11" s="6" t="s">
        <v>49</v>
      </c>
      <c r="AM11" s="6" t="s">
        <v>49</v>
      </c>
      <c r="AN11" s="6">
        <v>0.13300000000000001</v>
      </c>
      <c r="AO11" s="6" t="s">
        <v>49</v>
      </c>
      <c r="AP11" s="6">
        <v>0</v>
      </c>
      <c r="AQ11" s="6" t="s">
        <v>49</v>
      </c>
      <c r="AR11" s="6">
        <v>0.13300000000000001</v>
      </c>
      <c r="AS11" s="6" t="s">
        <v>49</v>
      </c>
      <c r="AT11" s="6" t="s">
        <v>49</v>
      </c>
      <c r="AU11" s="6" t="s">
        <v>49</v>
      </c>
      <c r="AV11" s="6" t="s">
        <v>49</v>
      </c>
    </row>
    <row r="12" spans="1:48" ht="14.4" customHeight="1">
      <c r="A12" s="6" t="s">
        <v>264</v>
      </c>
      <c r="B12" s="6" t="s">
        <v>38</v>
      </c>
      <c r="C12" s="6" t="s">
        <v>38</v>
      </c>
      <c r="D12" s="6" t="s">
        <v>265</v>
      </c>
      <c r="E12" s="6" t="s">
        <v>190</v>
      </c>
      <c r="F12" s="6">
        <v>2003</v>
      </c>
      <c r="G12" s="6" t="s">
        <v>266</v>
      </c>
      <c r="H12" s="6" t="s">
        <v>42</v>
      </c>
      <c r="I12" s="6" t="s">
        <v>267</v>
      </c>
      <c r="J12" s="6" t="str">
        <f t="shared" si="0"/>
        <v>Lobelia_cardinalis</v>
      </c>
      <c r="K12" s="6" t="s">
        <v>45</v>
      </c>
      <c r="L12" s="6" t="s">
        <v>46</v>
      </c>
      <c r="M12" s="6" t="s">
        <v>12</v>
      </c>
      <c r="N12" s="6" t="s">
        <v>76</v>
      </c>
      <c r="O12" s="6" t="s">
        <v>49</v>
      </c>
      <c r="P12" s="6" t="s">
        <v>49</v>
      </c>
      <c r="Q12" s="6" t="s">
        <v>49</v>
      </c>
      <c r="R12" s="6" t="s">
        <v>49</v>
      </c>
      <c r="S12" s="6" t="s">
        <v>268</v>
      </c>
      <c r="T12" s="6" t="s">
        <v>269</v>
      </c>
      <c r="U12" s="6" t="s">
        <v>251</v>
      </c>
      <c r="V12" s="6" t="s">
        <v>270</v>
      </c>
      <c r="W12" s="12">
        <v>41.746667000000002</v>
      </c>
      <c r="X12" s="12">
        <v>-93.388333000000003</v>
      </c>
      <c r="Y12" s="6" t="s">
        <v>141</v>
      </c>
      <c r="Z12" s="6" t="s">
        <v>271</v>
      </c>
      <c r="AA12" s="1" t="s">
        <v>49</v>
      </c>
      <c r="AB12" s="1" t="s">
        <v>49</v>
      </c>
      <c r="AC12" s="1" t="s">
        <v>49</v>
      </c>
      <c r="AD12" s="6" t="s">
        <v>68</v>
      </c>
      <c r="AE12" s="6" t="s">
        <v>59</v>
      </c>
      <c r="AF12" s="1" t="s">
        <v>49</v>
      </c>
      <c r="AG12" s="1" t="s">
        <v>49</v>
      </c>
      <c r="AH12" s="6" t="s">
        <v>49</v>
      </c>
      <c r="AI12" s="6" t="s">
        <v>272</v>
      </c>
      <c r="AJ12" s="6" t="s">
        <v>49</v>
      </c>
      <c r="AK12" s="6">
        <v>70</v>
      </c>
      <c r="AL12" s="6" t="s">
        <v>49</v>
      </c>
      <c r="AM12" s="6" t="s">
        <v>49</v>
      </c>
      <c r="AN12" s="6">
        <v>1.4179999999999999</v>
      </c>
      <c r="AO12" s="6" t="s">
        <v>49</v>
      </c>
      <c r="AP12" s="6">
        <v>0</v>
      </c>
      <c r="AQ12" s="6" t="s">
        <v>49</v>
      </c>
      <c r="AR12" s="6">
        <v>1.4179999999999999</v>
      </c>
      <c r="AS12" s="6" t="s">
        <v>49</v>
      </c>
      <c r="AT12" s="6" t="s">
        <v>49</v>
      </c>
      <c r="AU12" s="6" t="s">
        <v>49</v>
      </c>
      <c r="AV12" s="6" t="s">
        <v>49</v>
      </c>
    </row>
    <row r="13" spans="1:48" ht="14.4" customHeight="1">
      <c r="A13" s="6" t="s">
        <v>264</v>
      </c>
      <c r="B13" s="6" t="s">
        <v>38</v>
      </c>
      <c r="C13" s="6" t="s">
        <v>38</v>
      </c>
      <c r="D13" s="6" t="s">
        <v>265</v>
      </c>
      <c r="E13" s="6" t="s">
        <v>190</v>
      </c>
      <c r="F13" s="6">
        <v>2003</v>
      </c>
      <c r="G13" s="6" t="s">
        <v>266</v>
      </c>
      <c r="H13" s="6" t="s">
        <v>42</v>
      </c>
      <c r="I13" s="6" t="s">
        <v>267</v>
      </c>
      <c r="J13" s="6" t="str">
        <f t="shared" si="0"/>
        <v>Lobelia_cardinalis</v>
      </c>
      <c r="K13" s="6" t="s">
        <v>45</v>
      </c>
      <c r="L13" s="6" t="s">
        <v>46</v>
      </c>
      <c r="M13" s="6" t="s">
        <v>12</v>
      </c>
      <c r="N13" s="6" t="s">
        <v>76</v>
      </c>
      <c r="O13" s="6" t="s">
        <v>49</v>
      </c>
      <c r="P13" s="6" t="s">
        <v>49</v>
      </c>
      <c r="Q13" s="6" t="s">
        <v>49</v>
      </c>
      <c r="R13" s="6" t="s">
        <v>49</v>
      </c>
      <c r="S13" s="6" t="s">
        <v>268</v>
      </c>
      <c r="T13" s="6" t="s">
        <v>269</v>
      </c>
      <c r="U13" s="6" t="s">
        <v>251</v>
      </c>
      <c r="V13" s="6" t="s">
        <v>270</v>
      </c>
      <c r="W13" s="12">
        <v>41.746667000000002</v>
      </c>
      <c r="X13" s="12">
        <v>-93.388333000000003</v>
      </c>
      <c r="Y13" s="6" t="s">
        <v>141</v>
      </c>
      <c r="Z13" s="6" t="s">
        <v>271</v>
      </c>
      <c r="AA13" s="1" t="s">
        <v>49</v>
      </c>
      <c r="AB13" s="1" t="s">
        <v>49</v>
      </c>
      <c r="AC13" s="1" t="s">
        <v>49</v>
      </c>
      <c r="AD13" s="6" t="s">
        <v>68</v>
      </c>
      <c r="AE13" s="6" t="s">
        <v>273</v>
      </c>
      <c r="AF13" s="1" t="s">
        <v>49</v>
      </c>
      <c r="AG13" s="1" t="s">
        <v>49</v>
      </c>
      <c r="AH13" s="6" t="s">
        <v>49</v>
      </c>
      <c r="AI13" s="6" t="s">
        <v>272</v>
      </c>
      <c r="AJ13" s="6" t="s">
        <v>49</v>
      </c>
      <c r="AK13" s="6">
        <v>70</v>
      </c>
      <c r="AL13" s="6" t="s">
        <v>49</v>
      </c>
      <c r="AM13" s="6" t="s">
        <v>49</v>
      </c>
      <c r="AN13" s="6">
        <v>0.54500000000000004</v>
      </c>
      <c r="AO13" s="6" t="s">
        <v>49</v>
      </c>
      <c r="AP13" s="6">
        <v>0</v>
      </c>
      <c r="AQ13" s="6" t="s">
        <v>49</v>
      </c>
      <c r="AR13" s="6">
        <v>0.54500000000000004</v>
      </c>
      <c r="AS13" s="6" t="s">
        <v>49</v>
      </c>
      <c r="AT13" s="6" t="s">
        <v>49</v>
      </c>
      <c r="AU13" s="6" t="s">
        <v>49</v>
      </c>
      <c r="AV13" s="6" t="s">
        <v>49</v>
      </c>
    </row>
    <row r="14" spans="1:48" ht="14.4" customHeight="1">
      <c r="A14" s="6" t="s">
        <v>264</v>
      </c>
      <c r="B14" s="6" t="s">
        <v>38</v>
      </c>
      <c r="C14" s="6" t="s">
        <v>38</v>
      </c>
      <c r="D14" s="6" t="s">
        <v>265</v>
      </c>
      <c r="E14" s="6" t="s">
        <v>190</v>
      </c>
      <c r="F14" s="6">
        <v>2003</v>
      </c>
      <c r="G14" s="6" t="s">
        <v>266</v>
      </c>
      <c r="H14" s="6" t="s">
        <v>42</v>
      </c>
      <c r="I14" s="6" t="s">
        <v>267</v>
      </c>
      <c r="J14" s="6" t="str">
        <f t="shared" si="0"/>
        <v>Lobelia_cardinalis</v>
      </c>
      <c r="K14" s="6" t="s">
        <v>45</v>
      </c>
      <c r="L14" s="6" t="s">
        <v>46</v>
      </c>
      <c r="M14" s="6" t="s">
        <v>12</v>
      </c>
      <c r="N14" s="6" t="s">
        <v>76</v>
      </c>
      <c r="O14" s="6" t="s">
        <v>49</v>
      </c>
      <c r="P14" s="6" t="s">
        <v>49</v>
      </c>
      <c r="Q14" s="6" t="s">
        <v>49</v>
      </c>
      <c r="R14" s="6" t="s">
        <v>49</v>
      </c>
      <c r="S14" s="6" t="s">
        <v>268</v>
      </c>
      <c r="T14" s="6" t="s">
        <v>269</v>
      </c>
      <c r="U14" s="6" t="s">
        <v>251</v>
      </c>
      <c r="V14" s="6" t="s">
        <v>270</v>
      </c>
      <c r="W14" s="12">
        <v>41.746667000000002</v>
      </c>
      <c r="X14" s="12">
        <v>-93.388333000000003</v>
      </c>
      <c r="Y14" s="6" t="s">
        <v>141</v>
      </c>
      <c r="Z14" s="6" t="s">
        <v>271</v>
      </c>
      <c r="AA14" s="1" t="s">
        <v>49</v>
      </c>
      <c r="AB14" s="1" t="s">
        <v>49</v>
      </c>
      <c r="AC14" s="1" t="s">
        <v>49</v>
      </c>
      <c r="AD14" s="6" t="s">
        <v>68</v>
      </c>
      <c r="AE14" s="6" t="s">
        <v>52</v>
      </c>
      <c r="AF14" s="1" t="s">
        <v>49</v>
      </c>
      <c r="AG14" s="1" t="s">
        <v>49</v>
      </c>
      <c r="AH14" s="6" t="s">
        <v>49</v>
      </c>
      <c r="AI14" s="6" t="s">
        <v>272</v>
      </c>
      <c r="AJ14" s="6" t="s">
        <v>49</v>
      </c>
      <c r="AK14" s="6">
        <v>70</v>
      </c>
      <c r="AL14" s="6" t="s">
        <v>49</v>
      </c>
      <c r="AM14" s="6" t="s">
        <v>49</v>
      </c>
      <c r="AN14" s="6">
        <v>0.61799999999999999</v>
      </c>
      <c r="AO14" s="6" t="s">
        <v>49</v>
      </c>
      <c r="AP14" s="6">
        <v>0</v>
      </c>
      <c r="AQ14" s="6" t="s">
        <v>49</v>
      </c>
      <c r="AR14" s="6">
        <v>0.61799999999999999</v>
      </c>
      <c r="AS14" s="6" t="s">
        <v>49</v>
      </c>
      <c r="AT14" s="6" t="s">
        <v>49</v>
      </c>
      <c r="AU14" s="6" t="s">
        <v>49</v>
      </c>
      <c r="AV14" s="6" t="s">
        <v>49</v>
      </c>
    </row>
    <row r="15" spans="1:48" ht="14.4" customHeight="1">
      <c r="A15" s="6" t="s">
        <v>264</v>
      </c>
      <c r="B15" s="6" t="s">
        <v>38</v>
      </c>
      <c r="C15" s="6" t="s">
        <v>38</v>
      </c>
      <c r="D15" s="6" t="s">
        <v>265</v>
      </c>
      <c r="E15" s="6" t="s">
        <v>190</v>
      </c>
      <c r="F15" s="6">
        <v>2003</v>
      </c>
      <c r="G15" s="6" t="s">
        <v>266</v>
      </c>
      <c r="H15" s="6" t="s">
        <v>42</v>
      </c>
      <c r="I15" s="6" t="s">
        <v>267</v>
      </c>
      <c r="J15" s="6" t="str">
        <f t="shared" si="0"/>
        <v>Lobelia_cardinalis</v>
      </c>
      <c r="K15" s="6" t="s">
        <v>45</v>
      </c>
      <c r="L15" s="6" t="s">
        <v>46</v>
      </c>
      <c r="M15" s="6" t="s">
        <v>12</v>
      </c>
      <c r="N15" s="6" t="s">
        <v>76</v>
      </c>
      <c r="O15" s="6" t="s">
        <v>49</v>
      </c>
      <c r="P15" s="6" t="s">
        <v>49</v>
      </c>
      <c r="Q15" s="6" t="s">
        <v>49</v>
      </c>
      <c r="R15" s="6" t="s">
        <v>49</v>
      </c>
      <c r="S15" s="6" t="s">
        <v>268</v>
      </c>
      <c r="T15" s="6" t="s">
        <v>269</v>
      </c>
      <c r="U15" s="6" t="s">
        <v>251</v>
      </c>
      <c r="V15" s="6" t="s">
        <v>270</v>
      </c>
      <c r="W15" s="12">
        <v>41.746667000000002</v>
      </c>
      <c r="X15" s="12">
        <v>-93.388333000000003</v>
      </c>
      <c r="Y15" s="6" t="s">
        <v>141</v>
      </c>
      <c r="Z15" s="6" t="s">
        <v>271</v>
      </c>
      <c r="AA15" s="1" t="s">
        <v>49</v>
      </c>
      <c r="AB15" s="1" t="s">
        <v>49</v>
      </c>
      <c r="AC15" s="1" t="s">
        <v>49</v>
      </c>
      <c r="AD15" s="6" t="s">
        <v>69</v>
      </c>
      <c r="AE15" s="6" t="s">
        <v>63</v>
      </c>
      <c r="AF15" s="1" t="s">
        <v>49</v>
      </c>
      <c r="AG15" s="1" t="s">
        <v>49</v>
      </c>
      <c r="AH15" s="6" t="s">
        <v>49</v>
      </c>
      <c r="AI15" s="6" t="s">
        <v>272</v>
      </c>
      <c r="AJ15" s="6" t="s">
        <v>49</v>
      </c>
      <c r="AK15" s="6">
        <v>70</v>
      </c>
      <c r="AL15" s="6" t="s">
        <v>49</v>
      </c>
      <c r="AM15" s="6" t="s">
        <v>49</v>
      </c>
      <c r="AN15" s="6">
        <v>0.27400000000000002</v>
      </c>
      <c r="AO15" s="6" t="s">
        <v>49</v>
      </c>
      <c r="AP15" s="6">
        <v>0</v>
      </c>
      <c r="AQ15" s="6" t="s">
        <v>49</v>
      </c>
      <c r="AR15" s="6">
        <v>0.27400000000000002</v>
      </c>
      <c r="AS15" s="6" t="s">
        <v>49</v>
      </c>
      <c r="AT15" s="6" t="s">
        <v>49</v>
      </c>
      <c r="AU15" s="6" t="s">
        <v>49</v>
      </c>
      <c r="AV15" s="6" t="s">
        <v>49</v>
      </c>
    </row>
    <row r="16" spans="1:48" ht="14.4" customHeight="1">
      <c r="A16" s="6" t="s">
        <v>264</v>
      </c>
      <c r="B16" s="6" t="s">
        <v>38</v>
      </c>
      <c r="C16" s="6" t="s">
        <v>38</v>
      </c>
      <c r="D16" s="6" t="s">
        <v>265</v>
      </c>
      <c r="E16" s="6" t="s">
        <v>190</v>
      </c>
      <c r="F16" s="6">
        <v>2003</v>
      </c>
      <c r="G16" s="6" t="s">
        <v>266</v>
      </c>
      <c r="H16" s="6" t="s">
        <v>42</v>
      </c>
      <c r="I16" s="6" t="s">
        <v>267</v>
      </c>
      <c r="J16" s="6" t="str">
        <f t="shared" si="0"/>
        <v>Lobelia_cardinalis</v>
      </c>
      <c r="K16" s="6" t="s">
        <v>45</v>
      </c>
      <c r="L16" s="6" t="s">
        <v>46</v>
      </c>
      <c r="M16" s="6" t="s">
        <v>12</v>
      </c>
      <c r="N16" s="6" t="s">
        <v>76</v>
      </c>
      <c r="O16" s="6" t="s">
        <v>49</v>
      </c>
      <c r="P16" s="6" t="s">
        <v>49</v>
      </c>
      <c r="Q16" s="6" t="s">
        <v>49</v>
      </c>
      <c r="R16" s="6" t="s">
        <v>49</v>
      </c>
      <c r="S16" s="6" t="s">
        <v>268</v>
      </c>
      <c r="T16" s="6" t="s">
        <v>269</v>
      </c>
      <c r="U16" s="6" t="s">
        <v>251</v>
      </c>
      <c r="V16" s="6" t="s">
        <v>270</v>
      </c>
      <c r="W16" s="12">
        <v>41.746667000000002</v>
      </c>
      <c r="X16" s="12">
        <v>-93.388333000000003</v>
      </c>
      <c r="Y16" s="6" t="s">
        <v>141</v>
      </c>
      <c r="Z16" s="6" t="s">
        <v>271</v>
      </c>
      <c r="AA16" s="1" t="s">
        <v>49</v>
      </c>
      <c r="AB16" s="1" t="s">
        <v>49</v>
      </c>
      <c r="AC16" s="1" t="s">
        <v>49</v>
      </c>
      <c r="AD16" s="6" t="s">
        <v>69</v>
      </c>
      <c r="AE16" s="6" t="s">
        <v>65</v>
      </c>
      <c r="AF16" s="1" t="s">
        <v>49</v>
      </c>
      <c r="AG16" s="1" t="s">
        <v>49</v>
      </c>
      <c r="AH16" s="6" t="s">
        <v>49</v>
      </c>
      <c r="AI16" s="6" t="s">
        <v>272</v>
      </c>
      <c r="AJ16" s="6" t="s">
        <v>49</v>
      </c>
      <c r="AK16" s="6">
        <v>70</v>
      </c>
      <c r="AL16" s="6" t="s">
        <v>49</v>
      </c>
      <c r="AM16" s="6" t="s">
        <v>49</v>
      </c>
      <c r="AN16" s="6">
        <v>5.3999999999999999E-2</v>
      </c>
      <c r="AO16" s="6" t="s">
        <v>49</v>
      </c>
      <c r="AP16" s="6">
        <v>0</v>
      </c>
      <c r="AQ16" s="6" t="s">
        <v>49</v>
      </c>
      <c r="AR16" s="6">
        <v>5.3999999999999999E-2</v>
      </c>
      <c r="AS16" s="6" t="s">
        <v>49</v>
      </c>
      <c r="AT16" s="6" t="s">
        <v>49</v>
      </c>
      <c r="AU16" s="6" t="s">
        <v>49</v>
      </c>
      <c r="AV16" s="6" t="s">
        <v>49</v>
      </c>
    </row>
    <row r="17" spans="1:48" ht="14.4" customHeight="1">
      <c r="A17" s="6" t="s">
        <v>264</v>
      </c>
      <c r="B17" s="6" t="s">
        <v>38</v>
      </c>
      <c r="C17" s="6" t="s">
        <v>38</v>
      </c>
      <c r="D17" s="6" t="s">
        <v>265</v>
      </c>
      <c r="E17" s="6" t="s">
        <v>190</v>
      </c>
      <c r="F17" s="6">
        <v>2003</v>
      </c>
      <c r="G17" s="6" t="s">
        <v>266</v>
      </c>
      <c r="H17" s="6" t="s">
        <v>42</v>
      </c>
      <c r="I17" s="6" t="s">
        <v>267</v>
      </c>
      <c r="J17" s="6" t="str">
        <f t="shared" si="0"/>
        <v>Lobelia_cardinalis</v>
      </c>
      <c r="K17" s="6" t="s">
        <v>45</v>
      </c>
      <c r="L17" s="6" t="s">
        <v>46</v>
      </c>
      <c r="M17" s="6" t="s">
        <v>12</v>
      </c>
      <c r="N17" s="6" t="s">
        <v>76</v>
      </c>
      <c r="O17" s="6" t="s">
        <v>49</v>
      </c>
      <c r="P17" s="6" t="s">
        <v>49</v>
      </c>
      <c r="Q17" s="6" t="s">
        <v>49</v>
      </c>
      <c r="R17" s="6" t="s">
        <v>49</v>
      </c>
      <c r="S17" s="6" t="s">
        <v>268</v>
      </c>
      <c r="T17" s="6" t="s">
        <v>269</v>
      </c>
      <c r="U17" s="6" t="s">
        <v>251</v>
      </c>
      <c r="V17" s="6" t="s">
        <v>270</v>
      </c>
      <c r="W17" s="12">
        <v>41.746667000000002</v>
      </c>
      <c r="X17" s="12">
        <v>-93.388333000000003</v>
      </c>
      <c r="Y17" s="6" t="s">
        <v>141</v>
      </c>
      <c r="Z17" s="6" t="s">
        <v>271</v>
      </c>
      <c r="AA17" s="1" t="s">
        <v>49</v>
      </c>
      <c r="AB17" s="1" t="s">
        <v>49</v>
      </c>
      <c r="AC17" s="1" t="s">
        <v>49</v>
      </c>
      <c r="AD17" s="6" t="s">
        <v>69</v>
      </c>
      <c r="AE17" s="6" t="s">
        <v>59</v>
      </c>
      <c r="AF17" s="1" t="s">
        <v>49</v>
      </c>
      <c r="AG17" s="1" t="s">
        <v>49</v>
      </c>
      <c r="AH17" s="6" t="s">
        <v>49</v>
      </c>
      <c r="AI17" s="6" t="s">
        <v>272</v>
      </c>
      <c r="AJ17" s="6" t="s">
        <v>49</v>
      </c>
      <c r="AK17" s="6">
        <v>70</v>
      </c>
      <c r="AL17" s="6" t="s">
        <v>49</v>
      </c>
      <c r="AM17" s="6" t="s">
        <v>49</v>
      </c>
      <c r="AN17" s="6">
        <v>0.49299999999999999</v>
      </c>
      <c r="AO17" s="6" t="s">
        <v>49</v>
      </c>
      <c r="AP17" s="6">
        <v>0</v>
      </c>
      <c r="AQ17" s="6" t="s">
        <v>49</v>
      </c>
      <c r="AR17" s="6">
        <v>0.49299999999999999</v>
      </c>
      <c r="AS17" s="6" t="s">
        <v>49</v>
      </c>
      <c r="AT17" s="6" t="s">
        <v>49</v>
      </c>
      <c r="AU17" s="6" t="s">
        <v>49</v>
      </c>
      <c r="AV17" s="6" t="s">
        <v>49</v>
      </c>
    </row>
    <row r="18" spans="1:48" ht="14.4" customHeight="1">
      <c r="A18" s="6" t="s">
        <v>264</v>
      </c>
      <c r="B18" s="6" t="s">
        <v>38</v>
      </c>
      <c r="C18" s="6" t="s">
        <v>38</v>
      </c>
      <c r="D18" s="6" t="s">
        <v>265</v>
      </c>
      <c r="E18" s="6" t="s">
        <v>190</v>
      </c>
      <c r="F18" s="6">
        <v>2003</v>
      </c>
      <c r="G18" s="6" t="s">
        <v>266</v>
      </c>
      <c r="H18" s="6" t="s">
        <v>42</v>
      </c>
      <c r="I18" s="6" t="s">
        <v>267</v>
      </c>
      <c r="J18" s="6" t="str">
        <f t="shared" si="0"/>
        <v>Lobelia_cardinalis</v>
      </c>
      <c r="K18" s="6" t="s">
        <v>45</v>
      </c>
      <c r="L18" s="6" t="s">
        <v>46</v>
      </c>
      <c r="M18" s="6" t="s">
        <v>12</v>
      </c>
      <c r="N18" s="6" t="s">
        <v>76</v>
      </c>
      <c r="O18" s="6" t="s">
        <v>49</v>
      </c>
      <c r="P18" s="6" t="s">
        <v>49</v>
      </c>
      <c r="Q18" s="6" t="s">
        <v>49</v>
      </c>
      <c r="R18" s="6" t="s">
        <v>49</v>
      </c>
      <c r="S18" s="6" t="s">
        <v>268</v>
      </c>
      <c r="T18" s="6" t="s">
        <v>269</v>
      </c>
      <c r="U18" s="6" t="s">
        <v>251</v>
      </c>
      <c r="V18" s="6" t="s">
        <v>270</v>
      </c>
      <c r="W18" s="12">
        <v>41.746667000000002</v>
      </c>
      <c r="X18" s="12">
        <v>-93.388333000000003</v>
      </c>
      <c r="Y18" s="6" t="s">
        <v>141</v>
      </c>
      <c r="Z18" s="6" t="s">
        <v>271</v>
      </c>
      <c r="AA18" s="1" t="s">
        <v>49</v>
      </c>
      <c r="AB18" s="1" t="s">
        <v>49</v>
      </c>
      <c r="AC18" s="1" t="s">
        <v>49</v>
      </c>
      <c r="AD18" s="6" t="s">
        <v>69</v>
      </c>
      <c r="AE18" s="6" t="s">
        <v>273</v>
      </c>
      <c r="AF18" s="1" t="s">
        <v>49</v>
      </c>
      <c r="AG18" s="1" t="s">
        <v>49</v>
      </c>
      <c r="AH18" s="6" t="s">
        <v>49</v>
      </c>
      <c r="AI18" s="6" t="s">
        <v>272</v>
      </c>
      <c r="AJ18" s="6" t="s">
        <v>49</v>
      </c>
      <c r="AK18" s="6">
        <v>70</v>
      </c>
      <c r="AL18" s="6" t="s">
        <v>49</v>
      </c>
      <c r="AM18" s="6" t="s">
        <v>49</v>
      </c>
      <c r="AN18" s="6">
        <v>0.219</v>
      </c>
      <c r="AO18" s="6" t="s">
        <v>49</v>
      </c>
      <c r="AP18" s="6">
        <v>0</v>
      </c>
      <c r="AQ18" s="6" t="s">
        <v>49</v>
      </c>
      <c r="AR18" s="6">
        <v>0.219</v>
      </c>
      <c r="AS18" s="6" t="s">
        <v>49</v>
      </c>
      <c r="AT18" s="6" t="s">
        <v>49</v>
      </c>
      <c r="AU18" s="6" t="s">
        <v>49</v>
      </c>
      <c r="AV18" s="6" t="s">
        <v>49</v>
      </c>
    </row>
    <row r="19" spans="1:48" ht="14.4" customHeight="1">
      <c r="A19" s="6" t="s">
        <v>264</v>
      </c>
      <c r="B19" s="6" t="s">
        <v>38</v>
      </c>
      <c r="C19" s="6" t="s">
        <v>38</v>
      </c>
      <c r="D19" s="6" t="s">
        <v>265</v>
      </c>
      <c r="E19" s="6" t="s">
        <v>190</v>
      </c>
      <c r="F19" s="6">
        <v>2003</v>
      </c>
      <c r="G19" s="6" t="s">
        <v>266</v>
      </c>
      <c r="H19" s="6" t="s">
        <v>42</v>
      </c>
      <c r="I19" s="6" t="s">
        <v>267</v>
      </c>
      <c r="J19" s="6" t="str">
        <f t="shared" si="0"/>
        <v>Lobelia_cardinalis</v>
      </c>
      <c r="K19" s="6" t="s">
        <v>45</v>
      </c>
      <c r="L19" s="6" t="s">
        <v>46</v>
      </c>
      <c r="M19" s="6" t="s">
        <v>12</v>
      </c>
      <c r="N19" s="6" t="s">
        <v>76</v>
      </c>
      <c r="O19" s="6" t="s">
        <v>49</v>
      </c>
      <c r="P19" s="6" t="s">
        <v>49</v>
      </c>
      <c r="Q19" s="6" t="s">
        <v>49</v>
      </c>
      <c r="R19" s="6" t="s">
        <v>49</v>
      </c>
      <c r="S19" s="6" t="s">
        <v>268</v>
      </c>
      <c r="T19" s="6" t="s">
        <v>269</v>
      </c>
      <c r="U19" s="6" t="s">
        <v>251</v>
      </c>
      <c r="V19" s="6" t="s">
        <v>270</v>
      </c>
      <c r="W19" s="12">
        <v>41.746667000000002</v>
      </c>
      <c r="X19" s="12">
        <v>-93.388333000000003</v>
      </c>
      <c r="Y19" s="6" t="s">
        <v>141</v>
      </c>
      <c r="Z19" s="6" t="s">
        <v>271</v>
      </c>
      <c r="AA19" s="1" t="s">
        <v>49</v>
      </c>
      <c r="AB19" s="1" t="s">
        <v>49</v>
      </c>
      <c r="AC19" s="1" t="s">
        <v>49</v>
      </c>
      <c r="AD19" s="6" t="s">
        <v>69</v>
      </c>
      <c r="AE19" s="6" t="s">
        <v>52</v>
      </c>
      <c r="AF19" s="1" t="s">
        <v>49</v>
      </c>
      <c r="AG19" s="1" t="s">
        <v>49</v>
      </c>
      <c r="AH19" s="6" t="s">
        <v>49</v>
      </c>
      <c r="AI19" s="6" t="s">
        <v>272</v>
      </c>
      <c r="AJ19" s="6" t="s">
        <v>49</v>
      </c>
      <c r="AK19" s="6">
        <v>70</v>
      </c>
      <c r="AL19" s="6" t="s">
        <v>49</v>
      </c>
      <c r="AM19" s="6" t="s">
        <v>49</v>
      </c>
      <c r="AN19" s="6">
        <v>0.52700000000000002</v>
      </c>
      <c r="AO19" s="6" t="s">
        <v>49</v>
      </c>
      <c r="AP19" s="6">
        <v>0</v>
      </c>
      <c r="AQ19" s="6" t="s">
        <v>49</v>
      </c>
      <c r="AR19" s="6">
        <v>0.52700000000000002</v>
      </c>
      <c r="AS19" s="6" t="s">
        <v>49</v>
      </c>
      <c r="AT19" s="6" t="s">
        <v>49</v>
      </c>
      <c r="AU19" s="6" t="s">
        <v>49</v>
      </c>
      <c r="AV19" s="6" t="s">
        <v>49</v>
      </c>
    </row>
    <row r="20" spans="1:48" ht="14.4" customHeight="1">
      <c r="A20" s="6" t="s">
        <v>264</v>
      </c>
      <c r="B20" s="6" t="s">
        <v>38</v>
      </c>
      <c r="C20" s="6" t="s">
        <v>38</v>
      </c>
      <c r="D20" s="6" t="s">
        <v>265</v>
      </c>
      <c r="E20" s="6" t="s">
        <v>190</v>
      </c>
      <c r="F20" s="6">
        <v>2003</v>
      </c>
      <c r="G20" s="6" t="s">
        <v>266</v>
      </c>
      <c r="H20" s="6" t="s">
        <v>42</v>
      </c>
      <c r="I20" s="6" t="s">
        <v>267</v>
      </c>
      <c r="J20" s="6" t="str">
        <f t="shared" si="0"/>
        <v>Lobelia_cardinalis</v>
      </c>
      <c r="K20" s="6" t="s">
        <v>45</v>
      </c>
      <c r="L20" s="6" t="s">
        <v>46</v>
      </c>
      <c r="M20" s="6" t="s">
        <v>12</v>
      </c>
      <c r="N20" s="6" t="s">
        <v>76</v>
      </c>
      <c r="O20" s="6" t="s">
        <v>49</v>
      </c>
      <c r="P20" s="6" t="s">
        <v>49</v>
      </c>
      <c r="Q20" s="6" t="s">
        <v>49</v>
      </c>
      <c r="R20" s="6" t="s">
        <v>49</v>
      </c>
      <c r="S20" s="6" t="s">
        <v>268</v>
      </c>
      <c r="T20" s="6" t="s">
        <v>269</v>
      </c>
      <c r="U20" s="6" t="s">
        <v>251</v>
      </c>
      <c r="V20" s="6" t="s">
        <v>270</v>
      </c>
      <c r="W20" s="12">
        <v>41.746667000000002</v>
      </c>
      <c r="X20" s="12">
        <v>-93.388333000000003</v>
      </c>
      <c r="Y20" s="6" t="s">
        <v>141</v>
      </c>
      <c r="Z20" s="6" t="s">
        <v>271</v>
      </c>
      <c r="AA20" s="1" t="s">
        <v>49</v>
      </c>
      <c r="AB20" s="1" t="s">
        <v>49</v>
      </c>
      <c r="AC20" s="1" t="s">
        <v>49</v>
      </c>
      <c r="AD20" s="6" t="s">
        <v>63</v>
      </c>
      <c r="AE20" s="6" t="s">
        <v>65</v>
      </c>
      <c r="AF20" s="1" t="s">
        <v>49</v>
      </c>
      <c r="AG20" s="1" t="s">
        <v>49</v>
      </c>
      <c r="AH20" s="6" t="s">
        <v>49</v>
      </c>
      <c r="AI20" s="6" t="s">
        <v>272</v>
      </c>
      <c r="AJ20" s="6" t="s">
        <v>49</v>
      </c>
      <c r="AK20" s="6">
        <v>70</v>
      </c>
      <c r="AL20" s="6" t="s">
        <v>49</v>
      </c>
      <c r="AM20" s="6" t="s">
        <v>49</v>
      </c>
      <c r="AN20" s="6">
        <v>0.08</v>
      </c>
      <c r="AO20" s="6" t="s">
        <v>49</v>
      </c>
      <c r="AP20" s="6">
        <v>0</v>
      </c>
      <c r="AQ20" s="6" t="s">
        <v>49</v>
      </c>
      <c r="AR20" s="6">
        <v>0.08</v>
      </c>
      <c r="AS20" s="6" t="s">
        <v>49</v>
      </c>
      <c r="AT20" s="6" t="s">
        <v>49</v>
      </c>
      <c r="AU20" s="6" t="s">
        <v>49</v>
      </c>
      <c r="AV20" s="6" t="s">
        <v>49</v>
      </c>
    </row>
    <row r="21" spans="1:48" ht="14.4" customHeight="1">
      <c r="A21" s="6" t="s">
        <v>264</v>
      </c>
      <c r="B21" s="6" t="s">
        <v>38</v>
      </c>
      <c r="C21" s="6" t="s">
        <v>38</v>
      </c>
      <c r="D21" s="6" t="s">
        <v>265</v>
      </c>
      <c r="E21" s="6" t="s">
        <v>190</v>
      </c>
      <c r="F21" s="6">
        <v>2003</v>
      </c>
      <c r="G21" s="6" t="s">
        <v>266</v>
      </c>
      <c r="H21" s="6" t="s">
        <v>42</v>
      </c>
      <c r="I21" s="6" t="s">
        <v>267</v>
      </c>
      <c r="J21" s="6" t="str">
        <f t="shared" si="0"/>
        <v>Lobelia_cardinalis</v>
      </c>
      <c r="K21" s="6" t="s">
        <v>45</v>
      </c>
      <c r="L21" s="6" t="s">
        <v>46</v>
      </c>
      <c r="M21" s="6" t="s">
        <v>12</v>
      </c>
      <c r="N21" s="6" t="s">
        <v>76</v>
      </c>
      <c r="O21" s="6" t="s">
        <v>49</v>
      </c>
      <c r="P21" s="6" t="s">
        <v>49</v>
      </c>
      <c r="Q21" s="6" t="s">
        <v>49</v>
      </c>
      <c r="R21" s="6" t="s">
        <v>49</v>
      </c>
      <c r="S21" s="6" t="s">
        <v>268</v>
      </c>
      <c r="T21" s="6" t="s">
        <v>269</v>
      </c>
      <c r="U21" s="6" t="s">
        <v>251</v>
      </c>
      <c r="V21" s="6" t="s">
        <v>270</v>
      </c>
      <c r="W21" s="12">
        <v>41.746667000000002</v>
      </c>
      <c r="X21" s="12">
        <v>-93.388333000000003</v>
      </c>
      <c r="Y21" s="6" t="s">
        <v>141</v>
      </c>
      <c r="Z21" s="6" t="s">
        <v>271</v>
      </c>
      <c r="AA21" s="1" t="s">
        <v>49</v>
      </c>
      <c r="AB21" s="1" t="s">
        <v>49</v>
      </c>
      <c r="AC21" s="1" t="s">
        <v>49</v>
      </c>
      <c r="AD21" s="6" t="s">
        <v>63</v>
      </c>
      <c r="AE21" s="6" t="s">
        <v>59</v>
      </c>
      <c r="AF21" s="1" t="s">
        <v>49</v>
      </c>
      <c r="AG21" s="1" t="s">
        <v>49</v>
      </c>
      <c r="AH21" s="6" t="s">
        <v>49</v>
      </c>
      <c r="AI21" s="6" t="s">
        <v>272</v>
      </c>
      <c r="AJ21" s="6" t="s">
        <v>49</v>
      </c>
      <c r="AK21" s="6">
        <v>70</v>
      </c>
      <c r="AL21" s="6" t="s">
        <v>49</v>
      </c>
      <c r="AM21" s="6" t="s">
        <v>49</v>
      </c>
      <c r="AN21" s="6">
        <v>1.655</v>
      </c>
      <c r="AO21" s="6" t="s">
        <v>49</v>
      </c>
      <c r="AP21" s="6">
        <v>0</v>
      </c>
      <c r="AQ21" s="6" t="s">
        <v>49</v>
      </c>
      <c r="AR21" s="6">
        <v>1.655</v>
      </c>
      <c r="AS21" s="6" t="s">
        <v>49</v>
      </c>
      <c r="AT21" s="6" t="s">
        <v>49</v>
      </c>
      <c r="AU21" s="6" t="s">
        <v>49</v>
      </c>
      <c r="AV21" s="6" t="s">
        <v>49</v>
      </c>
    </row>
    <row r="22" spans="1:48" ht="14.4" customHeight="1">
      <c r="A22" s="6" t="s">
        <v>264</v>
      </c>
      <c r="B22" s="6" t="s">
        <v>38</v>
      </c>
      <c r="C22" s="6" t="s">
        <v>38</v>
      </c>
      <c r="D22" s="6" t="s">
        <v>265</v>
      </c>
      <c r="E22" s="6" t="s">
        <v>190</v>
      </c>
      <c r="F22" s="6">
        <v>2003</v>
      </c>
      <c r="G22" s="6" t="s">
        <v>266</v>
      </c>
      <c r="H22" s="6" t="s">
        <v>42</v>
      </c>
      <c r="I22" s="6" t="s">
        <v>267</v>
      </c>
      <c r="J22" s="6" t="str">
        <f t="shared" si="0"/>
        <v>Lobelia_cardinalis</v>
      </c>
      <c r="K22" s="6" t="s">
        <v>45</v>
      </c>
      <c r="L22" s="6" t="s">
        <v>46</v>
      </c>
      <c r="M22" s="6" t="s">
        <v>12</v>
      </c>
      <c r="N22" s="6" t="s">
        <v>76</v>
      </c>
      <c r="O22" s="6" t="s">
        <v>49</v>
      </c>
      <c r="P22" s="6" t="s">
        <v>49</v>
      </c>
      <c r="Q22" s="6" t="s">
        <v>49</v>
      </c>
      <c r="R22" s="6" t="s">
        <v>49</v>
      </c>
      <c r="S22" s="6" t="s">
        <v>268</v>
      </c>
      <c r="T22" s="6" t="s">
        <v>269</v>
      </c>
      <c r="U22" s="6" t="s">
        <v>251</v>
      </c>
      <c r="V22" s="6" t="s">
        <v>270</v>
      </c>
      <c r="W22" s="12">
        <v>41.746667000000002</v>
      </c>
      <c r="X22" s="12">
        <v>-93.388333000000003</v>
      </c>
      <c r="Y22" s="6" t="s">
        <v>141</v>
      </c>
      <c r="Z22" s="6" t="s">
        <v>271</v>
      </c>
      <c r="AA22" s="1" t="s">
        <v>49</v>
      </c>
      <c r="AB22" s="1" t="s">
        <v>49</v>
      </c>
      <c r="AC22" s="1" t="s">
        <v>49</v>
      </c>
      <c r="AD22" s="6" t="s">
        <v>63</v>
      </c>
      <c r="AE22" s="6" t="s">
        <v>273</v>
      </c>
      <c r="AF22" s="1" t="s">
        <v>49</v>
      </c>
      <c r="AG22" s="1" t="s">
        <v>49</v>
      </c>
      <c r="AH22" s="6" t="s">
        <v>49</v>
      </c>
      <c r="AI22" s="6" t="s">
        <v>272</v>
      </c>
      <c r="AJ22" s="6" t="s">
        <v>49</v>
      </c>
      <c r="AK22" s="6">
        <v>70</v>
      </c>
      <c r="AL22" s="6" t="s">
        <v>49</v>
      </c>
      <c r="AM22" s="6" t="s">
        <v>49</v>
      </c>
      <c r="AN22" s="6">
        <v>0.309</v>
      </c>
      <c r="AO22" s="6" t="s">
        <v>49</v>
      </c>
      <c r="AP22" s="6">
        <v>0</v>
      </c>
      <c r="AQ22" s="6" t="s">
        <v>49</v>
      </c>
      <c r="AR22" s="6">
        <v>0.309</v>
      </c>
      <c r="AS22" s="6" t="s">
        <v>49</v>
      </c>
      <c r="AT22" s="6" t="s">
        <v>49</v>
      </c>
      <c r="AU22" s="6" t="s">
        <v>49</v>
      </c>
      <c r="AV22" s="6" t="s">
        <v>49</v>
      </c>
    </row>
    <row r="23" spans="1:48" ht="14.4" customHeight="1">
      <c r="A23" s="6" t="s">
        <v>264</v>
      </c>
      <c r="B23" s="6" t="s">
        <v>38</v>
      </c>
      <c r="C23" s="6" t="s">
        <v>38</v>
      </c>
      <c r="D23" s="6" t="s">
        <v>265</v>
      </c>
      <c r="E23" s="6" t="s">
        <v>190</v>
      </c>
      <c r="F23" s="6">
        <v>2003</v>
      </c>
      <c r="G23" s="6" t="s">
        <v>266</v>
      </c>
      <c r="H23" s="6" t="s">
        <v>42</v>
      </c>
      <c r="I23" s="6" t="s">
        <v>267</v>
      </c>
      <c r="J23" s="6" t="str">
        <f t="shared" si="0"/>
        <v>Lobelia_cardinalis</v>
      </c>
      <c r="K23" s="6" t="s">
        <v>45</v>
      </c>
      <c r="L23" s="6" t="s">
        <v>46</v>
      </c>
      <c r="M23" s="6" t="s">
        <v>12</v>
      </c>
      <c r="N23" s="6" t="s">
        <v>76</v>
      </c>
      <c r="O23" s="6" t="s">
        <v>49</v>
      </c>
      <c r="P23" s="6" t="s">
        <v>49</v>
      </c>
      <c r="Q23" s="6" t="s">
        <v>49</v>
      </c>
      <c r="R23" s="6" t="s">
        <v>49</v>
      </c>
      <c r="S23" s="6" t="s">
        <v>268</v>
      </c>
      <c r="T23" s="6" t="s">
        <v>269</v>
      </c>
      <c r="U23" s="6" t="s">
        <v>251</v>
      </c>
      <c r="V23" s="6" t="s">
        <v>270</v>
      </c>
      <c r="W23" s="12">
        <v>41.746667000000002</v>
      </c>
      <c r="X23" s="12">
        <v>-93.388333000000003</v>
      </c>
      <c r="Y23" s="6" t="s">
        <v>141</v>
      </c>
      <c r="Z23" s="6" t="s">
        <v>271</v>
      </c>
      <c r="AA23" s="1" t="s">
        <v>49</v>
      </c>
      <c r="AB23" s="1" t="s">
        <v>49</v>
      </c>
      <c r="AC23" s="1" t="s">
        <v>49</v>
      </c>
      <c r="AD23" s="6" t="s">
        <v>63</v>
      </c>
      <c r="AE23" s="6" t="s">
        <v>52</v>
      </c>
      <c r="AF23" s="1" t="s">
        <v>49</v>
      </c>
      <c r="AG23" s="1" t="s">
        <v>49</v>
      </c>
      <c r="AH23" s="6" t="s">
        <v>49</v>
      </c>
      <c r="AI23" s="6" t="s">
        <v>272</v>
      </c>
      <c r="AJ23" s="6" t="s">
        <v>49</v>
      </c>
      <c r="AK23" s="6">
        <v>70</v>
      </c>
      <c r="AL23" s="6" t="s">
        <v>49</v>
      </c>
      <c r="AM23" s="6" t="s">
        <v>49</v>
      </c>
      <c r="AN23" s="6">
        <v>8.0000000000000002E-3</v>
      </c>
      <c r="AO23" s="6" t="s">
        <v>49</v>
      </c>
      <c r="AP23" s="6">
        <v>0</v>
      </c>
      <c r="AQ23" s="6" t="s">
        <v>49</v>
      </c>
      <c r="AR23" s="6">
        <v>8.0000000000000002E-3</v>
      </c>
      <c r="AS23" s="6" t="s">
        <v>49</v>
      </c>
      <c r="AT23" s="6" t="s">
        <v>49</v>
      </c>
      <c r="AU23" s="6" t="s">
        <v>49</v>
      </c>
      <c r="AV23" s="6" t="s">
        <v>49</v>
      </c>
    </row>
    <row r="24" spans="1:48" ht="14.4" customHeight="1">
      <c r="A24" s="6" t="s">
        <v>264</v>
      </c>
      <c r="B24" s="6" t="s">
        <v>38</v>
      </c>
      <c r="C24" s="6" t="s">
        <v>38</v>
      </c>
      <c r="D24" s="6" t="s">
        <v>265</v>
      </c>
      <c r="E24" s="6" t="s">
        <v>190</v>
      </c>
      <c r="F24" s="6">
        <v>2003</v>
      </c>
      <c r="G24" s="6" t="s">
        <v>266</v>
      </c>
      <c r="H24" s="6" t="s">
        <v>42</v>
      </c>
      <c r="I24" s="6" t="s">
        <v>267</v>
      </c>
      <c r="J24" s="6" t="str">
        <f t="shared" si="0"/>
        <v>Lobelia_cardinalis</v>
      </c>
      <c r="K24" s="6" t="s">
        <v>45</v>
      </c>
      <c r="L24" s="6" t="s">
        <v>46</v>
      </c>
      <c r="M24" s="6" t="s">
        <v>12</v>
      </c>
      <c r="N24" s="6" t="s">
        <v>76</v>
      </c>
      <c r="O24" s="6" t="s">
        <v>49</v>
      </c>
      <c r="P24" s="6" t="s">
        <v>49</v>
      </c>
      <c r="Q24" s="6" t="s">
        <v>49</v>
      </c>
      <c r="R24" s="6" t="s">
        <v>49</v>
      </c>
      <c r="S24" s="6" t="s">
        <v>268</v>
      </c>
      <c r="T24" s="6" t="s">
        <v>269</v>
      </c>
      <c r="U24" s="6" t="s">
        <v>251</v>
      </c>
      <c r="V24" s="6" t="s">
        <v>270</v>
      </c>
      <c r="W24" s="12">
        <v>41.746667000000002</v>
      </c>
      <c r="X24" s="12">
        <v>-93.388333000000003</v>
      </c>
      <c r="Y24" s="6" t="s">
        <v>141</v>
      </c>
      <c r="Z24" s="6" t="s">
        <v>271</v>
      </c>
      <c r="AA24" s="1" t="s">
        <v>49</v>
      </c>
      <c r="AB24" s="1" t="s">
        <v>49</v>
      </c>
      <c r="AC24" s="1" t="s">
        <v>49</v>
      </c>
      <c r="AD24" s="6" t="s">
        <v>65</v>
      </c>
      <c r="AE24" s="6" t="s">
        <v>59</v>
      </c>
      <c r="AF24" s="1" t="s">
        <v>49</v>
      </c>
      <c r="AG24" s="1" t="s">
        <v>49</v>
      </c>
      <c r="AH24" s="6" t="s">
        <v>49</v>
      </c>
      <c r="AI24" s="6" t="s">
        <v>272</v>
      </c>
      <c r="AJ24" s="6" t="s">
        <v>49</v>
      </c>
      <c r="AK24" s="6">
        <v>70</v>
      </c>
      <c r="AL24" s="6" t="s">
        <v>49</v>
      </c>
      <c r="AM24" s="6" t="s">
        <v>49</v>
      </c>
      <c r="AN24" s="6">
        <v>0.11</v>
      </c>
      <c r="AO24" s="6" t="s">
        <v>49</v>
      </c>
      <c r="AP24" s="6">
        <v>0</v>
      </c>
      <c r="AQ24" s="6" t="s">
        <v>49</v>
      </c>
      <c r="AR24" s="6">
        <v>0.11</v>
      </c>
      <c r="AS24" s="6" t="s">
        <v>49</v>
      </c>
      <c r="AT24" s="6" t="s">
        <v>49</v>
      </c>
      <c r="AU24" s="6" t="s">
        <v>49</v>
      </c>
      <c r="AV24" s="6" t="s">
        <v>49</v>
      </c>
    </row>
    <row r="25" spans="1:48" ht="14.4" customHeight="1">
      <c r="A25" s="6" t="s">
        <v>264</v>
      </c>
      <c r="B25" s="6" t="s">
        <v>38</v>
      </c>
      <c r="C25" s="6" t="s">
        <v>38</v>
      </c>
      <c r="D25" s="6" t="s">
        <v>265</v>
      </c>
      <c r="E25" s="6" t="s">
        <v>190</v>
      </c>
      <c r="F25" s="6">
        <v>2003</v>
      </c>
      <c r="G25" s="6" t="s">
        <v>266</v>
      </c>
      <c r="H25" s="6" t="s">
        <v>42</v>
      </c>
      <c r="I25" s="6" t="s">
        <v>267</v>
      </c>
      <c r="J25" s="6" t="str">
        <f t="shared" si="0"/>
        <v>Lobelia_cardinalis</v>
      </c>
      <c r="K25" s="6" t="s">
        <v>45</v>
      </c>
      <c r="L25" s="6" t="s">
        <v>46</v>
      </c>
      <c r="M25" s="6" t="s">
        <v>12</v>
      </c>
      <c r="N25" s="6" t="s">
        <v>76</v>
      </c>
      <c r="O25" s="6" t="s">
        <v>49</v>
      </c>
      <c r="P25" s="6" t="s">
        <v>49</v>
      </c>
      <c r="Q25" s="6" t="s">
        <v>49</v>
      </c>
      <c r="R25" s="6" t="s">
        <v>49</v>
      </c>
      <c r="S25" s="6" t="s">
        <v>268</v>
      </c>
      <c r="T25" s="6" t="s">
        <v>269</v>
      </c>
      <c r="U25" s="6" t="s">
        <v>251</v>
      </c>
      <c r="V25" s="6" t="s">
        <v>270</v>
      </c>
      <c r="W25" s="12">
        <v>41.746667000000002</v>
      </c>
      <c r="X25" s="12">
        <v>-93.388333000000003</v>
      </c>
      <c r="Y25" s="6" t="s">
        <v>141</v>
      </c>
      <c r="Z25" s="6" t="s">
        <v>271</v>
      </c>
      <c r="AA25" s="1" t="s">
        <v>49</v>
      </c>
      <c r="AB25" s="1" t="s">
        <v>49</v>
      </c>
      <c r="AC25" s="1" t="s">
        <v>49</v>
      </c>
      <c r="AD25" s="6" t="s">
        <v>65</v>
      </c>
      <c r="AE25" s="6" t="s">
        <v>273</v>
      </c>
      <c r="AF25" s="1" t="s">
        <v>49</v>
      </c>
      <c r="AG25" s="1" t="s">
        <v>49</v>
      </c>
      <c r="AH25" s="6" t="s">
        <v>49</v>
      </c>
      <c r="AI25" s="6" t="s">
        <v>272</v>
      </c>
      <c r="AJ25" s="6" t="s">
        <v>49</v>
      </c>
      <c r="AK25" s="6">
        <v>70</v>
      </c>
      <c r="AL25" s="6" t="s">
        <v>49</v>
      </c>
      <c r="AM25" s="6" t="s">
        <v>49</v>
      </c>
      <c r="AN25" s="6">
        <v>2.4E-2</v>
      </c>
      <c r="AO25" s="6" t="s">
        <v>49</v>
      </c>
      <c r="AP25" s="6">
        <v>0</v>
      </c>
      <c r="AQ25" s="6" t="s">
        <v>49</v>
      </c>
      <c r="AR25" s="6">
        <v>2.4E-2</v>
      </c>
      <c r="AS25" s="6" t="s">
        <v>49</v>
      </c>
      <c r="AT25" s="6" t="s">
        <v>49</v>
      </c>
      <c r="AU25" s="6" t="s">
        <v>49</v>
      </c>
      <c r="AV25" s="6" t="s">
        <v>49</v>
      </c>
    </row>
    <row r="26" spans="1:48" ht="14.4" customHeight="1">
      <c r="A26" s="6" t="s">
        <v>264</v>
      </c>
      <c r="B26" s="6" t="s">
        <v>38</v>
      </c>
      <c r="C26" s="6" t="s">
        <v>38</v>
      </c>
      <c r="D26" s="6" t="s">
        <v>265</v>
      </c>
      <c r="E26" s="6" t="s">
        <v>190</v>
      </c>
      <c r="F26" s="6">
        <v>2003</v>
      </c>
      <c r="G26" s="6" t="s">
        <v>266</v>
      </c>
      <c r="H26" s="6" t="s">
        <v>42</v>
      </c>
      <c r="I26" s="6" t="s">
        <v>267</v>
      </c>
      <c r="J26" s="6" t="str">
        <f t="shared" si="0"/>
        <v>Lobelia_cardinalis</v>
      </c>
      <c r="K26" s="6" t="s">
        <v>45</v>
      </c>
      <c r="L26" s="6" t="s">
        <v>46</v>
      </c>
      <c r="M26" s="6" t="s">
        <v>12</v>
      </c>
      <c r="N26" s="6" t="s">
        <v>76</v>
      </c>
      <c r="O26" s="6" t="s">
        <v>49</v>
      </c>
      <c r="P26" s="6" t="s">
        <v>49</v>
      </c>
      <c r="Q26" s="6" t="s">
        <v>49</v>
      </c>
      <c r="R26" s="6" t="s">
        <v>49</v>
      </c>
      <c r="S26" s="6" t="s">
        <v>268</v>
      </c>
      <c r="T26" s="6" t="s">
        <v>269</v>
      </c>
      <c r="U26" s="6" t="s">
        <v>251</v>
      </c>
      <c r="V26" s="6" t="s">
        <v>270</v>
      </c>
      <c r="W26" s="12">
        <v>41.746667000000002</v>
      </c>
      <c r="X26" s="12">
        <v>-93.388333000000003</v>
      </c>
      <c r="Y26" s="6" t="s">
        <v>141</v>
      </c>
      <c r="Z26" s="6" t="s">
        <v>271</v>
      </c>
      <c r="AA26" s="1" t="s">
        <v>49</v>
      </c>
      <c r="AB26" s="1" t="s">
        <v>49</v>
      </c>
      <c r="AC26" s="1" t="s">
        <v>49</v>
      </c>
      <c r="AD26" s="6" t="s">
        <v>65</v>
      </c>
      <c r="AE26" s="6" t="s">
        <v>52</v>
      </c>
      <c r="AF26" s="1" t="s">
        <v>49</v>
      </c>
      <c r="AG26" s="1" t="s">
        <v>49</v>
      </c>
      <c r="AH26" s="6" t="s">
        <v>49</v>
      </c>
      <c r="AI26" s="6" t="s">
        <v>272</v>
      </c>
      <c r="AJ26" s="6" t="s">
        <v>49</v>
      </c>
      <c r="AK26" s="6">
        <v>70</v>
      </c>
      <c r="AL26" s="6" t="s">
        <v>49</v>
      </c>
      <c r="AM26" s="6" t="s">
        <v>49</v>
      </c>
      <c r="AN26" s="6">
        <v>0.35499999999999998</v>
      </c>
      <c r="AO26" s="6" t="s">
        <v>49</v>
      </c>
      <c r="AP26" s="6">
        <v>0</v>
      </c>
      <c r="AQ26" s="6" t="s">
        <v>49</v>
      </c>
      <c r="AR26" s="6">
        <v>0.35499999999999998</v>
      </c>
      <c r="AS26" s="6" t="s">
        <v>49</v>
      </c>
      <c r="AT26" s="6" t="s">
        <v>49</v>
      </c>
      <c r="AU26" s="6" t="s">
        <v>49</v>
      </c>
      <c r="AV26" s="6" t="s">
        <v>49</v>
      </c>
    </row>
    <row r="27" spans="1:48" ht="14.4" customHeight="1">
      <c r="A27" s="6" t="s">
        <v>264</v>
      </c>
      <c r="B27" s="6" t="s">
        <v>38</v>
      </c>
      <c r="C27" s="6" t="s">
        <v>38</v>
      </c>
      <c r="D27" s="6" t="s">
        <v>265</v>
      </c>
      <c r="E27" s="6" t="s">
        <v>190</v>
      </c>
      <c r="F27" s="6">
        <v>2003</v>
      </c>
      <c r="G27" s="6" t="s">
        <v>266</v>
      </c>
      <c r="H27" s="6" t="s">
        <v>42</v>
      </c>
      <c r="I27" s="6" t="s">
        <v>267</v>
      </c>
      <c r="J27" s="6" t="str">
        <f t="shared" si="0"/>
        <v>Lobelia_cardinalis</v>
      </c>
      <c r="K27" s="6" t="s">
        <v>45</v>
      </c>
      <c r="L27" s="6" t="s">
        <v>46</v>
      </c>
      <c r="M27" s="6" t="s">
        <v>12</v>
      </c>
      <c r="N27" s="6" t="s">
        <v>76</v>
      </c>
      <c r="O27" s="6" t="s">
        <v>49</v>
      </c>
      <c r="P27" s="6" t="s">
        <v>49</v>
      </c>
      <c r="Q27" s="6" t="s">
        <v>49</v>
      </c>
      <c r="R27" s="6" t="s">
        <v>49</v>
      </c>
      <c r="S27" s="6" t="s">
        <v>268</v>
      </c>
      <c r="T27" s="6" t="s">
        <v>269</v>
      </c>
      <c r="U27" s="6" t="s">
        <v>251</v>
      </c>
      <c r="V27" s="6" t="s">
        <v>270</v>
      </c>
      <c r="W27" s="12">
        <v>41.746667000000002</v>
      </c>
      <c r="X27" s="12">
        <v>-93.388333000000003</v>
      </c>
      <c r="Y27" s="6" t="s">
        <v>141</v>
      </c>
      <c r="Z27" s="6" t="s">
        <v>271</v>
      </c>
      <c r="AA27" s="1" t="s">
        <v>49</v>
      </c>
      <c r="AB27" s="1" t="s">
        <v>49</v>
      </c>
      <c r="AC27" s="1" t="s">
        <v>49</v>
      </c>
      <c r="AD27" s="6" t="s">
        <v>59</v>
      </c>
      <c r="AE27" s="6" t="s">
        <v>273</v>
      </c>
      <c r="AF27" s="1" t="s">
        <v>49</v>
      </c>
      <c r="AG27" s="1" t="s">
        <v>49</v>
      </c>
      <c r="AH27" s="6" t="s">
        <v>49</v>
      </c>
      <c r="AI27" s="6" t="s">
        <v>272</v>
      </c>
      <c r="AJ27" s="6" t="s">
        <v>49</v>
      </c>
      <c r="AK27" s="6">
        <v>70</v>
      </c>
      <c r="AL27" s="6" t="s">
        <v>49</v>
      </c>
      <c r="AM27" s="6" t="s">
        <v>49</v>
      </c>
      <c r="AN27" s="6">
        <v>2.11</v>
      </c>
      <c r="AO27" s="6" t="s">
        <v>49</v>
      </c>
      <c r="AP27" s="6">
        <v>0</v>
      </c>
      <c r="AQ27" s="6" t="s">
        <v>49</v>
      </c>
      <c r="AR27" s="6">
        <v>2.11</v>
      </c>
      <c r="AS27" s="6" t="s">
        <v>49</v>
      </c>
      <c r="AT27" s="6" t="s">
        <v>49</v>
      </c>
      <c r="AU27" s="6" t="s">
        <v>49</v>
      </c>
      <c r="AV27" s="6" t="s">
        <v>49</v>
      </c>
    </row>
    <row r="28" spans="1:48" ht="14.4" customHeight="1">
      <c r="A28" s="6" t="s">
        <v>264</v>
      </c>
      <c r="B28" s="6" t="s">
        <v>38</v>
      </c>
      <c r="C28" s="6" t="s">
        <v>38</v>
      </c>
      <c r="D28" s="6" t="s">
        <v>265</v>
      </c>
      <c r="E28" s="6" t="s">
        <v>190</v>
      </c>
      <c r="F28" s="6">
        <v>2003</v>
      </c>
      <c r="G28" s="6" t="s">
        <v>266</v>
      </c>
      <c r="H28" s="6" t="s">
        <v>42</v>
      </c>
      <c r="I28" s="6" t="s">
        <v>267</v>
      </c>
      <c r="J28" s="6" t="str">
        <f t="shared" si="0"/>
        <v>Lobelia_cardinalis</v>
      </c>
      <c r="K28" s="6" t="s">
        <v>45</v>
      </c>
      <c r="L28" s="6" t="s">
        <v>46</v>
      </c>
      <c r="M28" s="6" t="s">
        <v>12</v>
      </c>
      <c r="N28" s="6" t="s">
        <v>76</v>
      </c>
      <c r="O28" s="6" t="s">
        <v>49</v>
      </c>
      <c r="P28" s="6" t="s">
        <v>49</v>
      </c>
      <c r="Q28" s="6" t="s">
        <v>49</v>
      </c>
      <c r="R28" s="6" t="s">
        <v>49</v>
      </c>
      <c r="S28" s="6" t="s">
        <v>268</v>
      </c>
      <c r="T28" s="6" t="s">
        <v>269</v>
      </c>
      <c r="U28" s="6" t="s">
        <v>251</v>
      </c>
      <c r="V28" s="6" t="s">
        <v>270</v>
      </c>
      <c r="W28" s="12">
        <v>41.746667000000002</v>
      </c>
      <c r="X28" s="12">
        <v>-93.388333000000003</v>
      </c>
      <c r="Y28" s="6" t="s">
        <v>141</v>
      </c>
      <c r="Z28" s="6" t="s">
        <v>271</v>
      </c>
      <c r="AA28" s="1" t="s">
        <v>49</v>
      </c>
      <c r="AB28" s="1" t="s">
        <v>49</v>
      </c>
      <c r="AC28" s="1" t="s">
        <v>49</v>
      </c>
      <c r="AD28" s="6" t="s">
        <v>59</v>
      </c>
      <c r="AE28" s="6" t="s">
        <v>52</v>
      </c>
      <c r="AF28" s="1" t="s">
        <v>49</v>
      </c>
      <c r="AG28" s="1" t="s">
        <v>49</v>
      </c>
      <c r="AH28" s="6" t="s">
        <v>49</v>
      </c>
      <c r="AI28" s="6" t="s">
        <v>272</v>
      </c>
      <c r="AJ28" s="6" t="s">
        <v>49</v>
      </c>
      <c r="AK28" s="6">
        <v>70</v>
      </c>
      <c r="AL28" s="6" t="s">
        <v>49</v>
      </c>
      <c r="AM28" s="6" t="s">
        <v>49</v>
      </c>
      <c r="AN28" s="6">
        <v>0.58699999999999997</v>
      </c>
      <c r="AO28" s="6" t="s">
        <v>49</v>
      </c>
      <c r="AP28" s="6">
        <v>0</v>
      </c>
      <c r="AQ28" s="6" t="s">
        <v>49</v>
      </c>
      <c r="AR28" s="6">
        <v>0.58699999999999997</v>
      </c>
      <c r="AS28" s="6" t="s">
        <v>49</v>
      </c>
      <c r="AT28" s="6" t="s">
        <v>49</v>
      </c>
      <c r="AU28" s="6" t="s">
        <v>49</v>
      </c>
      <c r="AV28" s="6" t="s">
        <v>49</v>
      </c>
    </row>
    <row r="29" spans="1:48" ht="14.4" customHeight="1">
      <c r="A29" s="6" t="s">
        <v>264</v>
      </c>
      <c r="B29" s="6" t="s">
        <v>38</v>
      </c>
      <c r="C29" s="6" t="s">
        <v>38</v>
      </c>
      <c r="D29" s="6" t="s">
        <v>265</v>
      </c>
      <c r="E29" s="6" t="s">
        <v>190</v>
      </c>
      <c r="F29" s="6">
        <v>2003</v>
      </c>
      <c r="G29" s="6" t="s">
        <v>266</v>
      </c>
      <c r="H29" s="6" t="s">
        <v>42</v>
      </c>
      <c r="I29" s="6" t="s">
        <v>267</v>
      </c>
      <c r="J29" s="6" t="str">
        <f t="shared" si="0"/>
        <v>Lobelia_cardinalis</v>
      </c>
      <c r="K29" s="6" t="s">
        <v>45</v>
      </c>
      <c r="L29" s="6" t="s">
        <v>46</v>
      </c>
      <c r="M29" s="6" t="s">
        <v>12</v>
      </c>
      <c r="N29" s="6" t="s">
        <v>76</v>
      </c>
      <c r="O29" s="6" t="s">
        <v>49</v>
      </c>
      <c r="P29" s="6" t="s">
        <v>49</v>
      </c>
      <c r="Q29" s="6" t="s">
        <v>49</v>
      </c>
      <c r="R29" s="6" t="s">
        <v>49</v>
      </c>
      <c r="S29" s="6" t="s">
        <v>268</v>
      </c>
      <c r="T29" s="6" t="s">
        <v>269</v>
      </c>
      <c r="U29" s="6" t="s">
        <v>251</v>
      </c>
      <c r="V29" s="6" t="s">
        <v>270</v>
      </c>
      <c r="W29" s="12">
        <v>41.746667000000002</v>
      </c>
      <c r="X29" s="12">
        <v>-93.388333000000003</v>
      </c>
      <c r="Y29" s="6" t="s">
        <v>141</v>
      </c>
      <c r="Z29" s="6" t="s">
        <v>271</v>
      </c>
      <c r="AA29" s="1" t="s">
        <v>49</v>
      </c>
      <c r="AB29" s="1" t="s">
        <v>49</v>
      </c>
      <c r="AC29" s="1" t="s">
        <v>49</v>
      </c>
      <c r="AD29" s="6" t="s">
        <v>273</v>
      </c>
      <c r="AE29" s="6" t="s">
        <v>52</v>
      </c>
      <c r="AF29" s="1" t="s">
        <v>49</v>
      </c>
      <c r="AG29" s="1" t="s">
        <v>49</v>
      </c>
      <c r="AH29" s="6" t="s">
        <v>49</v>
      </c>
      <c r="AI29" s="6" t="s">
        <v>272</v>
      </c>
      <c r="AJ29" s="6" t="s">
        <v>49</v>
      </c>
      <c r="AK29" s="6">
        <v>70</v>
      </c>
      <c r="AL29" s="6" t="s">
        <v>49</v>
      </c>
      <c r="AM29" s="6" t="s">
        <v>49</v>
      </c>
      <c r="AN29" s="6">
        <v>0.80400000000000005</v>
      </c>
      <c r="AO29" s="6" t="s">
        <v>49</v>
      </c>
      <c r="AP29" s="6">
        <v>0</v>
      </c>
      <c r="AQ29" s="6" t="s">
        <v>49</v>
      </c>
      <c r="AR29" s="6">
        <v>0.80400000000000005</v>
      </c>
      <c r="AS29" s="6" t="s">
        <v>49</v>
      </c>
      <c r="AT29" s="6" t="s">
        <v>49</v>
      </c>
      <c r="AU29" s="6" t="s">
        <v>49</v>
      </c>
      <c r="AV29" s="6" t="s">
        <v>49</v>
      </c>
    </row>
    <row r="30" spans="1:48" ht="14.4" customHeight="1">
      <c r="A30" s="6" t="s">
        <v>264</v>
      </c>
      <c r="B30" s="6" t="s">
        <v>38</v>
      </c>
      <c r="C30" s="6" t="s">
        <v>38</v>
      </c>
      <c r="D30" s="6" t="s">
        <v>265</v>
      </c>
      <c r="E30" s="6" t="s">
        <v>190</v>
      </c>
      <c r="F30" s="6">
        <v>2003</v>
      </c>
      <c r="G30" s="6" t="s">
        <v>266</v>
      </c>
      <c r="H30" s="6" t="s">
        <v>42</v>
      </c>
      <c r="I30" s="6" t="s">
        <v>267</v>
      </c>
      <c r="J30" s="6" t="str">
        <f t="shared" si="0"/>
        <v>Lobelia_cardinalis</v>
      </c>
      <c r="K30" s="6" t="s">
        <v>45</v>
      </c>
      <c r="L30" s="6" t="s">
        <v>46</v>
      </c>
      <c r="M30" s="6" t="s">
        <v>12</v>
      </c>
      <c r="N30" s="6" t="s">
        <v>76</v>
      </c>
      <c r="O30" s="6" t="s">
        <v>49</v>
      </c>
      <c r="P30" s="6" t="s">
        <v>49</v>
      </c>
      <c r="Q30" s="6" t="s">
        <v>49</v>
      </c>
      <c r="R30" s="6" t="s">
        <v>49</v>
      </c>
      <c r="S30" s="6" t="s">
        <v>268</v>
      </c>
      <c r="T30" s="6" t="s">
        <v>269</v>
      </c>
      <c r="U30" s="6" t="s">
        <v>251</v>
      </c>
      <c r="V30" s="6" t="s">
        <v>296</v>
      </c>
      <c r="W30" s="12">
        <v>41.791666999999997</v>
      </c>
      <c r="X30" s="12">
        <v>-93.426666999999995</v>
      </c>
      <c r="Y30" s="6" t="s">
        <v>141</v>
      </c>
      <c r="Z30" s="6" t="s">
        <v>271</v>
      </c>
      <c r="AA30" s="1" t="s">
        <v>49</v>
      </c>
      <c r="AB30" s="1" t="s">
        <v>49</v>
      </c>
      <c r="AC30" s="1" t="s">
        <v>49</v>
      </c>
      <c r="AD30" s="6" t="s">
        <v>68</v>
      </c>
      <c r="AE30" s="6" t="s">
        <v>68</v>
      </c>
      <c r="AF30" s="1" t="s">
        <v>60</v>
      </c>
      <c r="AG30" s="1" t="s">
        <v>61</v>
      </c>
      <c r="AH30" s="6" t="s">
        <v>49</v>
      </c>
      <c r="AI30" s="6" t="s">
        <v>272</v>
      </c>
      <c r="AJ30" s="6" t="s">
        <v>49</v>
      </c>
      <c r="AK30" s="6">
        <v>99</v>
      </c>
      <c r="AL30" s="6" t="s">
        <v>49</v>
      </c>
      <c r="AM30" s="6">
        <v>17.5806</v>
      </c>
      <c r="AN30" s="6">
        <v>3.2309999999999999</v>
      </c>
      <c r="AO30" s="6" t="s">
        <v>49</v>
      </c>
      <c r="AP30" s="6">
        <v>0</v>
      </c>
      <c r="AQ30" s="6" t="s">
        <v>49</v>
      </c>
      <c r="AR30" s="6">
        <v>3.2309999999999999</v>
      </c>
      <c r="AS30" s="6" t="s">
        <v>49</v>
      </c>
      <c r="AT30" s="6" t="s">
        <v>49</v>
      </c>
      <c r="AU30" s="6" t="s">
        <v>49</v>
      </c>
      <c r="AV30" s="6" t="s">
        <v>49</v>
      </c>
    </row>
    <row r="31" spans="1:48" ht="14.4" customHeight="1">
      <c r="A31" s="6" t="s">
        <v>264</v>
      </c>
      <c r="B31" s="6" t="s">
        <v>38</v>
      </c>
      <c r="C31" s="6" t="s">
        <v>38</v>
      </c>
      <c r="D31" s="6" t="s">
        <v>265</v>
      </c>
      <c r="E31" s="6" t="s">
        <v>190</v>
      </c>
      <c r="F31" s="6">
        <v>2003</v>
      </c>
      <c r="G31" s="6" t="s">
        <v>266</v>
      </c>
      <c r="H31" s="6" t="s">
        <v>42</v>
      </c>
      <c r="I31" s="6" t="s">
        <v>267</v>
      </c>
      <c r="J31" s="6" t="str">
        <f t="shared" si="0"/>
        <v>Lobelia_cardinalis</v>
      </c>
      <c r="K31" s="6" t="s">
        <v>45</v>
      </c>
      <c r="L31" s="6" t="s">
        <v>46</v>
      </c>
      <c r="M31" s="6" t="s">
        <v>12</v>
      </c>
      <c r="N31" s="6" t="s">
        <v>76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268</v>
      </c>
      <c r="T31" s="6" t="s">
        <v>269</v>
      </c>
      <c r="U31" s="6" t="s">
        <v>251</v>
      </c>
      <c r="V31" s="6" t="s">
        <v>296</v>
      </c>
      <c r="W31" s="12">
        <v>41.791666999999997</v>
      </c>
      <c r="X31" s="12">
        <v>-93.426666999999995</v>
      </c>
      <c r="Y31" s="6" t="s">
        <v>141</v>
      </c>
      <c r="Z31" s="6" t="s">
        <v>271</v>
      </c>
      <c r="AA31" s="1" t="s">
        <v>49</v>
      </c>
      <c r="AB31" s="1" t="s">
        <v>49</v>
      </c>
      <c r="AC31" s="1" t="s">
        <v>49</v>
      </c>
      <c r="AD31" s="6" t="s">
        <v>69</v>
      </c>
      <c r="AE31" s="6" t="s">
        <v>69</v>
      </c>
      <c r="AF31" s="1" t="s">
        <v>60</v>
      </c>
      <c r="AG31" s="1" t="s">
        <v>61</v>
      </c>
      <c r="AH31" s="6" t="s">
        <v>49</v>
      </c>
      <c r="AI31" s="6" t="s">
        <v>272</v>
      </c>
      <c r="AJ31" s="6" t="s">
        <v>49</v>
      </c>
      <c r="AK31" s="6">
        <v>99</v>
      </c>
      <c r="AL31" s="6" t="s">
        <v>49</v>
      </c>
      <c r="AM31" s="6">
        <v>4.0910000000000002</v>
      </c>
      <c r="AN31" s="6">
        <v>0.22800000000000001</v>
      </c>
      <c r="AO31" s="6" t="s">
        <v>49</v>
      </c>
      <c r="AP31" s="6">
        <v>0</v>
      </c>
      <c r="AQ31" s="6" t="s">
        <v>49</v>
      </c>
      <c r="AR31" s="6">
        <v>0.22800000000000001</v>
      </c>
      <c r="AS31" s="6" t="s">
        <v>49</v>
      </c>
      <c r="AT31" s="6" t="s">
        <v>49</v>
      </c>
      <c r="AU31" s="6" t="s">
        <v>49</v>
      </c>
      <c r="AV31" s="6" t="s">
        <v>49</v>
      </c>
    </row>
    <row r="32" spans="1:48" ht="14.4" customHeight="1">
      <c r="A32" s="6" t="s">
        <v>264</v>
      </c>
      <c r="B32" s="6" t="s">
        <v>38</v>
      </c>
      <c r="C32" s="6" t="s">
        <v>38</v>
      </c>
      <c r="D32" s="6" t="s">
        <v>265</v>
      </c>
      <c r="E32" s="6" t="s">
        <v>190</v>
      </c>
      <c r="F32" s="6">
        <v>2003</v>
      </c>
      <c r="G32" s="6" t="s">
        <v>266</v>
      </c>
      <c r="H32" s="6" t="s">
        <v>42</v>
      </c>
      <c r="I32" s="6" t="s">
        <v>267</v>
      </c>
      <c r="J32" s="6" t="str">
        <f t="shared" si="0"/>
        <v>Lobelia_cardinalis</v>
      </c>
      <c r="K32" s="6" t="s">
        <v>45</v>
      </c>
      <c r="L32" s="6" t="s">
        <v>46</v>
      </c>
      <c r="M32" s="6" t="s">
        <v>12</v>
      </c>
      <c r="N32" s="6" t="s">
        <v>76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268</v>
      </c>
      <c r="T32" s="6" t="s">
        <v>269</v>
      </c>
      <c r="U32" s="6" t="s">
        <v>251</v>
      </c>
      <c r="V32" s="6" t="s">
        <v>296</v>
      </c>
      <c r="W32" s="12">
        <v>41.791666999999997</v>
      </c>
      <c r="X32" s="12">
        <v>-93.426666999999995</v>
      </c>
      <c r="Y32" s="6" t="s">
        <v>141</v>
      </c>
      <c r="Z32" s="6" t="s">
        <v>271</v>
      </c>
      <c r="AA32" s="1" t="s">
        <v>49</v>
      </c>
      <c r="AB32" s="1" t="s">
        <v>49</v>
      </c>
      <c r="AC32" s="1" t="s">
        <v>49</v>
      </c>
      <c r="AD32" s="6" t="s">
        <v>63</v>
      </c>
      <c r="AE32" s="6" t="s">
        <v>63</v>
      </c>
      <c r="AF32" s="1" t="s">
        <v>60</v>
      </c>
      <c r="AG32" s="1" t="s">
        <v>61</v>
      </c>
      <c r="AH32" s="6" t="s">
        <v>49</v>
      </c>
      <c r="AI32" s="6" t="s">
        <v>272</v>
      </c>
      <c r="AJ32" s="6" t="s">
        <v>49</v>
      </c>
      <c r="AK32" s="6">
        <v>99</v>
      </c>
      <c r="AL32" s="6" t="s">
        <v>49</v>
      </c>
      <c r="AM32" s="6">
        <v>19.317399999999999</v>
      </c>
      <c r="AN32" s="6">
        <v>1.9039999999999999</v>
      </c>
      <c r="AO32" s="6" t="s">
        <v>49</v>
      </c>
      <c r="AP32" s="6">
        <v>0</v>
      </c>
      <c r="AQ32" s="6" t="s">
        <v>49</v>
      </c>
      <c r="AR32" s="6">
        <v>1.9039999999999999</v>
      </c>
      <c r="AS32" s="6" t="s">
        <v>49</v>
      </c>
      <c r="AT32" s="6" t="s">
        <v>49</v>
      </c>
      <c r="AU32" s="6" t="s">
        <v>49</v>
      </c>
      <c r="AV32" s="6" t="s">
        <v>49</v>
      </c>
    </row>
    <row r="33" spans="1:48" ht="14.4" customHeight="1">
      <c r="A33" s="6" t="s">
        <v>264</v>
      </c>
      <c r="B33" s="6" t="s">
        <v>38</v>
      </c>
      <c r="C33" s="6" t="s">
        <v>38</v>
      </c>
      <c r="D33" s="6" t="s">
        <v>265</v>
      </c>
      <c r="E33" s="6" t="s">
        <v>190</v>
      </c>
      <c r="F33" s="6">
        <v>2003</v>
      </c>
      <c r="G33" s="6" t="s">
        <v>266</v>
      </c>
      <c r="H33" s="6" t="s">
        <v>42</v>
      </c>
      <c r="I33" s="6" t="s">
        <v>267</v>
      </c>
      <c r="J33" s="6" t="str">
        <f t="shared" si="0"/>
        <v>Lobelia_cardinalis</v>
      </c>
      <c r="K33" s="6" t="s">
        <v>45</v>
      </c>
      <c r="L33" s="6" t="s">
        <v>46</v>
      </c>
      <c r="M33" s="6" t="s">
        <v>12</v>
      </c>
      <c r="N33" s="6" t="s">
        <v>76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268</v>
      </c>
      <c r="T33" s="6" t="s">
        <v>269</v>
      </c>
      <c r="U33" s="6" t="s">
        <v>251</v>
      </c>
      <c r="V33" s="6" t="s">
        <v>296</v>
      </c>
      <c r="W33" s="12">
        <v>41.791666999999997</v>
      </c>
      <c r="X33" s="12">
        <v>-93.426666999999995</v>
      </c>
      <c r="Y33" s="6" t="s">
        <v>141</v>
      </c>
      <c r="Z33" s="6" t="s">
        <v>271</v>
      </c>
      <c r="AA33" s="1" t="s">
        <v>49</v>
      </c>
      <c r="AB33" s="1" t="s">
        <v>49</v>
      </c>
      <c r="AC33" s="1" t="s">
        <v>49</v>
      </c>
      <c r="AD33" s="6" t="s">
        <v>65</v>
      </c>
      <c r="AE33" s="6" t="s">
        <v>65</v>
      </c>
      <c r="AF33" s="1" t="s">
        <v>60</v>
      </c>
      <c r="AG33" s="1" t="s">
        <v>61</v>
      </c>
      <c r="AH33" s="6" t="s">
        <v>49</v>
      </c>
      <c r="AI33" s="6" t="s">
        <v>272</v>
      </c>
      <c r="AJ33" s="6" t="s">
        <v>49</v>
      </c>
      <c r="AK33" s="6">
        <v>99</v>
      </c>
      <c r="AL33" s="6" t="s">
        <v>49</v>
      </c>
      <c r="AM33" s="6">
        <v>2.7033</v>
      </c>
      <c r="AN33" s="6">
        <v>5.3999999999999999E-2</v>
      </c>
      <c r="AO33" s="6" t="s">
        <v>49</v>
      </c>
      <c r="AP33" s="6">
        <v>0</v>
      </c>
      <c r="AQ33" s="6" t="s">
        <v>49</v>
      </c>
      <c r="AR33" s="6">
        <v>5.3999999999999999E-2</v>
      </c>
      <c r="AS33" s="6" t="s">
        <v>49</v>
      </c>
      <c r="AT33" s="6" t="s">
        <v>49</v>
      </c>
      <c r="AU33" s="6" t="s">
        <v>49</v>
      </c>
      <c r="AV33" s="6" t="s">
        <v>49</v>
      </c>
    </row>
    <row r="34" spans="1:48" ht="14.4" customHeight="1">
      <c r="A34" s="6" t="s">
        <v>264</v>
      </c>
      <c r="B34" s="6" t="s">
        <v>38</v>
      </c>
      <c r="C34" s="6" t="s">
        <v>38</v>
      </c>
      <c r="D34" s="6" t="s">
        <v>265</v>
      </c>
      <c r="E34" s="6" t="s">
        <v>190</v>
      </c>
      <c r="F34" s="6">
        <v>2003</v>
      </c>
      <c r="G34" s="6" t="s">
        <v>266</v>
      </c>
      <c r="H34" s="6" t="s">
        <v>42</v>
      </c>
      <c r="I34" s="6" t="s">
        <v>267</v>
      </c>
      <c r="J34" s="6" t="str">
        <f t="shared" si="0"/>
        <v>Lobelia_cardinalis</v>
      </c>
      <c r="K34" s="6" t="s">
        <v>45</v>
      </c>
      <c r="L34" s="6" t="s">
        <v>46</v>
      </c>
      <c r="M34" s="6" t="s">
        <v>12</v>
      </c>
      <c r="N34" s="6" t="s">
        <v>76</v>
      </c>
      <c r="O34" s="6" t="s">
        <v>49</v>
      </c>
      <c r="P34" s="6" t="s">
        <v>49</v>
      </c>
      <c r="Q34" s="6" t="s">
        <v>49</v>
      </c>
      <c r="R34" s="6" t="s">
        <v>49</v>
      </c>
      <c r="S34" s="6" t="s">
        <v>268</v>
      </c>
      <c r="T34" s="6" t="s">
        <v>269</v>
      </c>
      <c r="U34" s="6" t="s">
        <v>251</v>
      </c>
      <c r="V34" s="6" t="s">
        <v>296</v>
      </c>
      <c r="W34" s="12">
        <v>41.791666999999997</v>
      </c>
      <c r="X34" s="12">
        <v>-93.426666999999995</v>
      </c>
      <c r="Y34" s="6" t="s">
        <v>141</v>
      </c>
      <c r="Z34" s="6" t="s">
        <v>271</v>
      </c>
      <c r="AA34" s="1" t="s">
        <v>49</v>
      </c>
      <c r="AB34" s="1" t="s">
        <v>49</v>
      </c>
      <c r="AC34" s="1" t="s">
        <v>49</v>
      </c>
      <c r="AD34" s="6" t="s">
        <v>59</v>
      </c>
      <c r="AE34" s="6" t="s">
        <v>59</v>
      </c>
      <c r="AF34" s="1" t="s">
        <v>60</v>
      </c>
      <c r="AG34" s="1" t="s">
        <v>61</v>
      </c>
      <c r="AH34" s="6" t="s">
        <v>49</v>
      </c>
      <c r="AI34" s="6" t="s">
        <v>272</v>
      </c>
      <c r="AJ34" s="6" t="s">
        <v>49</v>
      </c>
      <c r="AK34" s="6">
        <v>99</v>
      </c>
      <c r="AL34" s="6" t="s">
        <v>49</v>
      </c>
      <c r="AM34" s="6">
        <v>35.069899999999997</v>
      </c>
      <c r="AN34" s="6">
        <v>4.1970000000000001</v>
      </c>
      <c r="AO34" s="6" t="s">
        <v>49</v>
      </c>
      <c r="AP34" s="6">
        <v>0</v>
      </c>
      <c r="AQ34" s="6" t="s">
        <v>49</v>
      </c>
      <c r="AR34" s="6">
        <v>4.1970000000000001</v>
      </c>
      <c r="AS34" s="6" t="s">
        <v>49</v>
      </c>
      <c r="AT34" s="6" t="s">
        <v>49</v>
      </c>
      <c r="AU34" s="6" t="s">
        <v>49</v>
      </c>
      <c r="AV34" s="6" t="s">
        <v>49</v>
      </c>
    </row>
    <row r="35" spans="1:48" ht="14.4" customHeight="1">
      <c r="A35" s="6" t="s">
        <v>264</v>
      </c>
      <c r="B35" s="6" t="s">
        <v>38</v>
      </c>
      <c r="C35" s="6" t="s">
        <v>38</v>
      </c>
      <c r="D35" s="6" t="s">
        <v>265</v>
      </c>
      <c r="E35" s="6" t="s">
        <v>190</v>
      </c>
      <c r="F35" s="6">
        <v>2003</v>
      </c>
      <c r="G35" s="6" t="s">
        <v>266</v>
      </c>
      <c r="H35" s="6" t="s">
        <v>42</v>
      </c>
      <c r="I35" s="6" t="s">
        <v>267</v>
      </c>
      <c r="J35" s="6" t="str">
        <f t="shared" si="0"/>
        <v>Lobelia_cardinalis</v>
      </c>
      <c r="K35" s="6" t="s">
        <v>45</v>
      </c>
      <c r="L35" s="6" t="s">
        <v>46</v>
      </c>
      <c r="M35" s="6" t="s">
        <v>12</v>
      </c>
      <c r="N35" s="6" t="s">
        <v>76</v>
      </c>
      <c r="O35" s="6" t="s">
        <v>49</v>
      </c>
      <c r="P35" s="6" t="s">
        <v>49</v>
      </c>
      <c r="Q35" s="6" t="s">
        <v>49</v>
      </c>
      <c r="R35" s="6" t="s">
        <v>49</v>
      </c>
      <c r="S35" s="6" t="s">
        <v>268</v>
      </c>
      <c r="T35" s="6" t="s">
        <v>269</v>
      </c>
      <c r="U35" s="6" t="s">
        <v>251</v>
      </c>
      <c r="V35" s="6" t="s">
        <v>296</v>
      </c>
      <c r="W35" s="12">
        <v>41.791666999999997</v>
      </c>
      <c r="X35" s="12">
        <v>-93.426666999999995</v>
      </c>
      <c r="Y35" s="6" t="s">
        <v>141</v>
      </c>
      <c r="Z35" s="6" t="s">
        <v>271</v>
      </c>
      <c r="AA35" s="1" t="s">
        <v>49</v>
      </c>
      <c r="AB35" s="1" t="s">
        <v>49</v>
      </c>
      <c r="AC35" s="1" t="s">
        <v>49</v>
      </c>
      <c r="AD35" s="6" t="s">
        <v>273</v>
      </c>
      <c r="AE35" s="6" t="s">
        <v>273</v>
      </c>
      <c r="AF35" s="1" t="s">
        <v>60</v>
      </c>
      <c r="AG35" s="1" t="s">
        <v>61</v>
      </c>
      <c r="AH35" s="6" t="s">
        <v>49</v>
      </c>
      <c r="AI35" s="6" t="s">
        <v>272</v>
      </c>
      <c r="AJ35" s="6" t="s">
        <v>49</v>
      </c>
      <c r="AK35" s="6">
        <v>99</v>
      </c>
      <c r="AL35" s="6" t="s">
        <v>49</v>
      </c>
      <c r="AM35" s="6">
        <v>15.6995</v>
      </c>
      <c r="AN35" s="6">
        <v>1.347</v>
      </c>
      <c r="AO35" s="6" t="s">
        <v>49</v>
      </c>
      <c r="AP35" s="6">
        <v>0</v>
      </c>
      <c r="AQ35" s="6" t="s">
        <v>49</v>
      </c>
      <c r="AR35" s="6">
        <v>1.347</v>
      </c>
      <c r="AS35" s="6" t="s">
        <v>49</v>
      </c>
      <c r="AT35" s="6" t="s">
        <v>49</v>
      </c>
      <c r="AU35" s="6" t="s">
        <v>49</v>
      </c>
      <c r="AV35" s="6" t="s">
        <v>49</v>
      </c>
    </row>
    <row r="36" spans="1:48" ht="14.4" customHeight="1">
      <c r="A36" s="6" t="s">
        <v>264</v>
      </c>
      <c r="B36" s="6" t="s">
        <v>38</v>
      </c>
      <c r="C36" s="6" t="s">
        <v>38</v>
      </c>
      <c r="D36" s="6" t="s">
        <v>265</v>
      </c>
      <c r="E36" s="6" t="s">
        <v>190</v>
      </c>
      <c r="F36" s="6">
        <v>2003</v>
      </c>
      <c r="G36" s="6" t="s">
        <v>266</v>
      </c>
      <c r="H36" s="6" t="s">
        <v>42</v>
      </c>
      <c r="I36" s="6" t="s">
        <v>267</v>
      </c>
      <c r="J36" s="6" t="str">
        <f t="shared" si="0"/>
        <v>Lobelia_cardinalis</v>
      </c>
      <c r="K36" s="6" t="s">
        <v>45</v>
      </c>
      <c r="L36" s="6" t="s">
        <v>46</v>
      </c>
      <c r="M36" s="6" t="s">
        <v>12</v>
      </c>
      <c r="N36" s="6" t="s">
        <v>76</v>
      </c>
      <c r="O36" s="6" t="s">
        <v>49</v>
      </c>
      <c r="P36" s="6" t="s">
        <v>49</v>
      </c>
      <c r="Q36" s="6" t="s">
        <v>49</v>
      </c>
      <c r="R36" s="6" t="s">
        <v>49</v>
      </c>
      <c r="S36" s="6" t="s">
        <v>268</v>
      </c>
      <c r="T36" s="6" t="s">
        <v>269</v>
      </c>
      <c r="U36" s="6" t="s">
        <v>251</v>
      </c>
      <c r="V36" s="6" t="s">
        <v>296</v>
      </c>
      <c r="W36" s="12">
        <v>41.791666999999997</v>
      </c>
      <c r="X36" s="12">
        <v>-93.426666999999995</v>
      </c>
      <c r="Y36" s="6" t="s">
        <v>141</v>
      </c>
      <c r="Z36" s="6" t="s">
        <v>271</v>
      </c>
      <c r="AA36" s="1" t="s">
        <v>49</v>
      </c>
      <c r="AB36" s="1" t="s">
        <v>49</v>
      </c>
      <c r="AC36" s="1" t="s">
        <v>49</v>
      </c>
      <c r="AD36" s="6" t="s">
        <v>52</v>
      </c>
      <c r="AE36" s="6" t="s">
        <v>52</v>
      </c>
      <c r="AF36" s="1" t="s">
        <v>60</v>
      </c>
      <c r="AG36" s="1" t="s">
        <v>53</v>
      </c>
      <c r="AH36" s="6" t="s">
        <v>49</v>
      </c>
      <c r="AI36" s="6" t="s">
        <v>272</v>
      </c>
      <c r="AJ36" s="6" t="s">
        <v>49</v>
      </c>
      <c r="AK36" s="6">
        <v>99</v>
      </c>
      <c r="AL36" s="6" t="s">
        <v>49</v>
      </c>
      <c r="AM36" s="6">
        <v>26.959599999999998</v>
      </c>
      <c r="AN36" s="6">
        <v>296.529</v>
      </c>
      <c r="AO36" s="6" t="s">
        <v>49</v>
      </c>
      <c r="AP36" s="6">
        <v>0</v>
      </c>
      <c r="AQ36" s="6" t="s">
        <v>49</v>
      </c>
      <c r="AR36" s="6">
        <v>296.529</v>
      </c>
      <c r="AS36" s="6" t="s">
        <v>49</v>
      </c>
      <c r="AT36" s="6" t="s">
        <v>49</v>
      </c>
      <c r="AU36" s="6" t="s">
        <v>49</v>
      </c>
      <c r="AV36" s="6" t="s">
        <v>49</v>
      </c>
    </row>
    <row r="37" spans="1:48" ht="14.4" customHeight="1">
      <c r="A37" s="6" t="s">
        <v>264</v>
      </c>
      <c r="B37" s="6" t="s">
        <v>38</v>
      </c>
      <c r="C37" s="6" t="s">
        <v>38</v>
      </c>
      <c r="D37" s="6" t="s">
        <v>265</v>
      </c>
      <c r="E37" s="6" t="s">
        <v>190</v>
      </c>
      <c r="F37" s="6">
        <v>2003</v>
      </c>
      <c r="G37" s="6" t="s">
        <v>266</v>
      </c>
      <c r="H37" s="6" t="s">
        <v>42</v>
      </c>
      <c r="I37" s="6" t="s">
        <v>267</v>
      </c>
      <c r="J37" s="6" t="str">
        <f t="shared" si="0"/>
        <v>Lobelia_cardinalis</v>
      </c>
      <c r="K37" s="6" t="s">
        <v>45</v>
      </c>
      <c r="L37" s="6" t="s">
        <v>46</v>
      </c>
      <c r="M37" s="6" t="s">
        <v>12</v>
      </c>
      <c r="N37" s="6" t="s">
        <v>76</v>
      </c>
      <c r="O37" s="6" t="s">
        <v>49</v>
      </c>
      <c r="P37" s="6" t="s">
        <v>49</v>
      </c>
      <c r="Q37" s="6" t="s">
        <v>49</v>
      </c>
      <c r="R37" s="6" t="s">
        <v>49</v>
      </c>
      <c r="S37" s="6" t="s">
        <v>268</v>
      </c>
      <c r="T37" s="6" t="s">
        <v>269</v>
      </c>
      <c r="U37" s="6" t="s">
        <v>251</v>
      </c>
      <c r="V37" s="6" t="s">
        <v>296</v>
      </c>
      <c r="W37" s="12">
        <v>41.791666999999997</v>
      </c>
      <c r="X37" s="12">
        <v>-93.426666999999995</v>
      </c>
      <c r="Y37" s="6" t="s">
        <v>141</v>
      </c>
      <c r="Z37" s="6" t="s">
        <v>271</v>
      </c>
      <c r="AA37" s="1" t="s">
        <v>49</v>
      </c>
      <c r="AB37" s="1" t="s">
        <v>49</v>
      </c>
      <c r="AC37" s="1" t="s">
        <v>49</v>
      </c>
      <c r="AD37" s="6" t="s">
        <v>68</v>
      </c>
      <c r="AE37" s="6" t="s">
        <v>69</v>
      </c>
      <c r="AF37" s="1" t="s">
        <v>49</v>
      </c>
      <c r="AG37" s="1" t="s">
        <v>49</v>
      </c>
      <c r="AH37" s="6" t="s">
        <v>49</v>
      </c>
      <c r="AI37" s="6" t="s">
        <v>272</v>
      </c>
      <c r="AJ37" s="6" t="s">
        <v>49</v>
      </c>
      <c r="AK37" s="6">
        <v>99</v>
      </c>
      <c r="AL37" s="6" t="s">
        <v>49</v>
      </c>
      <c r="AM37" s="6" t="s">
        <v>49</v>
      </c>
      <c r="AN37" s="6">
        <v>0.61</v>
      </c>
      <c r="AO37" s="6" t="s">
        <v>49</v>
      </c>
      <c r="AP37" s="6">
        <v>0</v>
      </c>
      <c r="AQ37" s="6" t="s">
        <v>49</v>
      </c>
      <c r="AR37" s="6">
        <v>0.61</v>
      </c>
      <c r="AS37" s="6" t="s">
        <v>49</v>
      </c>
      <c r="AT37" s="6" t="s">
        <v>49</v>
      </c>
      <c r="AU37" s="6" t="s">
        <v>49</v>
      </c>
      <c r="AV37" s="6" t="s">
        <v>49</v>
      </c>
    </row>
    <row r="38" spans="1:48" ht="14.4" customHeight="1">
      <c r="A38" s="6" t="s">
        <v>264</v>
      </c>
      <c r="B38" s="6" t="s">
        <v>38</v>
      </c>
      <c r="C38" s="6" t="s">
        <v>38</v>
      </c>
      <c r="D38" s="6" t="s">
        <v>265</v>
      </c>
      <c r="E38" s="6" t="s">
        <v>190</v>
      </c>
      <c r="F38" s="6">
        <v>2003</v>
      </c>
      <c r="G38" s="6" t="s">
        <v>266</v>
      </c>
      <c r="H38" s="6" t="s">
        <v>42</v>
      </c>
      <c r="I38" s="6" t="s">
        <v>267</v>
      </c>
      <c r="J38" s="6" t="str">
        <f t="shared" si="0"/>
        <v>Lobelia_cardinalis</v>
      </c>
      <c r="K38" s="6" t="s">
        <v>45</v>
      </c>
      <c r="L38" s="6" t="s">
        <v>46</v>
      </c>
      <c r="M38" s="6" t="s">
        <v>12</v>
      </c>
      <c r="N38" s="6" t="s">
        <v>76</v>
      </c>
      <c r="O38" s="6" t="s">
        <v>49</v>
      </c>
      <c r="P38" s="6" t="s">
        <v>49</v>
      </c>
      <c r="Q38" s="6" t="s">
        <v>49</v>
      </c>
      <c r="R38" s="6" t="s">
        <v>49</v>
      </c>
      <c r="S38" s="6" t="s">
        <v>268</v>
      </c>
      <c r="T38" s="6" t="s">
        <v>269</v>
      </c>
      <c r="U38" s="6" t="s">
        <v>251</v>
      </c>
      <c r="V38" s="6" t="s">
        <v>296</v>
      </c>
      <c r="W38" s="12">
        <v>41.791666999999997</v>
      </c>
      <c r="X38" s="12">
        <v>-93.426666999999995</v>
      </c>
      <c r="Y38" s="6" t="s">
        <v>141</v>
      </c>
      <c r="Z38" s="6" t="s">
        <v>271</v>
      </c>
      <c r="AA38" s="1" t="s">
        <v>49</v>
      </c>
      <c r="AB38" s="1" t="s">
        <v>49</v>
      </c>
      <c r="AC38" s="1" t="s">
        <v>49</v>
      </c>
      <c r="AD38" s="6" t="s">
        <v>68</v>
      </c>
      <c r="AE38" s="6" t="s">
        <v>63</v>
      </c>
      <c r="AF38" s="1" t="s">
        <v>49</v>
      </c>
      <c r="AG38" s="1" t="s">
        <v>49</v>
      </c>
      <c r="AH38" s="6" t="s">
        <v>49</v>
      </c>
      <c r="AI38" s="6" t="s">
        <v>272</v>
      </c>
      <c r="AJ38" s="6" t="s">
        <v>49</v>
      </c>
      <c r="AK38" s="6">
        <v>99</v>
      </c>
      <c r="AL38" s="6" t="s">
        <v>49</v>
      </c>
      <c r="AM38" s="6" t="s">
        <v>49</v>
      </c>
      <c r="AN38" s="6">
        <v>1.4410000000000001</v>
      </c>
      <c r="AO38" s="6" t="s">
        <v>49</v>
      </c>
      <c r="AP38" s="6">
        <v>0</v>
      </c>
      <c r="AQ38" s="6" t="s">
        <v>49</v>
      </c>
      <c r="AR38" s="6">
        <v>1.4410000000000001</v>
      </c>
      <c r="AS38" s="6" t="s">
        <v>49</v>
      </c>
      <c r="AT38" s="6" t="s">
        <v>49</v>
      </c>
      <c r="AU38" s="6" t="s">
        <v>49</v>
      </c>
      <c r="AV38" s="6" t="s">
        <v>49</v>
      </c>
    </row>
    <row r="39" spans="1:48" ht="14.4" customHeight="1">
      <c r="A39" s="6" t="s">
        <v>264</v>
      </c>
      <c r="B39" s="6" t="s">
        <v>38</v>
      </c>
      <c r="C39" s="6" t="s">
        <v>38</v>
      </c>
      <c r="D39" s="6" t="s">
        <v>265</v>
      </c>
      <c r="E39" s="6" t="s">
        <v>190</v>
      </c>
      <c r="F39" s="6">
        <v>2003</v>
      </c>
      <c r="G39" s="6" t="s">
        <v>266</v>
      </c>
      <c r="H39" s="6" t="s">
        <v>42</v>
      </c>
      <c r="I39" s="6" t="s">
        <v>267</v>
      </c>
      <c r="J39" s="6" t="str">
        <f t="shared" si="0"/>
        <v>Lobelia_cardinalis</v>
      </c>
      <c r="K39" s="6" t="s">
        <v>45</v>
      </c>
      <c r="L39" s="6" t="s">
        <v>46</v>
      </c>
      <c r="M39" s="6" t="s">
        <v>12</v>
      </c>
      <c r="N39" s="6" t="s">
        <v>76</v>
      </c>
      <c r="O39" s="6" t="s">
        <v>49</v>
      </c>
      <c r="P39" s="6" t="s">
        <v>49</v>
      </c>
      <c r="Q39" s="6" t="s">
        <v>49</v>
      </c>
      <c r="R39" s="6" t="s">
        <v>49</v>
      </c>
      <c r="S39" s="6" t="s">
        <v>268</v>
      </c>
      <c r="T39" s="6" t="s">
        <v>269</v>
      </c>
      <c r="U39" s="6" t="s">
        <v>251</v>
      </c>
      <c r="V39" s="6" t="s">
        <v>296</v>
      </c>
      <c r="W39" s="12">
        <v>41.791666999999997</v>
      </c>
      <c r="X39" s="12">
        <v>-93.426666999999995</v>
      </c>
      <c r="Y39" s="6" t="s">
        <v>141</v>
      </c>
      <c r="Z39" s="6" t="s">
        <v>271</v>
      </c>
      <c r="AA39" s="1" t="s">
        <v>49</v>
      </c>
      <c r="AB39" s="1" t="s">
        <v>49</v>
      </c>
      <c r="AC39" s="1" t="s">
        <v>49</v>
      </c>
      <c r="AD39" s="6" t="s">
        <v>68</v>
      </c>
      <c r="AE39" s="6" t="s">
        <v>65</v>
      </c>
      <c r="AF39" s="1" t="s">
        <v>49</v>
      </c>
      <c r="AG39" s="1" t="s">
        <v>49</v>
      </c>
      <c r="AH39" s="6" t="s">
        <v>49</v>
      </c>
      <c r="AI39" s="6" t="s">
        <v>272</v>
      </c>
      <c r="AJ39" s="6" t="s">
        <v>49</v>
      </c>
      <c r="AK39" s="6">
        <v>99</v>
      </c>
      <c r="AL39" s="6" t="s">
        <v>49</v>
      </c>
      <c r="AM39" s="6" t="s">
        <v>49</v>
      </c>
      <c r="AN39" s="6">
        <v>-3.4000000000000002E-2</v>
      </c>
      <c r="AO39" s="6" t="s">
        <v>49</v>
      </c>
      <c r="AP39" s="6">
        <v>0</v>
      </c>
      <c r="AQ39" s="6" t="s">
        <v>49</v>
      </c>
      <c r="AR39" s="6">
        <v>-3.4000000000000002E-2</v>
      </c>
      <c r="AS39" s="6" t="s">
        <v>49</v>
      </c>
      <c r="AT39" s="6" t="s">
        <v>49</v>
      </c>
      <c r="AU39" s="6" t="s">
        <v>49</v>
      </c>
      <c r="AV39" s="6" t="s">
        <v>49</v>
      </c>
    </row>
    <row r="40" spans="1:48" ht="14.4" customHeight="1">
      <c r="A40" s="6" t="s">
        <v>264</v>
      </c>
      <c r="B40" s="6" t="s">
        <v>38</v>
      </c>
      <c r="C40" s="6" t="s">
        <v>38</v>
      </c>
      <c r="D40" s="6" t="s">
        <v>265</v>
      </c>
      <c r="E40" s="6" t="s">
        <v>190</v>
      </c>
      <c r="F40" s="6">
        <v>2003</v>
      </c>
      <c r="G40" s="6" t="s">
        <v>266</v>
      </c>
      <c r="H40" s="6" t="s">
        <v>42</v>
      </c>
      <c r="I40" s="6" t="s">
        <v>267</v>
      </c>
      <c r="J40" s="6" t="str">
        <f t="shared" si="0"/>
        <v>Lobelia_cardinalis</v>
      </c>
      <c r="K40" s="6" t="s">
        <v>45</v>
      </c>
      <c r="L40" s="6" t="s">
        <v>46</v>
      </c>
      <c r="M40" s="6" t="s">
        <v>12</v>
      </c>
      <c r="N40" s="6" t="s">
        <v>76</v>
      </c>
      <c r="O40" s="6" t="s">
        <v>49</v>
      </c>
      <c r="P40" s="6" t="s">
        <v>49</v>
      </c>
      <c r="Q40" s="6" t="s">
        <v>49</v>
      </c>
      <c r="R40" s="6" t="s">
        <v>49</v>
      </c>
      <c r="S40" s="6" t="s">
        <v>268</v>
      </c>
      <c r="T40" s="6" t="s">
        <v>269</v>
      </c>
      <c r="U40" s="6" t="s">
        <v>251</v>
      </c>
      <c r="V40" s="6" t="s">
        <v>296</v>
      </c>
      <c r="W40" s="12">
        <v>41.791666999999997</v>
      </c>
      <c r="X40" s="12">
        <v>-93.426666999999995</v>
      </c>
      <c r="Y40" s="6" t="s">
        <v>141</v>
      </c>
      <c r="Z40" s="6" t="s">
        <v>271</v>
      </c>
      <c r="AA40" s="1" t="s">
        <v>49</v>
      </c>
      <c r="AB40" s="1" t="s">
        <v>49</v>
      </c>
      <c r="AC40" s="1" t="s">
        <v>49</v>
      </c>
      <c r="AD40" s="6" t="s">
        <v>68</v>
      </c>
      <c r="AE40" s="6" t="s">
        <v>59</v>
      </c>
      <c r="AF40" s="1" t="s">
        <v>49</v>
      </c>
      <c r="AG40" s="1" t="s">
        <v>49</v>
      </c>
      <c r="AH40" s="6" t="s">
        <v>49</v>
      </c>
      <c r="AI40" s="6" t="s">
        <v>272</v>
      </c>
      <c r="AJ40" s="6" t="s">
        <v>49</v>
      </c>
      <c r="AK40" s="6">
        <v>99</v>
      </c>
      <c r="AL40" s="6" t="s">
        <v>49</v>
      </c>
      <c r="AM40" s="6" t="s">
        <v>49</v>
      </c>
      <c r="AN40" s="6">
        <v>2.198</v>
      </c>
      <c r="AO40" s="6" t="s">
        <v>49</v>
      </c>
      <c r="AP40" s="6">
        <v>0</v>
      </c>
      <c r="AQ40" s="6" t="s">
        <v>49</v>
      </c>
      <c r="AR40" s="6">
        <v>2.198</v>
      </c>
      <c r="AS40" s="6" t="s">
        <v>49</v>
      </c>
      <c r="AT40" s="6" t="s">
        <v>49</v>
      </c>
      <c r="AU40" s="6" t="s">
        <v>49</v>
      </c>
      <c r="AV40" s="6" t="s">
        <v>49</v>
      </c>
    </row>
    <row r="41" spans="1:48" ht="14.4" customHeight="1">
      <c r="A41" s="6" t="s">
        <v>264</v>
      </c>
      <c r="B41" s="6" t="s">
        <v>38</v>
      </c>
      <c r="C41" s="6" t="s">
        <v>38</v>
      </c>
      <c r="D41" s="6" t="s">
        <v>265</v>
      </c>
      <c r="E41" s="6" t="s">
        <v>190</v>
      </c>
      <c r="F41" s="6">
        <v>2003</v>
      </c>
      <c r="G41" s="6" t="s">
        <v>266</v>
      </c>
      <c r="H41" s="6" t="s">
        <v>42</v>
      </c>
      <c r="I41" s="6" t="s">
        <v>267</v>
      </c>
      <c r="J41" s="6" t="str">
        <f t="shared" si="0"/>
        <v>Lobelia_cardinalis</v>
      </c>
      <c r="K41" s="6" t="s">
        <v>45</v>
      </c>
      <c r="L41" s="6" t="s">
        <v>46</v>
      </c>
      <c r="M41" s="6" t="s">
        <v>12</v>
      </c>
      <c r="N41" s="6" t="s">
        <v>76</v>
      </c>
      <c r="O41" s="6" t="s">
        <v>49</v>
      </c>
      <c r="P41" s="6" t="s">
        <v>49</v>
      </c>
      <c r="Q41" s="6" t="s">
        <v>49</v>
      </c>
      <c r="R41" s="6" t="s">
        <v>49</v>
      </c>
      <c r="S41" s="6" t="s">
        <v>268</v>
      </c>
      <c r="T41" s="6" t="s">
        <v>269</v>
      </c>
      <c r="U41" s="6" t="s">
        <v>251</v>
      </c>
      <c r="V41" s="6" t="s">
        <v>296</v>
      </c>
      <c r="W41" s="12">
        <v>41.791666999999997</v>
      </c>
      <c r="X41" s="12">
        <v>-93.426666999999995</v>
      </c>
      <c r="Y41" s="6" t="s">
        <v>141</v>
      </c>
      <c r="Z41" s="6" t="s">
        <v>271</v>
      </c>
      <c r="AA41" s="1" t="s">
        <v>49</v>
      </c>
      <c r="AB41" s="1" t="s">
        <v>49</v>
      </c>
      <c r="AC41" s="1" t="s">
        <v>49</v>
      </c>
      <c r="AD41" s="6" t="s">
        <v>68</v>
      </c>
      <c r="AE41" s="6" t="s">
        <v>273</v>
      </c>
      <c r="AF41" s="1" t="s">
        <v>49</v>
      </c>
      <c r="AG41" s="1" t="s">
        <v>49</v>
      </c>
      <c r="AH41" s="6" t="s">
        <v>49</v>
      </c>
      <c r="AI41" s="6" t="s">
        <v>272</v>
      </c>
      <c r="AJ41" s="6" t="s">
        <v>49</v>
      </c>
      <c r="AK41" s="6">
        <v>99</v>
      </c>
      <c r="AL41" s="6" t="s">
        <v>49</v>
      </c>
      <c r="AM41" s="6" t="s">
        <v>49</v>
      </c>
      <c r="AN41" s="6">
        <v>0.67100000000000004</v>
      </c>
      <c r="AO41" s="6" t="s">
        <v>49</v>
      </c>
      <c r="AP41" s="6">
        <v>0</v>
      </c>
      <c r="AQ41" s="6" t="s">
        <v>49</v>
      </c>
      <c r="AR41" s="6">
        <v>0.67100000000000004</v>
      </c>
      <c r="AS41" s="6" t="s">
        <v>49</v>
      </c>
      <c r="AT41" s="6" t="s">
        <v>49</v>
      </c>
      <c r="AU41" s="6" t="s">
        <v>49</v>
      </c>
      <c r="AV41" s="6" t="s">
        <v>49</v>
      </c>
    </row>
    <row r="42" spans="1:48" ht="14.4" customHeight="1">
      <c r="A42" s="6" t="s">
        <v>264</v>
      </c>
      <c r="B42" s="6" t="s">
        <v>38</v>
      </c>
      <c r="C42" s="6" t="s">
        <v>38</v>
      </c>
      <c r="D42" s="6" t="s">
        <v>265</v>
      </c>
      <c r="E42" s="6" t="s">
        <v>190</v>
      </c>
      <c r="F42" s="6">
        <v>2003</v>
      </c>
      <c r="G42" s="6" t="s">
        <v>266</v>
      </c>
      <c r="H42" s="6" t="s">
        <v>42</v>
      </c>
      <c r="I42" s="6" t="s">
        <v>267</v>
      </c>
      <c r="J42" s="6" t="str">
        <f t="shared" si="0"/>
        <v>Lobelia_cardinalis</v>
      </c>
      <c r="K42" s="6" t="s">
        <v>45</v>
      </c>
      <c r="L42" s="6" t="s">
        <v>46</v>
      </c>
      <c r="M42" s="6" t="s">
        <v>12</v>
      </c>
      <c r="N42" s="6" t="s">
        <v>76</v>
      </c>
      <c r="O42" s="6" t="s">
        <v>49</v>
      </c>
      <c r="P42" s="6" t="s">
        <v>49</v>
      </c>
      <c r="Q42" s="6" t="s">
        <v>49</v>
      </c>
      <c r="R42" s="6" t="s">
        <v>49</v>
      </c>
      <c r="S42" s="6" t="s">
        <v>268</v>
      </c>
      <c r="T42" s="6" t="s">
        <v>269</v>
      </c>
      <c r="U42" s="6" t="s">
        <v>251</v>
      </c>
      <c r="V42" s="6" t="s">
        <v>296</v>
      </c>
      <c r="W42" s="12">
        <v>41.791666999999997</v>
      </c>
      <c r="X42" s="12">
        <v>-93.426666999999995</v>
      </c>
      <c r="Y42" s="6" t="s">
        <v>141</v>
      </c>
      <c r="Z42" s="6" t="s">
        <v>271</v>
      </c>
      <c r="AA42" s="1" t="s">
        <v>49</v>
      </c>
      <c r="AB42" s="1" t="s">
        <v>49</v>
      </c>
      <c r="AC42" s="1" t="s">
        <v>49</v>
      </c>
      <c r="AD42" s="6" t="s">
        <v>68</v>
      </c>
      <c r="AE42" s="6" t="s">
        <v>52</v>
      </c>
      <c r="AF42" s="1" t="s">
        <v>49</v>
      </c>
      <c r="AG42" s="1" t="s">
        <v>49</v>
      </c>
      <c r="AH42" s="6" t="s">
        <v>49</v>
      </c>
      <c r="AI42" s="6" t="s">
        <v>272</v>
      </c>
      <c r="AJ42" s="6" t="s">
        <v>49</v>
      </c>
      <c r="AK42" s="6">
        <v>99</v>
      </c>
      <c r="AL42" s="6" t="s">
        <v>49</v>
      </c>
      <c r="AM42" s="6" t="s">
        <v>49</v>
      </c>
      <c r="AN42" s="6">
        <v>-3.0950000000000002</v>
      </c>
      <c r="AO42" s="6" t="s">
        <v>49</v>
      </c>
      <c r="AP42" s="6">
        <v>0</v>
      </c>
      <c r="AQ42" s="6" t="s">
        <v>49</v>
      </c>
      <c r="AR42" s="6">
        <v>-3.0950000000000002</v>
      </c>
      <c r="AS42" s="6" t="s">
        <v>49</v>
      </c>
      <c r="AT42" s="6" t="s">
        <v>49</v>
      </c>
      <c r="AU42" s="6" t="s">
        <v>49</v>
      </c>
      <c r="AV42" s="6" t="s">
        <v>49</v>
      </c>
    </row>
    <row r="43" spans="1:48" ht="14.4" customHeight="1">
      <c r="A43" s="6" t="s">
        <v>264</v>
      </c>
      <c r="B43" s="6" t="s">
        <v>38</v>
      </c>
      <c r="C43" s="6" t="s">
        <v>38</v>
      </c>
      <c r="D43" s="6" t="s">
        <v>265</v>
      </c>
      <c r="E43" s="6" t="s">
        <v>190</v>
      </c>
      <c r="F43" s="6">
        <v>2003</v>
      </c>
      <c r="G43" s="6" t="s">
        <v>266</v>
      </c>
      <c r="H43" s="6" t="s">
        <v>42</v>
      </c>
      <c r="I43" s="6" t="s">
        <v>267</v>
      </c>
      <c r="J43" s="6" t="str">
        <f t="shared" si="0"/>
        <v>Lobelia_cardinalis</v>
      </c>
      <c r="K43" s="6" t="s">
        <v>45</v>
      </c>
      <c r="L43" s="6" t="s">
        <v>46</v>
      </c>
      <c r="M43" s="6" t="s">
        <v>12</v>
      </c>
      <c r="N43" s="6" t="s">
        <v>76</v>
      </c>
      <c r="O43" s="6" t="s">
        <v>49</v>
      </c>
      <c r="P43" s="6" t="s">
        <v>49</v>
      </c>
      <c r="Q43" s="6" t="s">
        <v>49</v>
      </c>
      <c r="R43" s="6" t="s">
        <v>49</v>
      </c>
      <c r="S43" s="6" t="s">
        <v>268</v>
      </c>
      <c r="T43" s="6" t="s">
        <v>269</v>
      </c>
      <c r="U43" s="6" t="s">
        <v>251</v>
      </c>
      <c r="V43" s="6" t="s">
        <v>296</v>
      </c>
      <c r="W43" s="12">
        <v>41.791666999999997</v>
      </c>
      <c r="X43" s="12">
        <v>-93.426666999999995</v>
      </c>
      <c r="Y43" s="6" t="s">
        <v>141</v>
      </c>
      <c r="Z43" s="6" t="s">
        <v>271</v>
      </c>
      <c r="AA43" s="1" t="s">
        <v>49</v>
      </c>
      <c r="AB43" s="1" t="s">
        <v>49</v>
      </c>
      <c r="AC43" s="1" t="s">
        <v>49</v>
      </c>
      <c r="AD43" s="6" t="s">
        <v>69</v>
      </c>
      <c r="AE43" s="6" t="s">
        <v>63</v>
      </c>
      <c r="AF43" s="1" t="s">
        <v>49</v>
      </c>
      <c r="AG43" s="1" t="s">
        <v>49</v>
      </c>
      <c r="AH43" s="6" t="s">
        <v>49</v>
      </c>
      <c r="AI43" s="6" t="s">
        <v>272</v>
      </c>
      <c r="AJ43" s="6" t="s">
        <v>49</v>
      </c>
      <c r="AK43" s="6">
        <v>99</v>
      </c>
      <c r="AL43" s="6" t="s">
        <v>49</v>
      </c>
      <c r="AM43" s="6" t="s">
        <v>49</v>
      </c>
      <c r="AN43" s="6">
        <v>0.314</v>
      </c>
      <c r="AO43" s="6" t="s">
        <v>49</v>
      </c>
      <c r="AP43" s="6">
        <v>0</v>
      </c>
      <c r="AQ43" s="6" t="s">
        <v>49</v>
      </c>
      <c r="AR43" s="6">
        <v>0.314</v>
      </c>
      <c r="AS43" s="6" t="s">
        <v>49</v>
      </c>
      <c r="AT43" s="6" t="s">
        <v>49</v>
      </c>
      <c r="AU43" s="6" t="s">
        <v>49</v>
      </c>
      <c r="AV43" s="6" t="s">
        <v>49</v>
      </c>
    </row>
    <row r="44" spans="1:48" ht="14.4" customHeight="1">
      <c r="A44" s="6" t="s">
        <v>264</v>
      </c>
      <c r="B44" s="6" t="s">
        <v>38</v>
      </c>
      <c r="C44" s="6" t="s">
        <v>38</v>
      </c>
      <c r="D44" s="6" t="s">
        <v>265</v>
      </c>
      <c r="E44" s="6" t="s">
        <v>190</v>
      </c>
      <c r="F44" s="6">
        <v>2003</v>
      </c>
      <c r="G44" s="6" t="s">
        <v>266</v>
      </c>
      <c r="H44" s="6" t="s">
        <v>42</v>
      </c>
      <c r="I44" s="6" t="s">
        <v>267</v>
      </c>
      <c r="J44" s="6" t="str">
        <f t="shared" si="0"/>
        <v>Lobelia_cardinalis</v>
      </c>
      <c r="K44" s="6" t="s">
        <v>45</v>
      </c>
      <c r="L44" s="6" t="s">
        <v>46</v>
      </c>
      <c r="M44" s="6" t="s">
        <v>12</v>
      </c>
      <c r="N44" s="6" t="s">
        <v>76</v>
      </c>
      <c r="O44" s="6" t="s">
        <v>49</v>
      </c>
      <c r="P44" s="6" t="s">
        <v>49</v>
      </c>
      <c r="Q44" s="6" t="s">
        <v>49</v>
      </c>
      <c r="R44" s="6" t="s">
        <v>49</v>
      </c>
      <c r="S44" s="6" t="s">
        <v>268</v>
      </c>
      <c r="T44" s="6" t="s">
        <v>269</v>
      </c>
      <c r="U44" s="6" t="s">
        <v>251</v>
      </c>
      <c r="V44" s="6" t="s">
        <v>296</v>
      </c>
      <c r="W44" s="12">
        <v>41.791666999999997</v>
      </c>
      <c r="X44" s="12">
        <v>-93.426666999999995</v>
      </c>
      <c r="Y44" s="6" t="s">
        <v>141</v>
      </c>
      <c r="Z44" s="6" t="s">
        <v>271</v>
      </c>
      <c r="AA44" s="1" t="s">
        <v>49</v>
      </c>
      <c r="AB44" s="1" t="s">
        <v>49</v>
      </c>
      <c r="AC44" s="1" t="s">
        <v>49</v>
      </c>
      <c r="AD44" s="6" t="s">
        <v>69</v>
      </c>
      <c r="AE44" s="6" t="s">
        <v>65</v>
      </c>
      <c r="AF44" s="1" t="s">
        <v>49</v>
      </c>
      <c r="AG44" s="1" t="s">
        <v>49</v>
      </c>
      <c r="AH44" s="6" t="s">
        <v>49</v>
      </c>
      <c r="AI44" s="6" t="s">
        <v>272</v>
      </c>
      <c r="AJ44" s="6" t="s">
        <v>49</v>
      </c>
      <c r="AK44" s="6">
        <v>99</v>
      </c>
      <c r="AL44" s="6" t="s">
        <v>49</v>
      </c>
      <c r="AM44" s="6" t="s">
        <v>49</v>
      </c>
      <c r="AN44" s="6">
        <v>-1.0999999999999999E-2</v>
      </c>
      <c r="AO44" s="6" t="s">
        <v>49</v>
      </c>
      <c r="AP44" s="6">
        <v>0</v>
      </c>
      <c r="AQ44" s="6" t="s">
        <v>49</v>
      </c>
      <c r="AR44" s="6">
        <v>-1.0999999999999999E-2</v>
      </c>
      <c r="AS44" s="6" t="s">
        <v>49</v>
      </c>
      <c r="AT44" s="6" t="s">
        <v>49</v>
      </c>
      <c r="AU44" s="6" t="s">
        <v>49</v>
      </c>
      <c r="AV44" s="6" t="s">
        <v>49</v>
      </c>
    </row>
    <row r="45" spans="1:48" ht="14.4" customHeight="1">
      <c r="A45" s="6" t="s">
        <v>264</v>
      </c>
      <c r="B45" s="6" t="s">
        <v>38</v>
      </c>
      <c r="C45" s="6" t="s">
        <v>38</v>
      </c>
      <c r="D45" s="6" t="s">
        <v>265</v>
      </c>
      <c r="E45" s="6" t="s">
        <v>190</v>
      </c>
      <c r="F45" s="6">
        <v>2003</v>
      </c>
      <c r="G45" s="6" t="s">
        <v>266</v>
      </c>
      <c r="H45" s="6" t="s">
        <v>42</v>
      </c>
      <c r="I45" s="6" t="s">
        <v>267</v>
      </c>
      <c r="J45" s="6" t="str">
        <f t="shared" si="0"/>
        <v>Lobelia_cardinalis</v>
      </c>
      <c r="K45" s="6" t="s">
        <v>45</v>
      </c>
      <c r="L45" s="6" t="s">
        <v>46</v>
      </c>
      <c r="M45" s="6" t="s">
        <v>12</v>
      </c>
      <c r="N45" s="6" t="s">
        <v>76</v>
      </c>
      <c r="O45" s="6" t="s">
        <v>49</v>
      </c>
      <c r="P45" s="6" t="s">
        <v>49</v>
      </c>
      <c r="Q45" s="6" t="s">
        <v>49</v>
      </c>
      <c r="R45" s="6" t="s">
        <v>49</v>
      </c>
      <c r="S45" s="6" t="s">
        <v>268</v>
      </c>
      <c r="T45" s="6" t="s">
        <v>269</v>
      </c>
      <c r="U45" s="6" t="s">
        <v>251</v>
      </c>
      <c r="V45" s="6" t="s">
        <v>296</v>
      </c>
      <c r="W45" s="12">
        <v>41.791666999999997</v>
      </c>
      <c r="X45" s="12">
        <v>-93.426666999999995</v>
      </c>
      <c r="Y45" s="6" t="s">
        <v>141</v>
      </c>
      <c r="Z45" s="6" t="s">
        <v>271</v>
      </c>
      <c r="AA45" s="1" t="s">
        <v>49</v>
      </c>
      <c r="AB45" s="1" t="s">
        <v>49</v>
      </c>
      <c r="AC45" s="1" t="s">
        <v>49</v>
      </c>
      <c r="AD45" s="6" t="s">
        <v>69</v>
      </c>
      <c r="AE45" s="6" t="s">
        <v>59</v>
      </c>
      <c r="AF45" s="1" t="s">
        <v>49</v>
      </c>
      <c r="AG45" s="1" t="s">
        <v>49</v>
      </c>
      <c r="AH45" s="6" t="s">
        <v>49</v>
      </c>
      <c r="AI45" s="6" t="s">
        <v>272</v>
      </c>
      <c r="AJ45" s="6" t="s">
        <v>49</v>
      </c>
      <c r="AK45" s="6">
        <v>99</v>
      </c>
      <c r="AL45" s="6" t="s">
        <v>49</v>
      </c>
      <c r="AM45" s="6" t="s">
        <v>49</v>
      </c>
      <c r="AN45" s="6">
        <v>0.45</v>
      </c>
      <c r="AO45" s="6" t="s">
        <v>49</v>
      </c>
      <c r="AP45" s="6">
        <v>0</v>
      </c>
      <c r="AQ45" s="6" t="s">
        <v>49</v>
      </c>
      <c r="AR45" s="6">
        <v>0.45</v>
      </c>
      <c r="AS45" s="6" t="s">
        <v>49</v>
      </c>
      <c r="AT45" s="6" t="s">
        <v>49</v>
      </c>
      <c r="AU45" s="6" t="s">
        <v>49</v>
      </c>
      <c r="AV45" s="6" t="s">
        <v>49</v>
      </c>
    </row>
    <row r="46" spans="1:48" ht="14.4" customHeight="1">
      <c r="A46" s="6" t="s">
        <v>264</v>
      </c>
      <c r="B46" s="6" t="s">
        <v>38</v>
      </c>
      <c r="C46" s="6" t="s">
        <v>38</v>
      </c>
      <c r="D46" s="6" t="s">
        <v>265</v>
      </c>
      <c r="E46" s="6" t="s">
        <v>190</v>
      </c>
      <c r="F46" s="6">
        <v>2003</v>
      </c>
      <c r="G46" s="6" t="s">
        <v>266</v>
      </c>
      <c r="H46" s="6" t="s">
        <v>42</v>
      </c>
      <c r="I46" s="6" t="s">
        <v>267</v>
      </c>
      <c r="J46" s="6" t="str">
        <f t="shared" si="0"/>
        <v>Lobelia_cardinalis</v>
      </c>
      <c r="K46" s="6" t="s">
        <v>45</v>
      </c>
      <c r="L46" s="6" t="s">
        <v>46</v>
      </c>
      <c r="M46" s="6" t="s">
        <v>12</v>
      </c>
      <c r="N46" s="6" t="s">
        <v>76</v>
      </c>
      <c r="O46" s="6" t="s">
        <v>49</v>
      </c>
      <c r="P46" s="6" t="s">
        <v>49</v>
      </c>
      <c r="Q46" s="6" t="s">
        <v>49</v>
      </c>
      <c r="R46" s="6" t="s">
        <v>49</v>
      </c>
      <c r="S46" s="6" t="s">
        <v>268</v>
      </c>
      <c r="T46" s="6" t="s">
        <v>269</v>
      </c>
      <c r="U46" s="6" t="s">
        <v>251</v>
      </c>
      <c r="V46" s="6" t="s">
        <v>296</v>
      </c>
      <c r="W46" s="12">
        <v>41.791666999999997</v>
      </c>
      <c r="X46" s="12">
        <v>-93.426666999999995</v>
      </c>
      <c r="Y46" s="6" t="s">
        <v>141</v>
      </c>
      <c r="Z46" s="6" t="s">
        <v>271</v>
      </c>
      <c r="AA46" s="1" t="s">
        <v>49</v>
      </c>
      <c r="AB46" s="1" t="s">
        <v>49</v>
      </c>
      <c r="AC46" s="1" t="s">
        <v>49</v>
      </c>
      <c r="AD46" s="6" t="s">
        <v>69</v>
      </c>
      <c r="AE46" s="6" t="s">
        <v>273</v>
      </c>
      <c r="AF46" s="1" t="s">
        <v>49</v>
      </c>
      <c r="AG46" s="1" t="s">
        <v>49</v>
      </c>
      <c r="AH46" s="6" t="s">
        <v>49</v>
      </c>
      <c r="AI46" s="6" t="s">
        <v>272</v>
      </c>
      <c r="AJ46" s="6" t="s">
        <v>49</v>
      </c>
      <c r="AK46" s="6">
        <v>99</v>
      </c>
      <c r="AL46" s="6" t="s">
        <v>49</v>
      </c>
      <c r="AM46" s="6" t="s">
        <v>49</v>
      </c>
      <c r="AN46" s="6">
        <v>0.114</v>
      </c>
      <c r="AO46" s="6" t="s">
        <v>49</v>
      </c>
      <c r="AP46" s="6">
        <v>0</v>
      </c>
      <c r="AQ46" s="6" t="s">
        <v>49</v>
      </c>
      <c r="AR46" s="6">
        <v>0.114</v>
      </c>
      <c r="AS46" s="6" t="s">
        <v>49</v>
      </c>
      <c r="AT46" s="6" t="s">
        <v>49</v>
      </c>
      <c r="AU46" s="6" t="s">
        <v>49</v>
      </c>
      <c r="AV46" s="6" t="s">
        <v>49</v>
      </c>
    </row>
    <row r="47" spans="1:48" ht="14.4" customHeight="1">
      <c r="A47" s="6" t="s">
        <v>264</v>
      </c>
      <c r="B47" s="6" t="s">
        <v>38</v>
      </c>
      <c r="C47" s="6" t="s">
        <v>38</v>
      </c>
      <c r="D47" s="6" t="s">
        <v>265</v>
      </c>
      <c r="E47" s="6" t="s">
        <v>190</v>
      </c>
      <c r="F47" s="6">
        <v>2003</v>
      </c>
      <c r="G47" s="6" t="s">
        <v>266</v>
      </c>
      <c r="H47" s="6" t="s">
        <v>42</v>
      </c>
      <c r="I47" s="6" t="s">
        <v>267</v>
      </c>
      <c r="J47" s="6" t="str">
        <f t="shared" si="0"/>
        <v>Lobelia_cardinalis</v>
      </c>
      <c r="K47" s="6" t="s">
        <v>45</v>
      </c>
      <c r="L47" s="6" t="s">
        <v>46</v>
      </c>
      <c r="M47" s="6" t="s">
        <v>12</v>
      </c>
      <c r="N47" s="6" t="s">
        <v>76</v>
      </c>
      <c r="O47" s="6" t="s">
        <v>49</v>
      </c>
      <c r="P47" s="6" t="s">
        <v>49</v>
      </c>
      <c r="Q47" s="6" t="s">
        <v>49</v>
      </c>
      <c r="R47" s="6" t="s">
        <v>49</v>
      </c>
      <c r="S47" s="6" t="s">
        <v>268</v>
      </c>
      <c r="T47" s="6" t="s">
        <v>269</v>
      </c>
      <c r="U47" s="6" t="s">
        <v>251</v>
      </c>
      <c r="V47" s="6" t="s">
        <v>296</v>
      </c>
      <c r="W47" s="12">
        <v>41.791666999999997</v>
      </c>
      <c r="X47" s="12">
        <v>-93.426666999999995</v>
      </c>
      <c r="Y47" s="6" t="s">
        <v>141</v>
      </c>
      <c r="Z47" s="6" t="s">
        <v>271</v>
      </c>
      <c r="AA47" s="1" t="s">
        <v>49</v>
      </c>
      <c r="AB47" s="1" t="s">
        <v>49</v>
      </c>
      <c r="AC47" s="1" t="s">
        <v>49</v>
      </c>
      <c r="AD47" s="6" t="s">
        <v>69</v>
      </c>
      <c r="AE47" s="6" t="s">
        <v>52</v>
      </c>
      <c r="AF47" s="1" t="s">
        <v>49</v>
      </c>
      <c r="AG47" s="1" t="s">
        <v>49</v>
      </c>
      <c r="AH47" s="6" t="s">
        <v>49</v>
      </c>
      <c r="AI47" s="6" t="s">
        <v>272</v>
      </c>
      <c r="AJ47" s="6" t="s">
        <v>49</v>
      </c>
      <c r="AK47" s="6">
        <v>99</v>
      </c>
      <c r="AL47" s="6" t="s">
        <v>49</v>
      </c>
      <c r="AM47" s="6" t="s">
        <v>49</v>
      </c>
      <c r="AN47" s="6">
        <v>-0.85299999999999998</v>
      </c>
      <c r="AO47" s="6" t="s">
        <v>49</v>
      </c>
      <c r="AP47" s="6">
        <v>0</v>
      </c>
      <c r="AQ47" s="6" t="s">
        <v>49</v>
      </c>
      <c r="AR47" s="6">
        <v>-0.85299999999999998</v>
      </c>
      <c r="AS47" s="6" t="s">
        <v>49</v>
      </c>
      <c r="AT47" s="6" t="s">
        <v>49</v>
      </c>
      <c r="AU47" s="6" t="s">
        <v>49</v>
      </c>
      <c r="AV47" s="6" t="s">
        <v>49</v>
      </c>
    </row>
    <row r="48" spans="1:48" ht="14.4" customHeight="1">
      <c r="A48" s="6" t="s">
        <v>264</v>
      </c>
      <c r="B48" s="6" t="s">
        <v>38</v>
      </c>
      <c r="C48" s="6" t="s">
        <v>38</v>
      </c>
      <c r="D48" s="6" t="s">
        <v>265</v>
      </c>
      <c r="E48" s="6" t="s">
        <v>190</v>
      </c>
      <c r="F48" s="6">
        <v>2003</v>
      </c>
      <c r="G48" s="6" t="s">
        <v>266</v>
      </c>
      <c r="H48" s="6" t="s">
        <v>42</v>
      </c>
      <c r="I48" s="6" t="s">
        <v>267</v>
      </c>
      <c r="J48" s="6" t="str">
        <f t="shared" si="0"/>
        <v>Lobelia_cardinalis</v>
      </c>
      <c r="K48" s="6" t="s">
        <v>45</v>
      </c>
      <c r="L48" s="6" t="s">
        <v>46</v>
      </c>
      <c r="M48" s="6" t="s">
        <v>12</v>
      </c>
      <c r="N48" s="6" t="s">
        <v>76</v>
      </c>
      <c r="O48" s="6" t="s">
        <v>49</v>
      </c>
      <c r="P48" s="6" t="s">
        <v>49</v>
      </c>
      <c r="Q48" s="6" t="s">
        <v>49</v>
      </c>
      <c r="R48" s="6" t="s">
        <v>49</v>
      </c>
      <c r="S48" s="6" t="s">
        <v>268</v>
      </c>
      <c r="T48" s="6" t="s">
        <v>269</v>
      </c>
      <c r="U48" s="6" t="s">
        <v>251</v>
      </c>
      <c r="V48" s="6" t="s">
        <v>296</v>
      </c>
      <c r="W48" s="12">
        <v>41.791666999999997</v>
      </c>
      <c r="X48" s="12">
        <v>-93.426666999999995</v>
      </c>
      <c r="Y48" s="6" t="s">
        <v>141</v>
      </c>
      <c r="Z48" s="6" t="s">
        <v>271</v>
      </c>
      <c r="AA48" s="1" t="s">
        <v>49</v>
      </c>
      <c r="AB48" s="1" t="s">
        <v>49</v>
      </c>
      <c r="AC48" s="1" t="s">
        <v>49</v>
      </c>
      <c r="AD48" s="6" t="s">
        <v>63</v>
      </c>
      <c r="AE48" s="6" t="s">
        <v>65</v>
      </c>
      <c r="AF48" s="1" t="s">
        <v>49</v>
      </c>
      <c r="AG48" s="1" t="s">
        <v>49</v>
      </c>
      <c r="AH48" s="6" t="s">
        <v>49</v>
      </c>
      <c r="AI48" s="6" t="s">
        <v>272</v>
      </c>
      <c r="AJ48" s="6" t="s">
        <v>49</v>
      </c>
      <c r="AK48" s="6">
        <v>99</v>
      </c>
      <c r="AL48" s="6" t="s">
        <v>49</v>
      </c>
      <c r="AM48" s="6" t="s">
        <v>49</v>
      </c>
      <c r="AN48" s="6">
        <v>-6.2E-2</v>
      </c>
      <c r="AO48" s="6" t="s">
        <v>49</v>
      </c>
      <c r="AP48" s="6">
        <v>0</v>
      </c>
      <c r="AQ48" s="6" t="s">
        <v>49</v>
      </c>
      <c r="AR48" s="6">
        <v>-6.2E-2</v>
      </c>
      <c r="AS48" s="6" t="s">
        <v>49</v>
      </c>
      <c r="AT48" s="6" t="s">
        <v>49</v>
      </c>
      <c r="AU48" s="6" t="s">
        <v>49</v>
      </c>
      <c r="AV48" s="6" t="s">
        <v>49</v>
      </c>
    </row>
    <row r="49" spans="1:48" ht="14.4" customHeight="1">
      <c r="A49" s="6" t="s">
        <v>264</v>
      </c>
      <c r="B49" s="6" t="s">
        <v>38</v>
      </c>
      <c r="C49" s="6" t="s">
        <v>38</v>
      </c>
      <c r="D49" s="6" t="s">
        <v>265</v>
      </c>
      <c r="E49" s="6" t="s">
        <v>190</v>
      </c>
      <c r="F49" s="6">
        <v>2003</v>
      </c>
      <c r="G49" s="6" t="s">
        <v>266</v>
      </c>
      <c r="H49" s="6" t="s">
        <v>42</v>
      </c>
      <c r="I49" s="6" t="s">
        <v>267</v>
      </c>
      <c r="J49" s="6" t="str">
        <f t="shared" si="0"/>
        <v>Lobelia_cardinalis</v>
      </c>
      <c r="K49" s="6" t="s">
        <v>45</v>
      </c>
      <c r="L49" s="6" t="s">
        <v>46</v>
      </c>
      <c r="M49" s="6" t="s">
        <v>12</v>
      </c>
      <c r="N49" s="6" t="s">
        <v>76</v>
      </c>
      <c r="O49" s="6" t="s">
        <v>49</v>
      </c>
      <c r="P49" s="6" t="s">
        <v>49</v>
      </c>
      <c r="Q49" s="6" t="s">
        <v>49</v>
      </c>
      <c r="R49" s="6" t="s">
        <v>49</v>
      </c>
      <c r="S49" s="6" t="s">
        <v>268</v>
      </c>
      <c r="T49" s="6" t="s">
        <v>269</v>
      </c>
      <c r="U49" s="6" t="s">
        <v>251</v>
      </c>
      <c r="V49" s="6" t="s">
        <v>296</v>
      </c>
      <c r="W49" s="12">
        <v>41.791666999999997</v>
      </c>
      <c r="X49" s="12">
        <v>-93.426666999999995</v>
      </c>
      <c r="Y49" s="6" t="s">
        <v>141</v>
      </c>
      <c r="Z49" s="6" t="s">
        <v>271</v>
      </c>
      <c r="AA49" s="1" t="s">
        <v>49</v>
      </c>
      <c r="AB49" s="1" t="s">
        <v>49</v>
      </c>
      <c r="AC49" s="1" t="s">
        <v>49</v>
      </c>
      <c r="AD49" s="6" t="s">
        <v>63</v>
      </c>
      <c r="AE49" s="6" t="s">
        <v>59</v>
      </c>
      <c r="AF49" s="1" t="s">
        <v>49</v>
      </c>
      <c r="AG49" s="1" t="s">
        <v>49</v>
      </c>
      <c r="AH49" s="6" t="s">
        <v>49</v>
      </c>
      <c r="AI49" s="6" t="s">
        <v>272</v>
      </c>
      <c r="AJ49" s="6" t="s">
        <v>49</v>
      </c>
      <c r="AK49" s="6">
        <v>99</v>
      </c>
      <c r="AL49" s="6" t="s">
        <v>49</v>
      </c>
      <c r="AM49" s="6" t="s">
        <v>49</v>
      </c>
      <c r="AN49" s="6">
        <v>2.3620000000000001</v>
      </c>
      <c r="AO49" s="6" t="s">
        <v>49</v>
      </c>
      <c r="AP49" s="6">
        <v>0</v>
      </c>
      <c r="AQ49" s="6" t="s">
        <v>49</v>
      </c>
      <c r="AR49" s="6">
        <v>2.3620000000000001</v>
      </c>
      <c r="AS49" s="6" t="s">
        <v>49</v>
      </c>
      <c r="AT49" s="6" t="s">
        <v>49</v>
      </c>
      <c r="AU49" s="6" t="s">
        <v>49</v>
      </c>
      <c r="AV49" s="6" t="s">
        <v>49</v>
      </c>
    </row>
    <row r="50" spans="1:48" ht="14.4" customHeight="1">
      <c r="A50" s="6" t="s">
        <v>264</v>
      </c>
      <c r="B50" s="6" t="s">
        <v>38</v>
      </c>
      <c r="C50" s="6" t="s">
        <v>38</v>
      </c>
      <c r="D50" s="6" t="s">
        <v>265</v>
      </c>
      <c r="E50" s="6" t="s">
        <v>190</v>
      </c>
      <c r="F50" s="6">
        <v>2003</v>
      </c>
      <c r="G50" s="6" t="s">
        <v>266</v>
      </c>
      <c r="H50" s="6" t="s">
        <v>42</v>
      </c>
      <c r="I50" s="6" t="s">
        <v>267</v>
      </c>
      <c r="J50" s="6" t="str">
        <f t="shared" si="0"/>
        <v>Lobelia_cardinalis</v>
      </c>
      <c r="K50" s="6" t="s">
        <v>45</v>
      </c>
      <c r="L50" s="6" t="s">
        <v>46</v>
      </c>
      <c r="M50" s="6" t="s">
        <v>12</v>
      </c>
      <c r="N50" s="6" t="s">
        <v>76</v>
      </c>
      <c r="O50" s="6" t="s">
        <v>49</v>
      </c>
      <c r="P50" s="6" t="s">
        <v>49</v>
      </c>
      <c r="Q50" s="6" t="s">
        <v>49</v>
      </c>
      <c r="R50" s="6" t="s">
        <v>49</v>
      </c>
      <c r="S50" s="6" t="s">
        <v>268</v>
      </c>
      <c r="T50" s="6" t="s">
        <v>269</v>
      </c>
      <c r="U50" s="6" t="s">
        <v>251</v>
      </c>
      <c r="V50" s="6" t="s">
        <v>296</v>
      </c>
      <c r="W50" s="12">
        <v>41.791666999999997</v>
      </c>
      <c r="X50" s="12">
        <v>-93.426666999999995</v>
      </c>
      <c r="Y50" s="6" t="s">
        <v>141</v>
      </c>
      <c r="Z50" s="6" t="s">
        <v>271</v>
      </c>
      <c r="AA50" s="1" t="s">
        <v>49</v>
      </c>
      <c r="AB50" s="1" t="s">
        <v>49</v>
      </c>
      <c r="AC50" s="1" t="s">
        <v>49</v>
      </c>
      <c r="AD50" s="6" t="s">
        <v>63</v>
      </c>
      <c r="AE50" s="6" t="s">
        <v>273</v>
      </c>
      <c r="AF50" s="1" t="s">
        <v>49</v>
      </c>
      <c r="AG50" s="1" t="s">
        <v>49</v>
      </c>
      <c r="AH50" s="6" t="s">
        <v>49</v>
      </c>
      <c r="AI50" s="6" t="s">
        <v>272</v>
      </c>
      <c r="AJ50" s="6" t="s">
        <v>49</v>
      </c>
      <c r="AK50" s="6">
        <v>99</v>
      </c>
      <c r="AL50" s="6" t="s">
        <v>49</v>
      </c>
      <c r="AM50" s="6" t="s">
        <v>49</v>
      </c>
      <c r="AN50" s="6">
        <v>0.37</v>
      </c>
      <c r="AO50" s="6" t="s">
        <v>49</v>
      </c>
      <c r="AP50" s="6">
        <v>0</v>
      </c>
      <c r="AQ50" s="6" t="s">
        <v>49</v>
      </c>
      <c r="AR50" s="6">
        <v>0.37</v>
      </c>
      <c r="AS50" s="6" t="s">
        <v>49</v>
      </c>
      <c r="AT50" s="6" t="s">
        <v>49</v>
      </c>
      <c r="AU50" s="6" t="s">
        <v>49</v>
      </c>
      <c r="AV50" s="6" t="s">
        <v>49</v>
      </c>
    </row>
    <row r="51" spans="1:48" ht="14.4" customHeight="1">
      <c r="A51" s="6" t="s">
        <v>264</v>
      </c>
      <c r="B51" s="6" t="s">
        <v>38</v>
      </c>
      <c r="C51" s="6" t="s">
        <v>38</v>
      </c>
      <c r="D51" s="6" t="s">
        <v>265</v>
      </c>
      <c r="E51" s="6" t="s">
        <v>190</v>
      </c>
      <c r="F51" s="6">
        <v>2003</v>
      </c>
      <c r="G51" s="6" t="s">
        <v>266</v>
      </c>
      <c r="H51" s="6" t="s">
        <v>42</v>
      </c>
      <c r="I51" s="6" t="s">
        <v>267</v>
      </c>
      <c r="J51" s="6" t="str">
        <f t="shared" si="0"/>
        <v>Lobelia_cardinalis</v>
      </c>
      <c r="K51" s="6" t="s">
        <v>45</v>
      </c>
      <c r="L51" s="6" t="s">
        <v>46</v>
      </c>
      <c r="M51" s="6" t="s">
        <v>12</v>
      </c>
      <c r="N51" s="6" t="s">
        <v>76</v>
      </c>
      <c r="O51" s="6" t="s">
        <v>49</v>
      </c>
      <c r="P51" s="6" t="s">
        <v>49</v>
      </c>
      <c r="Q51" s="6" t="s">
        <v>49</v>
      </c>
      <c r="R51" s="6" t="s">
        <v>49</v>
      </c>
      <c r="S51" s="6" t="s">
        <v>268</v>
      </c>
      <c r="T51" s="6" t="s">
        <v>269</v>
      </c>
      <c r="U51" s="6" t="s">
        <v>251</v>
      </c>
      <c r="V51" s="6" t="s">
        <v>296</v>
      </c>
      <c r="W51" s="12">
        <v>41.791666999999997</v>
      </c>
      <c r="X51" s="12">
        <v>-93.426666999999995</v>
      </c>
      <c r="Y51" s="6" t="s">
        <v>141</v>
      </c>
      <c r="Z51" s="6" t="s">
        <v>271</v>
      </c>
      <c r="AA51" s="1" t="s">
        <v>49</v>
      </c>
      <c r="AB51" s="1" t="s">
        <v>49</v>
      </c>
      <c r="AC51" s="1" t="s">
        <v>49</v>
      </c>
      <c r="AD51" s="6" t="s">
        <v>63</v>
      </c>
      <c r="AE51" s="6" t="s">
        <v>52</v>
      </c>
      <c r="AF51" s="1" t="s">
        <v>49</v>
      </c>
      <c r="AG51" s="1" t="s">
        <v>49</v>
      </c>
      <c r="AH51" s="6" t="s">
        <v>49</v>
      </c>
      <c r="AI51" s="6" t="s">
        <v>272</v>
      </c>
      <c r="AJ51" s="6" t="s">
        <v>49</v>
      </c>
      <c r="AK51" s="6">
        <v>99</v>
      </c>
      <c r="AL51" s="6" t="s">
        <v>49</v>
      </c>
      <c r="AM51" s="6" t="s">
        <v>49</v>
      </c>
      <c r="AN51" s="6">
        <v>0.63900000000000001</v>
      </c>
      <c r="AO51" s="6" t="s">
        <v>49</v>
      </c>
      <c r="AP51" s="6">
        <v>0</v>
      </c>
      <c r="AQ51" s="6" t="s">
        <v>49</v>
      </c>
      <c r="AR51" s="6">
        <v>0.63900000000000001</v>
      </c>
      <c r="AS51" s="6" t="s">
        <v>49</v>
      </c>
      <c r="AT51" s="6" t="s">
        <v>49</v>
      </c>
      <c r="AU51" s="6" t="s">
        <v>49</v>
      </c>
      <c r="AV51" s="6" t="s">
        <v>49</v>
      </c>
    </row>
    <row r="52" spans="1:48" ht="14.4" customHeight="1">
      <c r="A52" s="6" t="s">
        <v>264</v>
      </c>
      <c r="B52" s="6" t="s">
        <v>38</v>
      </c>
      <c r="C52" s="6" t="s">
        <v>38</v>
      </c>
      <c r="D52" s="6" t="s">
        <v>265</v>
      </c>
      <c r="E52" s="6" t="s">
        <v>190</v>
      </c>
      <c r="F52" s="6">
        <v>2003</v>
      </c>
      <c r="G52" s="6" t="s">
        <v>266</v>
      </c>
      <c r="H52" s="6" t="s">
        <v>42</v>
      </c>
      <c r="I52" s="6" t="s">
        <v>267</v>
      </c>
      <c r="J52" s="6" t="str">
        <f t="shared" si="0"/>
        <v>Lobelia_cardinalis</v>
      </c>
      <c r="K52" s="6" t="s">
        <v>45</v>
      </c>
      <c r="L52" s="6" t="s">
        <v>46</v>
      </c>
      <c r="M52" s="6" t="s">
        <v>12</v>
      </c>
      <c r="N52" s="6" t="s">
        <v>76</v>
      </c>
      <c r="O52" s="6" t="s">
        <v>49</v>
      </c>
      <c r="P52" s="6" t="s">
        <v>49</v>
      </c>
      <c r="Q52" s="6" t="s">
        <v>49</v>
      </c>
      <c r="R52" s="6" t="s">
        <v>49</v>
      </c>
      <c r="S52" s="6" t="s">
        <v>268</v>
      </c>
      <c r="T52" s="6" t="s">
        <v>269</v>
      </c>
      <c r="U52" s="6" t="s">
        <v>251</v>
      </c>
      <c r="V52" s="6" t="s">
        <v>296</v>
      </c>
      <c r="W52" s="12">
        <v>41.791666999999997</v>
      </c>
      <c r="X52" s="12">
        <v>-93.426666999999995</v>
      </c>
      <c r="Y52" s="6" t="s">
        <v>141</v>
      </c>
      <c r="Z52" s="6" t="s">
        <v>271</v>
      </c>
      <c r="AA52" s="1" t="s">
        <v>49</v>
      </c>
      <c r="AB52" s="1" t="s">
        <v>49</v>
      </c>
      <c r="AC52" s="1" t="s">
        <v>49</v>
      </c>
      <c r="AD52" s="6" t="s">
        <v>65</v>
      </c>
      <c r="AE52" s="6" t="s">
        <v>59</v>
      </c>
      <c r="AF52" s="1" t="s">
        <v>49</v>
      </c>
      <c r="AG52" s="1" t="s">
        <v>49</v>
      </c>
      <c r="AH52" s="6" t="s">
        <v>49</v>
      </c>
      <c r="AI52" s="6" t="s">
        <v>272</v>
      </c>
      <c r="AJ52" s="6" t="s">
        <v>49</v>
      </c>
      <c r="AK52" s="6">
        <v>99</v>
      </c>
      <c r="AL52" s="6" t="s">
        <v>49</v>
      </c>
      <c r="AM52" s="6" t="s">
        <v>49</v>
      </c>
      <c r="AN52" s="6">
        <v>-8.8999999999999996E-2</v>
      </c>
      <c r="AO52" s="6" t="s">
        <v>49</v>
      </c>
      <c r="AP52" s="6">
        <v>0</v>
      </c>
      <c r="AQ52" s="6" t="s">
        <v>49</v>
      </c>
      <c r="AR52" s="6">
        <v>-8.8999999999999996E-2</v>
      </c>
      <c r="AS52" s="6" t="s">
        <v>49</v>
      </c>
      <c r="AT52" s="6" t="s">
        <v>49</v>
      </c>
      <c r="AU52" s="6" t="s">
        <v>49</v>
      </c>
      <c r="AV52" s="6" t="s">
        <v>49</v>
      </c>
    </row>
    <row r="53" spans="1:48" ht="14.4" customHeight="1">
      <c r="A53" s="6" t="s">
        <v>264</v>
      </c>
      <c r="B53" s="6" t="s">
        <v>38</v>
      </c>
      <c r="C53" s="6" t="s">
        <v>38</v>
      </c>
      <c r="D53" s="6" t="s">
        <v>265</v>
      </c>
      <c r="E53" s="6" t="s">
        <v>190</v>
      </c>
      <c r="F53" s="6">
        <v>2003</v>
      </c>
      <c r="G53" s="6" t="s">
        <v>266</v>
      </c>
      <c r="H53" s="6" t="s">
        <v>42</v>
      </c>
      <c r="I53" s="6" t="s">
        <v>267</v>
      </c>
      <c r="J53" s="6" t="str">
        <f t="shared" si="0"/>
        <v>Lobelia_cardinalis</v>
      </c>
      <c r="K53" s="6" t="s">
        <v>45</v>
      </c>
      <c r="L53" s="6" t="s">
        <v>46</v>
      </c>
      <c r="M53" s="6" t="s">
        <v>12</v>
      </c>
      <c r="N53" s="6" t="s">
        <v>76</v>
      </c>
      <c r="O53" s="6" t="s">
        <v>49</v>
      </c>
      <c r="P53" s="6" t="s">
        <v>49</v>
      </c>
      <c r="Q53" s="6" t="s">
        <v>49</v>
      </c>
      <c r="R53" s="6" t="s">
        <v>49</v>
      </c>
      <c r="S53" s="6" t="s">
        <v>268</v>
      </c>
      <c r="T53" s="6" t="s">
        <v>269</v>
      </c>
      <c r="U53" s="6" t="s">
        <v>251</v>
      </c>
      <c r="V53" s="6" t="s">
        <v>296</v>
      </c>
      <c r="W53" s="12">
        <v>41.791666999999997</v>
      </c>
      <c r="X53" s="12">
        <v>-93.426666999999995</v>
      </c>
      <c r="Y53" s="6" t="s">
        <v>141</v>
      </c>
      <c r="Z53" s="6" t="s">
        <v>271</v>
      </c>
      <c r="AA53" s="1" t="s">
        <v>49</v>
      </c>
      <c r="AB53" s="1" t="s">
        <v>49</v>
      </c>
      <c r="AC53" s="1" t="s">
        <v>49</v>
      </c>
      <c r="AD53" s="6" t="s">
        <v>65</v>
      </c>
      <c r="AE53" s="6" t="s">
        <v>273</v>
      </c>
      <c r="AF53" s="1" t="s">
        <v>49</v>
      </c>
      <c r="AG53" s="1" t="s">
        <v>49</v>
      </c>
      <c r="AH53" s="6" t="s">
        <v>49</v>
      </c>
      <c r="AI53" s="6" t="s">
        <v>272</v>
      </c>
      <c r="AJ53" s="6" t="s">
        <v>49</v>
      </c>
      <c r="AK53" s="6">
        <v>99</v>
      </c>
      <c r="AL53" s="6" t="s">
        <v>49</v>
      </c>
      <c r="AM53" s="6" t="s">
        <v>49</v>
      </c>
      <c r="AN53" s="6">
        <v>-3.1E-2</v>
      </c>
      <c r="AO53" s="6" t="s">
        <v>49</v>
      </c>
      <c r="AP53" s="6">
        <v>0</v>
      </c>
      <c r="AQ53" s="6" t="s">
        <v>49</v>
      </c>
      <c r="AR53" s="6">
        <v>-3.1E-2</v>
      </c>
      <c r="AS53" s="6" t="s">
        <v>49</v>
      </c>
      <c r="AT53" s="6" t="s">
        <v>49</v>
      </c>
      <c r="AU53" s="6" t="s">
        <v>49</v>
      </c>
      <c r="AV53" s="6" t="s">
        <v>49</v>
      </c>
    </row>
    <row r="54" spans="1:48" ht="14.4" customHeight="1">
      <c r="A54" s="6" t="s">
        <v>264</v>
      </c>
      <c r="B54" s="6" t="s">
        <v>38</v>
      </c>
      <c r="C54" s="6" t="s">
        <v>38</v>
      </c>
      <c r="D54" s="6" t="s">
        <v>265</v>
      </c>
      <c r="E54" s="6" t="s">
        <v>190</v>
      </c>
      <c r="F54" s="6">
        <v>2003</v>
      </c>
      <c r="G54" s="6" t="s">
        <v>266</v>
      </c>
      <c r="H54" s="6" t="s">
        <v>42</v>
      </c>
      <c r="I54" s="6" t="s">
        <v>267</v>
      </c>
      <c r="J54" s="6" t="str">
        <f t="shared" si="0"/>
        <v>Lobelia_cardinalis</v>
      </c>
      <c r="K54" s="6" t="s">
        <v>45</v>
      </c>
      <c r="L54" s="6" t="s">
        <v>46</v>
      </c>
      <c r="M54" s="6" t="s">
        <v>12</v>
      </c>
      <c r="N54" s="6" t="s">
        <v>76</v>
      </c>
      <c r="O54" s="6" t="s">
        <v>49</v>
      </c>
      <c r="P54" s="6" t="s">
        <v>49</v>
      </c>
      <c r="Q54" s="6" t="s">
        <v>49</v>
      </c>
      <c r="R54" s="6" t="s">
        <v>49</v>
      </c>
      <c r="S54" s="6" t="s">
        <v>268</v>
      </c>
      <c r="T54" s="6" t="s">
        <v>269</v>
      </c>
      <c r="U54" s="6" t="s">
        <v>251</v>
      </c>
      <c r="V54" s="6" t="s">
        <v>296</v>
      </c>
      <c r="W54" s="12">
        <v>41.791666999999997</v>
      </c>
      <c r="X54" s="12">
        <v>-93.426666999999995</v>
      </c>
      <c r="Y54" s="6" t="s">
        <v>141</v>
      </c>
      <c r="Z54" s="6" t="s">
        <v>271</v>
      </c>
      <c r="AA54" s="1" t="s">
        <v>49</v>
      </c>
      <c r="AB54" s="1" t="s">
        <v>49</v>
      </c>
      <c r="AC54" s="1" t="s">
        <v>49</v>
      </c>
      <c r="AD54" s="6" t="s">
        <v>65</v>
      </c>
      <c r="AE54" s="6" t="s">
        <v>52</v>
      </c>
      <c r="AF54" s="1" t="s">
        <v>49</v>
      </c>
      <c r="AG54" s="1" t="s">
        <v>49</v>
      </c>
      <c r="AH54" s="6" t="s">
        <v>49</v>
      </c>
      <c r="AI54" s="6" t="s">
        <v>272</v>
      </c>
      <c r="AJ54" s="6" t="s">
        <v>49</v>
      </c>
      <c r="AK54" s="6">
        <v>99</v>
      </c>
      <c r="AL54" s="6" t="s">
        <v>49</v>
      </c>
      <c r="AM54" s="6" t="s">
        <v>49</v>
      </c>
      <c r="AN54" s="6">
        <v>0.501</v>
      </c>
      <c r="AO54" s="6" t="s">
        <v>49</v>
      </c>
      <c r="AP54" s="6">
        <v>0</v>
      </c>
      <c r="AQ54" s="6" t="s">
        <v>49</v>
      </c>
      <c r="AR54" s="6">
        <v>0.501</v>
      </c>
      <c r="AS54" s="6" t="s">
        <v>49</v>
      </c>
      <c r="AT54" s="6" t="s">
        <v>49</v>
      </c>
      <c r="AU54" s="6" t="s">
        <v>49</v>
      </c>
      <c r="AV54" s="6" t="s">
        <v>49</v>
      </c>
    </row>
    <row r="55" spans="1:48" ht="14.4" customHeight="1">
      <c r="A55" s="6" t="s">
        <v>264</v>
      </c>
      <c r="B55" s="6" t="s">
        <v>38</v>
      </c>
      <c r="C55" s="6" t="s">
        <v>38</v>
      </c>
      <c r="D55" s="6" t="s">
        <v>265</v>
      </c>
      <c r="E55" s="6" t="s">
        <v>190</v>
      </c>
      <c r="F55" s="6">
        <v>2003</v>
      </c>
      <c r="G55" s="6" t="s">
        <v>266</v>
      </c>
      <c r="H55" s="6" t="s">
        <v>42</v>
      </c>
      <c r="I55" s="6" t="s">
        <v>267</v>
      </c>
      <c r="J55" s="6" t="str">
        <f t="shared" si="0"/>
        <v>Lobelia_cardinalis</v>
      </c>
      <c r="K55" s="6" t="s">
        <v>45</v>
      </c>
      <c r="L55" s="6" t="s">
        <v>46</v>
      </c>
      <c r="M55" s="6" t="s">
        <v>12</v>
      </c>
      <c r="N55" s="6" t="s">
        <v>76</v>
      </c>
      <c r="O55" s="6" t="s">
        <v>49</v>
      </c>
      <c r="P55" s="6" t="s">
        <v>49</v>
      </c>
      <c r="Q55" s="6" t="s">
        <v>49</v>
      </c>
      <c r="R55" s="6" t="s">
        <v>49</v>
      </c>
      <c r="S55" s="6" t="s">
        <v>268</v>
      </c>
      <c r="T55" s="6" t="s">
        <v>269</v>
      </c>
      <c r="U55" s="6" t="s">
        <v>251</v>
      </c>
      <c r="V55" s="6" t="s">
        <v>296</v>
      </c>
      <c r="W55" s="12">
        <v>41.791666999999997</v>
      </c>
      <c r="X55" s="12">
        <v>-93.426666999999995</v>
      </c>
      <c r="Y55" s="6" t="s">
        <v>141</v>
      </c>
      <c r="Z55" s="6" t="s">
        <v>271</v>
      </c>
      <c r="AA55" s="1" t="s">
        <v>49</v>
      </c>
      <c r="AB55" s="1" t="s">
        <v>49</v>
      </c>
      <c r="AC55" s="1" t="s">
        <v>49</v>
      </c>
      <c r="AD55" s="6" t="s">
        <v>59</v>
      </c>
      <c r="AE55" s="6" t="s">
        <v>273</v>
      </c>
      <c r="AF55" s="1" t="s">
        <v>49</v>
      </c>
      <c r="AG55" s="1" t="s">
        <v>49</v>
      </c>
      <c r="AH55" s="6" t="s">
        <v>49</v>
      </c>
      <c r="AI55" s="6" t="s">
        <v>272</v>
      </c>
      <c r="AJ55" s="6" t="s">
        <v>49</v>
      </c>
      <c r="AK55" s="6">
        <v>99</v>
      </c>
      <c r="AL55" s="6" t="s">
        <v>49</v>
      </c>
      <c r="AM55" s="6" t="s">
        <v>49</v>
      </c>
      <c r="AN55" s="6">
        <v>1.6719999999999999</v>
      </c>
      <c r="AO55" s="6" t="s">
        <v>49</v>
      </c>
      <c r="AP55" s="6">
        <v>0</v>
      </c>
      <c r="AQ55" s="6" t="s">
        <v>49</v>
      </c>
      <c r="AR55" s="6">
        <v>1.6719999999999999</v>
      </c>
      <c r="AS55" s="6" t="s">
        <v>49</v>
      </c>
      <c r="AT55" s="6" t="s">
        <v>49</v>
      </c>
      <c r="AU55" s="6" t="s">
        <v>49</v>
      </c>
      <c r="AV55" s="6" t="s">
        <v>49</v>
      </c>
    </row>
    <row r="56" spans="1:48" ht="14.4" customHeight="1">
      <c r="A56" s="6" t="s">
        <v>264</v>
      </c>
      <c r="B56" s="6" t="s">
        <v>38</v>
      </c>
      <c r="C56" s="6" t="s">
        <v>38</v>
      </c>
      <c r="D56" s="6" t="s">
        <v>265</v>
      </c>
      <c r="E56" s="6" t="s">
        <v>190</v>
      </c>
      <c r="F56" s="6">
        <v>2003</v>
      </c>
      <c r="G56" s="6" t="s">
        <v>266</v>
      </c>
      <c r="H56" s="6" t="s">
        <v>42</v>
      </c>
      <c r="I56" s="6" t="s">
        <v>267</v>
      </c>
      <c r="J56" s="6" t="str">
        <f t="shared" si="0"/>
        <v>Lobelia_cardinalis</v>
      </c>
      <c r="K56" s="6" t="s">
        <v>45</v>
      </c>
      <c r="L56" s="6" t="s">
        <v>46</v>
      </c>
      <c r="M56" s="6" t="s">
        <v>12</v>
      </c>
      <c r="N56" s="6" t="s">
        <v>76</v>
      </c>
      <c r="O56" s="6" t="s">
        <v>49</v>
      </c>
      <c r="P56" s="6" t="s">
        <v>49</v>
      </c>
      <c r="Q56" s="6" t="s">
        <v>49</v>
      </c>
      <c r="R56" s="6" t="s">
        <v>49</v>
      </c>
      <c r="S56" s="6" t="s">
        <v>268</v>
      </c>
      <c r="T56" s="6" t="s">
        <v>269</v>
      </c>
      <c r="U56" s="6" t="s">
        <v>251</v>
      </c>
      <c r="V56" s="6" t="s">
        <v>296</v>
      </c>
      <c r="W56" s="12">
        <v>41.791666999999997</v>
      </c>
      <c r="X56" s="12">
        <v>-93.426666999999995</v>
      </c>
      <c r="Y56" s="6" t="s">
        <v>141</v>
      </c>
      <c r="Z56" s="6" t="s">
        <v>271</v>
      </c>
      <c r="AA56" s="1" t="s">
        <v>49</v>
      </c>
      <c r="AB56" s="1" t="s">
        <v>49</v>
      </c>
      <c r="AC56" s="1" t="s">
        <v>49</v>
      </c>
      <c r="AD56" s="6" t="s">
        <v>59</v>
      </c>
      <c r="AE56" s="6" t="s">
        <v>52</v>
      </c>
      <c r="AF56" s="1" t="s">
        <v>49</v>
      </c>
      <c r="AG56" s="1" t="s">
        <v>49</v>
      </c>
      <c r="AH56" s="6" t="s">
        <v>49</v>
      </c>
      <c r="AI56" s="6" t="s">
        <v>272</v>
      </c>
      <c r="AJ56" s="6" t="s">
        <v>49</v>
      </c>
      <c r="AK56" s="6">
        <v>99</v>
      </c>
      <c r="AL56" s="6" t="s">
        <v>49</v>
      </c>
      <c r="AM56" s="6" t="s">
        <v>49</v>
      </c>
      <c r="AN56" s="6">
        <v>-0.59199999999999997</v>
      </c>
      <c r="AO56" s="6" t="s">
        <v>49</v>
      </c>
      <c r="AP56" s="6">
        <v>0</v>
      </c>
      <c r="AQ56" s="6" t="s">
        <v>49</v>
      </c>
      <c r="AR56" s="6">
        <v>-0.59199999999999997</v>
      </c>
      <c r="AS56" s="6" t="s">
        <v>49</v>
      </c>
      <c r="AT56" s="6" t="s">
        <v>49</v>
      </c>
      <c r="AU56" s="6" t="s">
        <v>49</v>
      </c>
      <c r="AV56" s="6" t="s">
        <v>49</v>
      </c>
    </row>
    <row r="57" spans="1:48" ht="14.4" customHeight="1">
      <c r="A57" s="6" t="s">
        <v>264</v>
      </c>
      <c r="B57" s="6" t="s">
        <v>38</v>
      </c>
      <c r="C57" s="6" t="s">
        <v>38</v>
      </c>
      <c r="D57" s="6" t="s">
        <v>265</v>
      </c>
      <c r="E57" s="6" t="s">
        <v>190</v>
      </c>
      <c r="F57" s="6">
        <v>2003</v>
      </c>
      <c r="G57" s="6" t="s">
        <v>266</v>
      </c>
      <c r="H57" s="6" t="s">
        <v>42</v>
      </c>
      <c r="I57" s="6" t="s">
        <v>267</v>
      </c>
      <c r="J57" s="6" t="str">
        <f t="shared" si="0"/>
        <v>Lobelia_cardinalis</v>
      </c>
      <c r="K57" s="6" t="s">
        <v>45</v>
      </c>
      <c r="L57" s="6" t="s">
        <v>46</v>
      </c>
      <c r="M57" s="6" t="s">
        <v>12</v>
      </c>
      <c r="N57" s="6" t="s">
        <v>76</v>
      </c>
      <c r="O57" s="6" t="s">
        <v>49</v>
      </c>
      <c r="P57" s="6" t="s">
        <v>49</v>
      </c>
      <c r="Q57" s="6" t="s">
        <v>49</v>
      </c>
      <c r="R57" s="6" t="s">
        <v>49</v>
      </c>
      <c r="S57" s="6" t="s">
        <v>268</v>
      </c>
      <c r="T57" s="6" t="s">
        <v>269</v>
      </c>
      <c r="U57" s="6" t="s">
        <v>251</v>
      </c>
      <c r="V57" s="6" t="s">
        <v>296</v>
      </c>
      <c r="W57" s="12">
        <v>41.791666999999997</v>
      </c>
      <c r="X57" s="12">
        <v>-93.426666999999995</v>
      </c>
      <c r="Y57" s="6" t="s">
        <v>141</v>
      </c>
      <c r="Z57" s="6" t="s">
        <v>271</v>
      </c>
      <c r="AA57" s="1" t="s">
        <v>49</v>
      </c>
      <c r="AB57" s="1" t="s">
        <v>49</v>
      </c>
      <c r="AC57" s="1" t="s">
        <v>49</v>
      </c>
      <c r="AD57" s="6" t="s">
        <v>273</v>
      </c>
      <c r="AE57" s="6" t="s">
        <v>52</v>
      </c>
      <c r="AF57" s="1" t="s">
        <v>49</v>
      </c>
      <c r="AG57" s="1" t="s">
        <v>49</v>
      </c>
      <c r="AH57" s="6" t="s">
        <v>49</v>
      </c>
      <c r="AI57" s="6" t="s">
        <v>272</v>
      </c>
      <c r="AJ57" s="6" t="s">
        <v>49</v>
      </c>
      <c r="AK57" s="6">
        <v>99</v>
      </c>
      <c r="AL57" s="6" t="s">
        <v>49</v>
      </c>
      <c r="AM57" s="6" t="s">
        <v>49</v>
      </c>
      <c r="AN57" s="6">
        <v>-1.268</v>
      </c>
      <c r="AO57" s="6" t="s">
        <v>49</v>
      </c>
      <c r="AP57" s="6">
        <v>0</v>
      </c>
      <c r="AQ57" s="6" t="s">
        <v>49</v>
      </c>
      <c r="AR57" s="6">
        <v>-1.268</v>
      </c>
      <c r="AS57" s="6" t="s">
        <v>49</v>
      </c>
      <c r="AT57" s="6" t="s">
        <v>49</v>
      </c>
      <c r="AU57" s="6" t="s">
        <v>49</v>
      </c>
      <c r="AV57" s="6" t="s">
        <v>49</v>
      </c>
    </row>
    <row r="58" spans="1:48" ht="14.4" customHeight="1">
      <c r="A58" s="6" t="s">
        <v>264</v>
      </c>
      <c r="B58" s="6" t="s">
        <v>38</v>
      </c>
      <c r="C58" s="6" t="s">
        <v>38</v>
      </c>
      <c r="D58" s="6" t="s">
        <v>265</v>
      </c>
      <c r="E58" s="6" t="s">
        <v>190</v>
      </c>
      <c r="F58" s="6">
        <v>2003</v>
      </c>
      <c r="G58" s="6" t="s">
        <v>266</v>
      </c>
      <c r="H58" s="6" t="s">
        <v>42</v>
      </c>
      <c r="I58" s="6" t="s">
        <v>267</v>
      </c>
      <c r="J58" s="6" t="str">
        <f t="shared" si="0"/>
        <v>Lobelia_cardinalis</v>
      </c>
      <c r="K58" s="6" t="s">
        <v>45</v>
      </c>
      <c r="L58" s="6" t="s">
        <v>46</v>
      </c>
      <c r="M58" s="6" t="s">
        <v>12</v>
      </c>
      <c r="N58" s="6" t="s">
        <v>76</v>
      </c>
      <c r="O58" s="6" t="s">
        <v>49</v>
      </c>
      <c r="P58" s="6" t="s">
        <v>49</v>
      </c>
      <c r="Q58" s="6" t="s">
        <v>49</v>
      </c>
      <c r="R58" s="6" t="s">
        <v>49</v>
      </c>
      <c r="S58" s="6" t="s">
        <v>268</v>
      </c>
      <c r="T58" s="6" t="s">
        <v>269</v>
      </c>
      <c r="U58" s="6" t="s">
        <v>251</v>
      </c>
      <c r="V58" s="6" t="s">
        <v>297</v>
      </c>
      <c r="W58" s="12">
        <v>41.776667000000003</v>
      </c>
      <c r="X58" s="12">
        <v>-93.413332999999994</v>
      </c>
      <c r="Y58" s="6" t="s">
        <v>141</v>
      </c>
      <c r="Z58" s="6" t="s">
        <v>271</v>
      </c>
      <c r="AA58" s="1" t="s">
        <v>49</v>
      </c>
      <c r="AB58" s="1" t="s">
        <v>49</v>
      </c>
      <c r="AC58" s="1" t="s">
        <v>49</v>
      </c>
      <c r="AD58" s="6" t="s">
        <v>68</v>
      </c>
      <c r="AE58" s="6" t="s">
        <v>68</v>
      </c>
      <c r="AF58" s="1" t="s">
        <v>60</v>
      </c>
      <c r="AG58" s="1" t="s">
        <v>61</v>
      </c>
      <c r="AH58" s="6" t="s">
        <v>49</v>
      </c>
      <c r="AI58" s="6" t="s">
        <v>272</v>
      </c>
      <c r="AJ58" s="6" t="s">
        <v>49</v>
      </c>
      <c r="AK58" s="6">
        <v>99</v>
      </c>
      <c r="AL58" s="6" t="s">
        <v>49</v>
      </c>
      <c r="AM58" s="6">
        <v>17.971399999999999</v>
      </c>
      <c r="AN58" s="6">
        <v>4.7530000000000001</v>
      </c>
      <c r="AO58" s="6" t="s">
        <v>49</v>
      </c>
      <c r="AP58" s="6">
        <v>0</v>
      </c>
      <c r="AQ58" s="6" t="s">
        <v>49</v>
      </c>
      <c r="AR58" s="6">
        <v>4.7530000000000001</v>
      </c>
      <c r="AS58" s="6" t="s">
        <v>49</v>
      </c>
      <c r="AT58" s="6" t="s">
        <v>49</v>
      </c>
      <c r="AU58" s="6" t="s">
        <v>49</v>
      </c>
      <c r="AV58" s="6" t="s">
        <v>49</v>
      </c>
    </row>
    <row r="59" spans="1:48" ht="14.4" customHeight="1">
      <c r="A59" s="6" t="s">
        <v>264</v>
      </c>
      <c r="B59" s="6" t="s">
        <v>38</v>
      </c>
      <c r="C59" s="6" t="s">
        <v>38</v>
      </c>
      <c r="D59" s="6" t="s">
        <v>265</v>
      </c>
      <c r="E59" s="6" t="s">
        <v>190</v>
      </c>
      <c r="F59" s="6">
        <v>2003</v>
      </c>
      <c r="G59" s="6" t="s">
        <v>266</v>
      </c>
      <c r="H59" s="6" t="s">
        <v>42</v>
      </c>
      <c r="I59" s="6" t="s">
        <v>267</v>
      </c>
      <c r="J59" s="6" t="str">
        <f t="shared" si="0"/>
        <v>Lobelia_cardinalis</v>
      </c>
      <c r="K59" s="6" t="s">
        <v>45</v>
      </c>
      <c r="L59" s="6" t="s">
        <v>46</v>
      </c>
      <c r="M59" s="6" t="s">
        <v>12</v>
      </c>
      <c r="N59" s="6" t="s">
        <v>76</v>
      </c>
      <c r="O59" s="6" t="s">
        <v>49</v>
      </c>
      <c r="P59" s="6" t="s">
        <v>49</v>
      </c>
      <c r="Q59" s="6" t="s">
        <v>49</v>
      </c>
      <c r="R59" s="6" t="s">
        <v>49</v>
      </c>
      <c r="S59" s="6" t="s">
        <v>268</v>
      </c>
      <c r="T59" s="6" t="s">
        <v>269</v>
      </c>
      <c r="U59" s="6" t="s">
        <v>251</v>
      </c>
      <c r="V59" s="6" t="s">
        <v>297</v>
      </c>
      <c r="W59" s="12">
        <v>41.776667000000003</v>
      </c>
      <c r="X59" s="12">
        <v>-93.413332999999994</v>
      </c>
      <c r="Y59" s="6" t="s">
        <v>141</v>
      </c>
      <c r="Z59" s="6" t="s">
        <v>271</v>
      </c>
      <c r="AA59" s="1" t="s">
        <v>49</v>
      </c>
      <c r="AB59" s="1" t="s">
        <v>49</v>
      </c>
      <c r="AC59" s="1" t="s">
        <v>49</v>
      </c>
      <c r="AD59" s="6" t="s">
        <v>69</v>
      </c>
      <c r="AE59" s="6" t="s">
        <v>69</v>
      </c>
      <c r="AF59" s="1" t="s">
        <v>60</v>
      </c>
      <c r="AG59" s="1" t="s">
        <v>61</v>
      </c>
      <c r="AH59" s="6" t="s">
        <v>49</v>
      </c>
      <c r="AI59" s="6" t="s">
        <v>272</v>
      </c>
      <c r="AJ59" s="6" t="s">
        <v>49</v>
      </c>
      <c r="AK59" s="6">
        <v>99</v>
      </c>
      <c r="AL59" s="6" t="s">
        <v>49</v>
      </c>
      <c r="AM59" s="6">
        <v>4.0937999999999999</v>
      </c>
      <c r="AN59" s="6">
        <v>0.35199999999999998</v>
      </c>
      <c r="AO59" s="6" t="s">
        <v>49</v>
      </c>
      <c r="AP59" s="6">
        <v>0</v>
      </c>
      <c r="AQ59" s="6" t="s">
        <v>49</v>
      </c>
      <c r="AR59" s="6">
        <v>0.35199999999999998</v>
      </c>
      <c r="AS59" s="6" t="s">
        <v>49</v>
      </c>
      <c r="AT59" s="6" t="s">
        <v>49</v>
      </c>
      <c r="AU59" s="6" t="s">
        <v>49</v>
      </c>
      <c r="AV59" s="6" t="s">
        <v>49</v>
      </c>
    </row>
    <row r="60" spans="1:48" ht="14.4" customHeight="1">
      <c r="A60" s="6" t="s">
        <v>264</v>
      </c>
      <c r="B60" s="6" t="s">
        <v>38</v>
      </c>
      <c r="C60" s="6" t="s">
        <v>38</v>
      </c>
      <c r="D60" s="6" t="s">
        <v>265</v>
      </c>
      <c r="E60" s="6" t="s">
        <v>190</v>
      </c>
      <c r="F60" s="6">
        <v>2003</v>
      </c>
      <c r="G60" s="6" t="s">
        <v>266</v>
      </c>
      <c r="H60" s="6" t="s">
        <v>42</v>
      </c>
      <c r="I60" s="6" t="s">
        <v>267</v>
      </c>
      <c r="J60" s="6" t="str">
        <f t="shared" si="0"/>
        <v>Lobelia_cardinalis</v>
      </c>
      <c r="K60" s="6" t="s">
        <v>45</v>
      </c>
      <c r="L60" s="6" t="s">
        <v>46</v>
      </c>
      <c r="M60" s="6" t="s">
        <v>12</v>
      </c>
      <c r="N60" s="6" t="s">
        <v>76</v>
      </c>
      <c r="O60" s="6" t="s">
        <v>49</v>
      </c>
      <c r="P60" s="6" t="s">
        <v>49</v>
      </c>
      <c r="Q60" s="6" t="s">
        <v>49</v>
      </c>
      <c r="R60" s="6" t="s">
        <v>49</v>
      </c>
      <c r="S60" s="6" t="s">
        <v>268</v>
      </c>
      <c r="T60" s="6" t="s">
        <v>269</v>
      </c>
      <c r="U60" s="6" t="s">
        <v>251</v>
      </c>
      <c r="V60" s="6" t="s">
        <v>297</v>
      </c>
      <c r="W60" s="12">
        <v>41.776667000000003</v>
      </c>
      <c r="X60" s="12">
        <v>-93.413332999999994</v>
      </c>
      <c r="Y60" s="6" t="s">
        <v>141</v>
      </c>
      <c r="Z60" s="6" t="s">
        <v>271</v>
      </c>
      <c r="AA60" s="1" t="s">
        <v>49</v>
      </c>
      <c r="AB60" s="1" t="s">
        <v>49</v>
      </c>
      <c r="AC60" s="1" t="s">
        <v>49</v>
      </c>
      <c r="AD60" s="6" t="s">
        <v>63</v>
      </c>
      <c r="AE60" s="6" t="s">
        <v>63</v>
      </c>
      <c r="AF60" s="1" t="s">
        <v>60</v>
      </c>
      <c r="AG60" s="1" t="s">
        <v>61</v>
      </c>
      <c r="AH60" s="6" t="s">
        <v>49</v>
      </c>
      <c r="AI60" s="6" t="s">
        <v>272</v>
      </c>
      <c r="AJ60" s="6" t="s">
        <v>49</v>
      </c>
      <c r="AK60" s="6">
        <v>99</v>
      </c>
      <c r="AL60" s="6" t="s">
        <v>49</v>
      </c>
      <c r="AM60" s="6">
        <v>19.4557</v>
      </c>
      <c r="AN60" s="6">
        <v>2.8620000000000001</v>
      </c>
      <c r="AO60" s="6" t="s">
        <v>49</v>
      </c>
      <c r="AP60" s="6">
        <v>0</v>
      </c>
      <c r="AQ60" s="6" t="s">
        <v>49</v>
      </c>
      <c r="AR60" s="6">
        <v>2.8620000000000001</v>
      </c>
      <c r="AS60" s="6" t="s">
        <v>49</v>
      </c>
      <c r="AT60" s="6" t="s">
        <v>49</v>
      </c>
      <c r="AU60" s="6" t="s">
        <v>49</v>
      </c>
      <c r="AV60" s="6" t="s">
        <v>49</v>
      </c>
    </row>
    <row r="61" spans="1:48" ht="14.4" customHeight="1">
      <c r="A61" s="6" t="s">
        <v>264</v>
      </c>
      <c r="B61" s="6" t="s">
        <v>38</v>
      </c>
      <c r="C61" s="6" t="s">
        <v>38</v>
      </c>
      <c r="D61" s="6" t="s">
        <v>265</v>
      </c>
      <c r="E61" s="6" t="s">
        <v>190</v>
      </c>
      <c r="F61" s="6">
        <v>2003</v>
      </c>
      <c r="G61" s="6" t="s">
        <v>266</v>
      </c>
      <c r="H61" s="6" t="s">
        <v>42</v>
      </c>
      <c r="I61" s="6" t="s">
        <v>267</v>
      </c>
      <c r="J61" s="6" t="str">
        <f t="shared" si="0"/>
        <v>Lobelia_cardinalis</v>
      </c>
      <c r="K61" s="6" t="s">
        <v>45</v>
      </c>
      <c r="L61" s="6" t="s">
        <v>46</v>
      </c>
      <c r="M61" s="6" t="s">
        <v>12</v>
      </c>
      <c r="N61" s="6" t="s">
        <v>76</v>
      </c>
      <c r="O61" s="6" t="s">
        <v>49</v>
      </c>
      <c r="P61" s="6" t="s">
        <v>49</v>
      </c>
      <c r="Q61" s="6" t="s">
        <v>49</v>
      </c>
      <c r="R61" s="6" t="s">
        <v>49</v>
      </c>
      <c r="S61" s="6" t="s">
        <v>268</v>
      </c>
      <c r="T61" s="6" t="s">
        <v>269</v>
      </c>
      <c r="U61" s="6" t="s">
        <v>251</v>
      </c>
      <c r="V61" s="6" t="s">
        <v>297</v>
      </c>
      <c r="W61" s="12">
        <v>41.776667000000003</v>
      </c>
      <c r="X61" s="12">
        <v>-93.413332999999994</v>
      </c>
      <c r="Y61" s="6" t="s">
        <v>141</v>
      </c>
      <c r="Z61" s="6" t="s">
        <v>271</v>
      </c>
      <c r="AA61" s="1" t="s">
        <v>49</v>
      </c>
      <c r="AB61" s="1" t="s">
        <v>49</v>
      </c>
      <c r="AC61" s="1" t="s">
        <v>49</v>
      </c>
      <c r="AD61" s="6" t="s">
        <v>65</v>
      </c>
      <c r="AE61" s="6" t="s">
        <v>65</v>
      </c>
      <c r="AF61" s="1" t="s">
        <v>60</v>
      </c>
      <c r="AG61" s="1" t="s">
        <v>61</v>
      </c>
      <c r="AH61" s="6" t="s">
        <v>49</v>
      </c>
      <c r="AI61" s="6" t="s">
        <v>272</v>
      </c>
      <c r="AJ61" s="6" t="s">
        <v>49</v>
      </c>
      <c r="AK61" s="6">
        <v>99</v>
      </c>
      <c r="AL61" s="6" t="s">
        <v>49</v>
      </c>
      <c r="AM61" s="6">
        <v>2.4535999999999998</v>
      </c>
      <c r="AN61" s="6">
        <v>6.4000000000000001E-2</v>
      </c>
      <c r="AO61" s="6" t="s">
        <v>49</v>
      </c>
      <c r="AP61" s="6">
        <v>0</v>
      </c>
      <c r="AQ61" s="6" t="s">
        <v>49</v>
      </c>
      <c r="AR61" s="6">
        <v>6.4000000000000001E-2</v>
      </c>
      <c r="AS61" s="6" t="s">
        <v>49</v>
      </c>
      <c r="AT61" s="6" t="s">
        <v>49</v>
      </c>
      <c r="AU61" s="6" t="s">
        <v>49</v>
      </c>
      <c r="AV61" s="6" t="s">
        <v>49</v>
      </c>
    </row>
    <row r="62" spans="1:48" ht="14.4" customHeight="1">
      <c r="A62" s="6" t="s">
        <v>264</v>
      </c>
      <c r="B62" s="6" t="s">
        <v>38</v>
      </c>
      <c r="C62" s="6" t="s">
        <v>38</v>
      </c>
      <c r="D62" s="6" t="s">
        <v>265</v>
      </c>
      <c r="E62" s="6" t="s">
        <v>190</v>
      </c>
      <c r="F62" s="6">
        <v>2003</v>
      </c>
      <c r="G62" s="6" t="s">
        <v>266</v>
      </c>
      <c r="H62" s="6" t="s">
        <v>42</v>
      </c>
      <c r="I62" s="6" t="s">
        <v>267</v>
      </c>
      <c r="J62" s="6" t="str">
        <f t="shared" si="0"/>
        <v>Lobelia_cardinalis</v>
      </c>
      <c r="K62" s="6" t="s">
        <v>45</v>
      </c>
      <c r="L62" s="6" t="s">
        <v>46</v>
      </c>
      <c r="M62" s="6" t="s">
        <v>12</v>
      </c>
      <c r="N62" s="6" t="s">
        <v>76</v>
      </c>
      <c r="O62" s="6" t="s">
        <v>49</v>
      </c>
      <c r="P62" s="6" t="s">
        <v>49</v>
      </c>
      <c r="Q62" s="6" t="s">
        <v>49</v>
      </c>
      <c r="R62" s="6" t="s">
        <v>49</v>
      </c>
      <c r="S62" s="6" t="s">
        <v>268</v>
      </c>
      <c r="T62" s="6" t="s">
        <v>269</v>
      </c>
      <c r="U62" s="6" t="s">
        <v>251</v>
      </c>
      <c r="V62" s="6" t="s">
        <v>297</v>
      </c>
      <c r="W62" s="12">
        <v>41.776667000000003</v>
      </c>
      <c r="X62" s="12">
        <v>-93.413332999999994</v>
      </c>
      <c r="Y62" s="6" t="s">
        <v>141</v>
      </c>
      <c r="Z62" s="6" t="s">
        <v>271</v>
      </c>
      <c r="AA62" s="1" t="s">
        <v>49</v>
      </c>
      <c r="AB62" s="1" t="s">
        <v>49</v>
      </c>
      <c r="AC62" s="1" t="s">
        <v>49</v>
      </c>
      <c r="AD62" s="6" t="s">
        <v>59</v>
      </c>
      <c r="AE62" s="6" t="s">
        <v>59</v>
      </c>
      <c r="AF62" s="1" t="s">
        <v>60</v>
      </c>
      <c r="AG62" s="1" t="s">
        <v>61</v>
      </c>
      <c r="AH62" s="6" t="s">
        <v>49</v>
      </c>
      <c r="AI62" s="6" t="s">
        <v>272</v>
      </c>
      <c r="AJ62" s="6" t="s">
        <v>49</v>
      </c>
      <c r="AK62" s="6">
        <v>99</v>
      </c>
      <c r="AL62" s="6" t="s">
        <v>49</v>
      </c>
      <c r="AM62" s="6">
        <v>35.100499999999997</v>
      </c>
      <c r="AN62" s="6">
        <v>6.7830000000000004</v>
      </c>
      <c r="AO62" s="6" t="s">
        <v>49</v>
      </c>
      <c r="AP62" s="6">
        <v>0</v>
      </c>
      <c r="AQ62" s="6" t="s">
        <v>49</v>
      </c>
      <c r="AR62" s="6">
        <v>6.7830000000000004</v>
      </c>
      <c r="AS62" s="6" t="s">
        <v>49</v>
      </c>
      <c r="AT62" s="6" t="s">
        <v>49</v>
      </c>
      <c r="AU62" s="6" t="s">
        <v>49</v>
      </c>
      <c r="AV62" s="6" t="s">
        <v>49</v>
      </c>
    </row>
    <row r="63" spans="1:48" ht="14.4" customHeight="1">
      <c r="A63" s="6" t="s">
        <v>264</v>
      </c>
      <c r="B63" s="6" t="s">
        <v>38</v>
      </c>
      <c r="C63" s="6" t="s">
        <v>38</v>
      </c>
      <c r="D63" s="6" t="s">
        <v>265</v>
      </c>
      <c r="E63" s="6" t="s">
        <v>190</v>
      </c>
      <c r="F63" s="6">
        <v>2003</v>
      </c>
      <c r="G63" s="6" t="s">
        <v>266</v>
      </c>
      <c r="H63" s="6" t="s">
        <v>42</v>
      </c>
      <c r="I63" s="6" t="s">
        <v>267</v>
      </c>
      <c r="J63" s="6" t="str">
        <f t="shared" si="0"/>
        <v>Lobelia_cardinalis</v>
      </c>
      <c r="K63" s="6" t="s">
        <v>45</v>
      </c>
      <c r="L63" s="6" t="s">
        <v>46</v>
      </c>
      <c r="M63" s="6" t="s">
        <v>12</v>
      </c>
      <c r="N63" s="6" t="s">
        <v>76</v>
      </c>
      <c r="O63" s="6" t="s">
        <v>49</v>
      </c>
      <c r="P63" s="6" t="s">
        <v>49</v>
      </c>
      <c r="Q63" s="6" t="s">
        <v>49</v>
      </c>
      <c r="R63" s="6" t="s">
        <v>49</v>
      </c>
      <c r="S63" s="6" t="s">
        <v>268</v>
      </c>
      <c r="T63" s="6" t="s">
        <v>269</v>
      </c>
      <c r="U63" s="6" t="s">
        <v>251</v>
      </c>
      <c r="V63" s="6" t="s">
        <v>297</v>
      </c>
      <c r="W63" s="12">
        <v>41.776667000000003</v>
      </c>
      <c r="X63" s="12">
        <v>-93.413332999999994</v>
      </c>
      <c r="Y63" s="6" t="s">
        <v>141</v>
      </c>
      <c r="Z63" s="6" t="s">
        <v>271</v>
      </c>
      <c r="AA63" s="1" t="s">
        <v>49</v>
      </c>
      <c r="AB63" s="1" t="s">
        <v>49</v>
      </c>
      <c r="AC63" s="1" t="s">
        <v>49</v>
      </c>
      <c r="AD63" s="6" t="s">
        <v>273</v>
      </c>
      <c r="AE63" s="6" t="s">
        <v>273</v>
      </c>
      <c r="AF63" s="1" t="s">
        <v>60</v>
      </c>
      <c r="AG63" s="1" t="s">
        <v>61</v>
      </c>
      <c r="AH63" s="6" t="s">
        <v>49</v>
      </c>
      <c r="AI63" s="6" t="s">
        <v>272</v>
      </c>
      <c r="AJ63" s="6" t="s">
        <v>49</v>
      </c>
      <c r="AK63" s="6">
        <v>99</v>
      </c>
      <c r="AL63" s="6" t="s">
        <v>49</v>
      </c>
      <c r="AM63" s="6">
        <v>15.523099999999999</v>
      </c>
      <c r="AN63" s="6">
        <v>2.5299999999999998</v>
      </c>
      <c r="AO63" s="6" t="s">
        <v>49</v>
      </c>
      <c r="AP63" s="6">
        <v>0</v>
      </c>
      <c r="AQ63" s="6" t="s">
        <v>49</v>
      </c>
      <c r="AR63" s="6">
        <v>2.5299999999999998</v>
      </c>
      <c r="AS63" s="6" t="s">
        <v>49</v>
      </c>
      <c r="AT63" s="6" t="s">
        <v>49</v>
      </c>
      <c r="AU63" s="6" t="s">
        <v>49</v>
      </c>
      <c r="AV63" s="6" t="s">
        <v>49</v>
      </c>
    </row>
    <row r="64" spans="1:48" ht="14.4" customHeight="1">
      <c r="A64" s="6" t="s">
        <v>264</v>
      </c>
      <c r="B64" s="6" t="s">
        <v>38</v>
      </c>
      <c r="C64" s="6" t="s">
        <v>38</v>
      </c>
      <c r="D64" s="6" t="s">
        <v>265</v>
      </c>
      <c r="E64" s="6" t="s">
        <v>190</v>
      </c>
      <c r="F64" s="6">
        <v>2003</v>
      </c>
      <c r="G64" s="6" t="s">
        <v>266</v>
      </c>
      <c r="H64" s="6" t="s">
        <v>42</v>
      </c>
      <c r="I64" s="6" t="s">
        <v>267</v>
      </c>
      <c r="J64" s="6" t="str">
        <f t="shared" si="0"/>
        <v>Lobelia_cardinalis</v>
      </c>
      <c r="K64" s="6" t="s">
        <v>45</v>
      </c>
      <c r="L64" s="6" t="s">
        <v>46</v>
      </c>
      <c r="M64" s="6" t="s">
        <v>12</v>
      </c>
      <c r="N64" s="6" t="s">
        <v>76</v>
      </c>
      <c r="O64" s="6" t="s">
        <v>49</v>
      </c>
      <c r="P64" s="6" t="s">
        <v>49</v>
      </c>
      <c r="Q64" s="6" t="s">
        <v>49</v>
      </c>
      <c r="R64" s="6" t="s">
        <v>49</v>
      </c>
      <c r="S64" s="6" t="s">
        <v>268</v>
      </c>
      <c r="T64" s="6" t="s">
        <v>269</v>
      </c>
      <c r="U64" s="6" t="s">
        <v>251</v>
      </c>
      <c r="V64" s="6" t="s">
        <v>297</v>
      </c>
      <c r="W64" s="12">
        <v>41.776667000000003</v>
      </c>
      <c r="X64" s="12">
        <v>-93.413332999999994</v>
      </c>
      <c r="Y64" s="6" t="s">
        <v>141</v>
      </c>
      <c r="Z64" s="6" t="s">
        <v>271</v>
      </c>
      <c r="AA64" s="1" t="s">
        <v>49</v>
      </c>
      <c r="AB64" s="1" t="s">
        <v>49</v>
      </c>
      <c r="AC64" s="1" t="s">
        <v>49</v>
      </c>
      <c r="AD64" s="6" t="s">
        <v>52</v>
      </c>
      <c r="AE64" s="6" t="s">
        <v>52</v>
      </c>
      <c r="AF64" s="1" t="s">
        <v>60</v>
      </c>
      <c r="AG64" s="1" t="s">
        <v>53</v>
      </c>
      <c r="AH64" s="6" t="s">
        <v>49</v>
      </c>
      <c r="AI64" s="6" t="s">
        <v>272</v>
      </c>
      <c r="AJ64" s="6" t="s">
        <v>49</v>
      </c>
      <c r="AK64" s="6">
        <v>99</v>
      </c>
      <c r="AL64" s="6" t="s">
        <v>49</v>
      </c>
      <c r="AM64" s="6">
        <v>28.454499999999999</v>
      </c>
      <c r="AN64" s="6">
        <v>369.37299999999999</v>
      </c>
      <c r="AO64" s="6" t="s">
        <v>49</v>
      </c>
      <c r="AP64" s="6">
        <v>0</v>
      </c>
      <c r="AQ64" s="6" t="s">
        <v>49</v>
      </c>
      <c r="AR64" s="6">
        <v>369.37299999999999</v>
      </c>
      <c r="AS64" s="6" t="s">
        <v>49</v>
      </c>
      <c r="AT64" s="6" t="s">
        <v>49</v>
      </c>
      <c r="AU64" s="6" t="s">
        <v>49</v>
      </c>
      <c r="AV64" s="6" t="s">
        <v>49</v>
      </c>
    </row>
    <row r="65" spans="1:48" ht="14.4" customHeight="1">
      <c r="A65" s="6" t="s">
        <v>264</v>
      </c>
      <c r="B65" s="6" t="s">
        <v>38</v>
      </c>
      <c r="C65" s="6" t="s">
        <v>38</v>
      </c>
      <c r="D65" s="6" t="s">
        <v>265</v>
      </c>
      <c r="E65" s="6" t="s">
        <v>190</v>
      </c>
      <c r="F65" s="6">
        <v>2003</v>
      </c>
      <c r="G65" s="6" t="s">
        <v>266</v>
      </c>
      <c r="H65" s="6" t="s">
        <v>42</v>
      </c>
      <c r="I65" s="6" t="s">
        <v>267</v>
      </c>
      <c r="J65" s="6" t="str">
        <f t="shared" si="0"/>
        <v>Lobelia_cardinalis</v>
      </c>
      <c r="K65" s="6" t="s">
        <v>45</v>
      </c>
      <c r="L65" s="6" t="s">
        <v>46</v>
      </c>
      <c r="M65" s="6" t="s">
        <v>12</v>
      </c>
      <c r="N65" s="6" t="s">
        <v>76</v>
      </c>
      <c r="O65" s="6" t="s">
        <v>49</v>
      </c>
      <c r="P65" s="6" t="s">
        <v>49</v>
      </c>
      <c r="Q65" s="6" t="s">
        <v>49</v>
      </c>
      <c r="R65" s="6" t="s">
        <v>49</v>
      </c>
      <c r="S65" s="6" t="s">
        <v>268</v>
      </c>
      <c r="T65" s="6" t="s">
        <v>269</v>
      </c>
      <c r="U65" s="6" t="s">
        <v>251</v>
      </c>
      <c r="V65" s="6" t="s">
        <v>297</v>
      </c>
      <c r="W65" s="12">
        <v>41.776667000000003</v>
      </c>
      <c r="X65" s="12">
        <v>-93.413332999999994</v>
      </c>
      <c r="Y65" s="6" t="s">
        <v>141</v>
      </c>
      <c r="Z65" s="6" t="s">
        <v>271</v>
      </c>
      <c r="AA65" s="1" t="s">
        <v>49</v>
      </c>
      <c r="AB65" s="1" t="s">
        <v>49</v>
      </c>
      <c r="AC65" s="1" t="s">
        <v>49</v>
      </c>
      <c r="AD65" s="6" t="s">
        <v>68</v>
      </c>
      <c r="AE65" s="6" t="s">
        <v>69</v>
      </c>
      <c r="AF65" s="1" t="s">
        <v>49</v>
      </c>
      <c r="AG65" s="1" t="s">
        <v>49</v>
      </c>
      <c r="AH65" s="6" t="s">
        <v>49</v>
      </c>
      <c r="AI65" s="6" t="s">
        <v>272</v>
      </c>
      <c r="AJ65" s="6" t="s">
        <v>49</v>
      </c>
      <c r="AK65" s="6">
        <v>99</v>
      </c>
      <c r="AL65" s="6" t="s">
        <v>49</v>
      </c>
      <c r="AM65" s="6" t="s">
        <v>49</v>
      </c>
      <c r="AN65" s="6">
        <v>0.93500000000000005</v>
      </c>
      <c r="AO65" s="6" t="s">
        <v>49</v>
      </c>
      <c r="AP65" s="6">
        <v>0</v>
      </c>
      <c r="AQ65" s="6" t="s">
        <v>49</v>
      </c>
      <c r="AR65" s="6">
        <v>0.93500000000000005</v>
      </c>
      <c r="AS65" s="6" t="s">
        <v>49</v>
      </c>
      <c r="AT65" s="6" t="s">
        <v>49</v>
      </c>
      <c r="AU65" s="6" t="s">
        <v>49</v>
      </c>
      <c r="AV65" s="6" t="s">
        <v>49</v>
      </c>
    </row>
    <row r="66" spans="1:48" ht="14.4" customHeight="1">
      <c r="A66" s="6" t="s">
        <v>264</v>
      </c>
      <c r="B66" s="6" t="s">
        <v>38</v>
      </c>
      <c r="C66" s="6" t="s">
        <v>38</v>
      </c>
      <c r="D66" s="6" t="s">
        <v>265</v>
      </c>
      <c r="E66" s="6" t="s">
        <v>190</v>
      </c>
      <c r="F66" s="6">
        <v>2003</v>
      </c>
      <c r="G66" s="6" t="s">
        <v>266</v>
      </c>
      <c r="H66" s="6" t="s">
        <v>42</v>
      </c>
      <c r="I66" s="6" t="s">
        <v>267</v>
      </c>
      <c r="J66" s="6" t="str">
        <f t="shared" si="0"/>
        <v>Lobelia_cardinalis</v>
      </c>
      <c r="K66" s="6" t="s">
        <v>45</v>
      </c>
      <c r="L66" s="6" t="s">
        <v>46</v>
      </c>
      <c r="M66" s="6" t="s">
        <v>12</v>
      </c>
      <c r="N66" s="6" t="s">
        <v>76</v>
      </c>
      <c r="O66" s="6" t="s">
        <v>49</v>
      </c>
      <c r="P66" s="6" t="s">
        <v>49</v>
      </c>
      <c r="Q66" s="6" t="s">
        <v>49</v>
      </c>
      <c r="R66" s="6" t="s">
        <v>49</v>
      </c>
      <c r="S66" s="6" t="s">
        <v>268</v>
      </c>
      <c r="T66" s="6" t="s">
        <v>269</v>
      </c>
      <c r="U66" s="6" t="s">
        <v>251</v>
      </c>
      <c r="V66" s="6" t="s">
        <v>297</v>
      </c>
      <c r="W66" s="12">
        <v>41.776667000000003</v>
      </c>
      <c r="X66" s="12">
        <v>-93.413332999999994</v>
      </c>
      <c r="Y66" s="6" t="s">
        <v>141</v>
      </c>
      <c r="Z66" s="6" t="s">
        <v>271</v>
      </c>
      <c r="AA66" s="1" t="s">
        <v>49</v>
      </c>
      <c r="AB66" s="1" t="s">
        <v>49</v>
      </c>
      <c r="AC66" s="1" t="s">
        <v>49</v>
      </c>
      <c r="AD66" s="6" t="s">
        <v>68</v>
      </c>
      <c r="AE66" s="6" t="s">
        <v>63</v>
      </c>
      <c r="AF66" s="1" t="s">
        <v>49</v>
      </c>
      <c r="AG66" s="1" t="s">
        <v>49</v>
      </c>
      <c r="AH66" s="6" t="s">
        <v>49</v>
      </c>
      <c r="AI66" s="6" t="s">
        <v>272</v>
      </c>
      <c r="AJ66" s="6" t="s">
        <v>49</v>
      </c>
      <c r="AK66" s="6">
        <v>99</v>
      </c>
      <c r="AL66" s="6" t="s">
        <v>49</v>
      </c>
      <c r="AM66" s="6" t="s">
        <v>49</v>
      </c>
      <c r="AN66" s="6">
        <v>1.958</v>
      </c>
      <c r="AO66" s="6" t="s">
        <v>49</v>
      </c>
      <c r="AP66" s="6">
        <v>0</v>
      </c>
      <c r="AQ66" s="6" t="s">
        <v>49</v>
      </c>
      <c r="AR66" s="6">
        <v>1.958</v>
      </c>
      <c r="AS66" s="6" t="s">
        <v>49</v>
      </c>
      <c r="AT66" s="6" t="s">
        <v>49</v>
      </c>
      <c r="AU66" s="6" t="s">
        <v>49</v>
      </c>
      <c r="AV66" s="6" t="s">
        <v>49</v>
      </c>
    </row>
    <row r="67" spans="1:48" ht="14.4" customHeight="1">
      <c r="A67" s="6" t="s">
        <v>264</v>
      </c>
      <c r="B67" s="6" t="s">
        <v>38</v>
      </c>
      <c r="C67" s="6" t="s">
        <v>38</v>
      </c>
      <c r="D67" s="6" t="s">
        <v>265</v>
      </c>
      <c r="E67" s="6" t="s">
        <v>190</v>
      </c>
      <c r="F67" s="6">
        <v>2003</v>
      </c>
      <c r="G67" s="6" t="s">
        <v>266</v>
      </c>
      <c r="H67" s="6" t="s">
        <v>42</v>
      </c>
      <c r="I67" s="6" t="s">
        <v>267</v>
      </c>
      <c r="J67" s="6" t="str">
        <f t="shared" ref="J67:J130" si="1">H67&amp;"_"&amp;I67</f>
        <v>Lobelia_cardinalis</v>
      </c>
      <c r="K67" s="6" t="s">
        <v>45</v>
      </c>
      <c r="L67" s="6" t="s">
        <v>46</v>
      </c>
      <c r="M67" s="6" t="s">
        <v>12</v>
      </c>
      <c r="N67" s="6" t="s">
        <v>76</v>
      </c>
      <c r="O67" s="6" t="s">
        <v>49</v>
      </c>
      <c r="P67" s="6" t="s">
        <v>49</v>
      </c>
      <c r="Q67" s="6" t="s">
        <v>49</v>
      </c>
      <c r="R67" s="6" t="s">
        <v>49</v>
      </c>
      <c r="S67" s="6" t="s">
        <v>268</v>
      </c>
      <c r="T67" s="6" t="s">
        <v>269</v>
      </c>
      <c r="U67" s="6" t="s">
        <v>251</v>
      </c>
      <c r="V67" s="6" t="s">
        <v>297</v>
      </c>
      <c r="W67" s="12">
        <v>41.776667000000003</v>
      </c>
      <c r="X67" s="12">
        <v>-93.413332999999994</v>
      </c>
      <c r="Y67" s="6" t="s">
        <v>141</v>
      </c>
      <c r="Z67" s="6" t="s">
        <v>271</v>
      </c>
      <c r="AA67" s="1" t="s">
        <v>49</v>
      </c>
      <c r="AB67" s="1" t="s">
        <v>49</v>
      </c>
      <c r="AC67" s="1" t="s">
        <v>49</v>
      </c>
      <c r="AD67" s="6" t="s">
        <v>68</v>
      </c>
      <c r="AE67" s="6" t="s">
        <v>65</v>
      </c>
      <c r="AF67" s="1" t="s">
        <v>49</v>
      </c>
      <c r="AG67" s="1" t="s">
        <v>49</v>
      </c>
      <c r="AH67" s="6" t="s">
        <v>49</v>
      </c>
      <c r="AI67" s="6" t="s">
        <v>272</v>
      </c>
      <c r="AJ67" s="6" t="s">
        <v>49</v>
      </c>
      <c r="AK67" s="6">
        <v>99</v>
      </c>
      <c r="AL67" s="6" t="s">
        <v>49</v>
      </c>
      <c r="AM67" s="6" t="s">
        <v>49</v>
      </c>
      <c r="AN67" s="6">
        <v>-4.9000000000000002E-2</v>
      </c>
      <c r="AO67" s="6" t="s">
        <v>49</v>
      </c>
      <c r="AP67" s="6">
        <v>0</v>
      </c>
      <c r="AQ67" s="6" t="s">
        <v>49</v>
      </c>
      <c r="AR67" s="6">
        <v>-4.9000000000000002E-2</v>
      </c>
      <c r="AS67" s="6" t="s">
        <v>49</v>
      </c>
      <c r="AT67" s="6" t="s">
        <v>49</v>
      </c>
      <c r="AU67" s="6" t="s">
        <v>49</v>
      </c>
      <c r="AV67" s="6" t="s">
        <v>49</v>
      </c>
    </row>
    <row r="68" spans="1:48" ht="14.4" customHeight="1">
      <c r="A68" s="6" t="s">
        <v>264</v>
      </c>
      <c r="B68" s="6" t="s">
        <v>38</v>
      </c>
      <c r="C68" s="6" t="s">
        <v>38</v>
      </c>
      <c r="D68" s="6" t="s">
        <v>265</v>
      </c>
      <c r="E68" s="6" t="s">
        <v>190</v>
      </c>
      <c r="F68" s="6">
        <v>2003</v>
      </c>
      <c r="G68" s="6" t="s">
        <v>266</v>
      </c>
      <c r="H68" s="6" t="s">
        <v>42</v>
      </c>
      <c r="I68" s="6" t="s">
        <v>267</v>
      </c>
      <c r="J68" s="6" t="str">
        <f t="shared" si="1"/>
        <v>Lobelia_cardinalis</v>
      </c>
      <c r="K68" s="6" t="s">
        <v>45</v>
      </c>
      <c r="L68" s="6" t="s">
        <v>46</v>
      </c>
      <c r="M68" s="6" t="s">
        <v>12</v>
      </c>
      <c r="N68" s="6" t="s">
        <v>76</v>
      </c>
      <c r="O68" s="6" t="s">
        <v>49</v>
      </c>
      <c r="P68" s="6" t="s">
        <v>49</v>
      </c>
      <c r="Q68" s="6" t="s">
        <v>49</v>
      </c>
      <c r="R68" s="6" t="s">
        <v>49</v>
      </c>
      <c r="S68" s="6" t="s">
        <v>268</v>
      </c>
      <c r="T68" s="6" t="s">
        <v>269</v>
      </c>
      <c r="U68" s="6" t="s">
        <v>251</v>
      </c>
      <c r="V68" s="6" t="s">
        <v>297</v>
      </c>
      <c r="W68" s="12">
        <v>41.776667000000003</v>
      </c>
      <c r="X68" s="12">
        <v>-93.413332999999994</v>
      </c>
      <c r="Y68" s="6" t="s">
        <v>141</v>
      </c>
      <c r="Z68" s="6" t="s">
        <v>271</v>
      </c>
      <c r="AA68" s="1" t="s">
        <v>49</v>
      </c>
      <c r="AB68" s="1" t="s">
        <v>49</v>
      </c>
      <c r="AC68" s="1" t="s">
        <v>49</v>
      </c>
      <c r="AD68" s="6" t="s">
        <v>68</v>
      </c>
      <c r="AE68" s="6" t="s">
        <v>59</v>
      </c>
      <c r="AF68" s="1" t="s">
        <v>49</v>
      </c>
      <c r="AG68" s="1" t="s">
        <v>49</v>
      </c>
      <c r="AH68" s="6" t="s">
        <v>49</v>
      </c>
      <c r="AI68" s="6" t="s">
        <v>272</v>
      </c>
      <c r="AJ68" s="6" t="s">
        <v>49</v>
      </c>
      <c r="AK68" s="6">
        <v>99</v>
      </c>
      <c r="AL68" s="6" t="s">
        <v>49</v>
      </c>
      <c r="AM68" s="6" t="s">
        <v>49</v>
      </c>
      <c r="AN68" s="6">
        <v>2.9089999999999998</v>
      </c>
      <c r="AO68" s="6" t="s">
        <v>49</v>
      </c>
      <c r="AP68" s="6">
        <v>0</v>
      </c>
      <c r="AQ68" s="6" t="s">
        <v>49</v>
      </c>
      <c r="AR68" s="6">
        <v>2.9089999999999998</v>
      </c>
      <c r="AS68" s="6" t="s">
        <v>49</v>
      </c>
      <c r="AT68" s="6" t="s">
        <v>49</v>
      </c>
      <c r="AU68" s="6" t="s">
        <v>49</v>
      </c>
      <c r="AV68" s="6" t="s">
        <v>49</v>
      </c>
    </row>
    <row r="69" spans="1:48" ht="14.4" customHeight="1">
      <c r="A69" s="6" t="s">
        <v>264</v>
      </c>
      <c r="B69" s="6" t="s">
        <v>38</v>
      </c>
      <c r="C69" s="6" t="s">
        <v>38</v>
      </c>
      <c r="D69" s="6" t="s">
        <v>265</v>
      </c>
      <c r="E69" s="6" t="s">
        <v>190</v>
      </c>
      <c r="F69" s="6">
        <v>2003</v>
      </c>
      <c r="G69" s="6" t="s">
        <v>266</v>
      </c>
      <c r="H69" s="6" t="s">
        <v>42</v>
      </c>
      <c r="I69" s="6" t="s">
        <v>267</v>
      </c>
      <c r="J69" s="6" t="str">
        <f t="shared" si="1"/>
        <v>Lobelia_cardinalis</v>
      </c>
      <c r="K69" s="6" t="s">
        <v>45</v>
      </c>
      <c r="L69" s="6" t="s">
        <v>46</v>
      </c>
      <c r="M69" s="6" t="s">
        <v>12</v>
      </c>
      <c r="N69" s="6" t="s">
        <v>76</v>
      </c>
      <c r="O69" s="6" t="s">
        <v>49</v>
      </c>
      <c r="P69" s="6" t="s">
        <v>49</v>
      </c>
      <c r="Q69" s="6" t="s">
        <v>49</v>
      </c>
      <c r="R69" s="6" t="s">
        <v>49</v>
      </c>
      <c r="S69" s="6" t="s">
        <v>268</v>
      </c>
      <c r="T69" s="6" t="s">
        <v>269</v>
      </c>
      <c r="U69" s="6" t="s">
        <v>251</v>
      </c>
      <c r="V69" s="6" t="s">
        <v>297</v>
      </c>
      <c r="W69" s="12">
        <v>41.776667000000003</v>
      </c>
      <c r="X69" s="12">
        <v>-93.413332999999994</v>
      </c>
      <c r="Y69" s="6" t="s">
        <v>141</v>
      </c>
      <c r="Z69" s="6" t="s">
        <v>271</v>
      </c>
      <c r="AA69" s="1" t="s">
        <v>49</v>
      </c>
      <c r="AB69" s="1" t="s">
        <v>49</v>
      </c>
      <c r="AC69" s="1" t="s">
        <v>49</v>
      </c>
      <c r="AD69" s="6" t="s">
        <v>68</v>
      </c>
      <c r="AE69" s="6" t="s">
        <v>273</v>
      </c>
      <c r="AF69" s="1" t="s">
        <v>49</v>
      </c>
      <c r="AG69" s="1" t="s">
        <v>49</v>
      </c>
      <c r="AH69" s="6" t="s">
        <v>49</v>
      </c>
      <c r="AI69" s="6" t="s">
        <v>272</v>
      </c>
      <c r="AJ69" s="6" t="s">
        <v>49</v>
      </c>
      <c r="AK69" s="6">
        <v>99</v>
      </c>
      <c r="AL69" s="6" t="s">
        <v>49</v>
      </c>
      <c r="AM69" s="6" t="s">
        <v>49</v>
      </c>
      <c r="AN69" s="6">
        <v>1.091</v>
      </c>
      <c r="AO69" s="6" t="s">
        <v>49</v>
      </c>
      <c r="AP69" s="6">
        <v>0</v>
      </c>
      <c r="AQ69" s="6" t="s">
        <v>49</v>
      </c>
      <c r="AR69" s="6">
        <v>1.091</v>
      </c>
      <c r="AS69" s="6" t="s">
        <v>49</v>
      </c>
      <c r="AT69" s="6" t="s">
        <v>49</v>
      </c>
      <c r="AU69" s="6" t="s">
        <v>49</v>
      </c>
      <c r="AV69" s="6" t="s">
        <v>49</v>
      </c>
    </row>
    <row r="70" spans="1:48" ht="14.4" customHeight="1">
      <c r="A70" s="6" t="s">
        <v>264</v>
      </c>
      <c r="B70" s="6" t="s">
        <v>38</v>
      </c>
      <c r="C70" s="6" t="s">
        <v>38</v>
      </c>
      <c r="D70" s="6" t="s">
        <v>265</v>
      </c>
      <c r="E70" s="6" t="s">
        <v>190</v>
      </c>
      <c r="F70" s="6">
        <v>2003</v>
      </c>
      <c r="G70" s="6" t="s">
        <v>266</v>
      </c>
      <c r="H70" s="6" t="s">
        <v>42</v>
      </c>
      <c r="I70" s="6" t="s">
        <v>267</v>
      </c>
      <c r="J70" s="6" t="str">
        <f t="shared" si="1"/>
        <v>Lobelia_cardinalis</v>
      </c>
      <c r="K70" s="6" t="s">
        <v>45</v>
      </c>
      <c r="L70" s="6" t="s">
        <v>46</v>
      </c>
      <c r="M70" s="6" t="s">
        <v>12</v>
      </c>
      <c r="N70" s="6" t="s">
        <v>76</v>
      </c>
      <c r="O70" s="6" t="s">
        <v>49</v>
      </c>
      <c r="P70" s="6" t="s">
        <v>49</v>
      </c>
      <c r="Q70" s="6" t="s">
        <v>49</v>
      </c>
      <c r="R70" s="6" t="s">
        <v>49</v>
      </c>
      <c r="S70" s="6" t="s">
        <v>268</v>
      </c>
      <c r="T70" s="6" t="s">
        <v>269</v>
      </c>
      <c r="U70" s="6" t="s">
        <v>251</v>
      </c>
      <c r="V70" s="6" t="s">
        <v>297</v>
      </c>
      <c r="W70" s="12">
        <v>41.776667000000003</v>
      </c>
      <c r="X70" s="12">
        <v>-93.413332999999994</v>
      </c>
      <c r="Y70" s="6" t="s">
        <v>141</v>
      </c>
      <c r="Z70" s="6" t="s">
        <v>271</v>
      </c>
      <c r="AA70" s="1" t="s">
        <v>49</v>
      </c>
      <c r="AB70" s="1" t="s">
        <v>49</v>
      </c>
      <c r="AC70" s="1" t="s">
        <v>49</v>
      </c>
      <c r="AD70" s="6" t="s">
        <v>68</v>
      </c>
      <c r="AE70" s="6" t="s">
        <v>52</v>
      </c>
      <c r="AF70" s="1" t="s">
        <v>49</v>
      </c>
      <c r="AG70" s="1" t="s">
        <v>49</v>
      </c>
      <c r="AH70" s="6" t="s">
        <v>49</v>
      </c>
      <c r="AI70" s="6" t="s">
        <v>272</v>
      </c>
      <c r="AJ70" s="6" t="s">
        <v>49</v>
      </c>
      <c r="AK70" s="6">
        <v>99</v>
      </c>
      <c r="AL70" s="6" t="s">
        <v>49</v>
      </c>
      <c r="AM70" s="6" t="s">
        <v>49</v>
      </c>
      <c r="AN70" s="6">
        <v>2.359</v>
      </c>
      <c r="AO70" s="6" t="s">
        <v>49</v>
      </c>
      <c r="AP70" s="6">
        <v>0</v>
      </c>
      <c r="AQ70" s="6" t="s">
        <v>49</v>
      </c>
      <c r="AR70" s="6">
        <v>2.359</v>
      </c>
      <c r="AS70" s="6" t="s">
        <v>49</v>
      </c>
      <c r="AT70" s="6" t="s">
        <v>49</v>
      </c>
      <c r="AU70" s="6" t="s">
        <v>49</v>
      </c>
      <c r="AV70" s="6" t="s">
        <v>49</v>
      </c>
    </row>
    <row r="71" spans="1:48" ht="14.4" customHeight="1">
      <c r="A71" s="6" t="s">
        <v>264</v>
      </c>
      <c r="B71" s="6" t="s">
        <v>38</v>
      </c>
      <c r="C71" s="6" t="s">
        <v>38</v>
      </c>
      <c r="D71" s="6" t="s">
        <v>265</v>
      </c>
      <c r="E71" s="6" t="s">
        <v>190</v>
      </c>
      <c r="F71" s="6">
        <v>2003</v>
      </c>
      <c r="G71" s="6" t="s">
        <v>266</v>
      </c>
      <c r="H71" s="6" t="s">
        <v>42</v>
      </c>
      <c r="I71" s="6" t="s">
        <v>267</v>
      </c>
      <c r="J71" s="6" t="str">
        <f t="shared" si="1"/>
        <v>Lobelia_cardinalis</v>
      </c>
      <c r="K71" s="6" t="s">
        <v>45</v>
      </c>
      <c r="L71" s="6" t="s">
        <v>46</v>
      </c>
      <c r="M71" s="6" t="s">
        <v>12</v>
      </c>
      <c r="N71" s="6" t="s">
        <v>76</v>
      </c>
      <c r="O71" s="6" t="s">
        <v>49</v>
      </c>
      <c r="P71" s="6" t="s">
        <v>49</v>
      </c>
      <c r="Q71" s="6" t="s">
        <v>49</v>
      </c>
      <c r="R71" s="6" t="s">
        <v>49</v>
      </c>
      <c r="S71" s="6" t="s">
        <v>268</v>
      </c>
      <c r="T71" s="6" t="s">
        <v>269</v>
      </c>
      <c r="U71" s="6" t="s">
        <v>251</v>
      </c>
      <c r="V71" s="6" t="s">
        <v>297</v>
      </c>
      <c r="W71" s="12">
        <v>41.776667000000003</v>
      </c>
      <c r="X71" s="12">
        <v>-93.413332999999994</v>
      </c>
      <c r="Y71" s="6" t="s">
        <v>141</v>
      </c>
      <c r="Z71" s="6" t="s">
        <v>271</v>
      </c>
      <c r="AA71" s="1" t="s">
        <v>49</v>
      </c>
      <c r="AB71" s="1" t="s">
        <v>49</v>
      </c>
      <c r="AC71" s="1" t="s">
        <v>49</v>
      </c>
      <c r="AD71" s="6" t="s">
        <v>69</v>
      </c>
      <c r="AE71" s="6" t="s">
        <v>63</v>
      </c>
      <c r="AF71" s="1" t="s">
        <v>49</v>
      </c>
      <c r="AG71" s="1" t="s">
        <v>49</v>
      </c>
      <c r="AH71" s="6" t="s">
        <v>49</v>
      </c>
      <c r="AI71" s="6" t="s">
        <v>272</v>
      </c>
      <c r="AJ71" s="6" t="s">
        <v>49</v>
      </c>
      <c r="AK71" s="6">
        <v>99</v>
      </c>
      <c r="AL71" s="6" t="s">
        <v>49</v>
      </c>
      <c r="AM71" s="6" t="s">
        <v>49</v>
      </c>
      <c r="AN71" s="6">
        <v>0.45200000000000001</v>
      </c>
      <c r="AO71" s="6" t="s">
        <v>49</v>
      </c>
      <c r="AP71" s="6">
        <v>0</v>
      </c>
      <c r="AQ71" s="6" t="s">
        <v>49</v>
      </c>
      <c r="AR71" s="6">
        <v>0.45200000000000001</v>
      </c>
      <c r="AS71" s="6" t="s">
        <v>49</v>
      </c>
      <c r="AT71" s="6" t="s">
        <v>49</v>
      </c>
      <c r="AU71" s="6" t="s">
        <v>49</v>
      </c>
      <c r="AV71" s="6" t="s">
        <v>49</v>
      </c>
    </row>
    <row r="72" spans="1:48" ht="14.4" customHeight="1">
      <c r="A72" s="6" t="s">
        <v>264</v>
      </c>
      <c r="B72" s="6" t="s">
        <v>38</v>
      </c>
      <c r="C72" s="6" t="s">
        <v>38</v>
      </c>
      <c r="D72" s="6" t="s">
        <v>265</v>
      </c>
      <c r="E72" s="6" t="s">
        <v>190</v>
      </c>
      <c r="F72" s="6">
        <v>2003</v>
      </c>
      <c r="G72" s="6" t="s">
        <v>266</v>
      </c>
      <c r="H72" s="6" t="s">
        <v>42</v>
      </c>
      <c r="I72" s="6" t="s">
        <v>267</v>
      </c>
      <c r="J72" s="6" t="str">
        <f t="shared" si="1"/>
        <v>Lobelia_cardinalis</v>
      </c>
      <c r="K72" s="6" t="s">
        <v>45</v>
      </c>
      <c r="L72" s="6" t="s">
        <v>46</v>
      </c>
      <c r="M72" s="6" t="s">
        <v>12</v>
      </c>
      <c r="N72" s="6" t="s">
        <v>76</v>
      </c>
      <c r="O72" s="6" t="s">
        <v>49</v>
      </c>
      <c r="P72" s="6" t="s">
        <v>49</v>
      </c>
      <c r="Q72" s="6" t="s">
        <v>49</v>
      </c>
      <c r="R72" s="6" t="s">
        <v>49</v>
      </c>
      <c r="S72" s="6" t="s">
        <v>268</v>
      </c>
      <c r="T72" s="6" t="s">
        <v>269</v>
      </c>
      <c r="U72" s="6" t="s">
        <v>251</v>
      </c>
      <c r="V72" s="6" t="s">
        <v>297</v>
      </c>
      <c r="W72" s="12">
        <v>41.776667000000003</v>
      </c>
      <c r="X72" s="12">
        <v>-93.413332999999994</v>
      </c>
      <c r="Y72" s="6" t="s">
        <v>141</v>
      </c>
      <c r="Z72" s="6" t="s">
        <v>271</v>
      </c>
      <c r="AA72" s="1" t="s">
        <v>49</v>
      </c>
      <c r="AB72" s="1" t="s">
        <v>49</v>
      </c>
      <c r="AC72" s="1" t="s">
        <v>49</v>
      </c>
      <c r="AD72" s="6" t="s">
        <v>69</v>
      </c>
      <c r="AE72" s="6" t="s">
        <v>65</v>
      </c>
      <c r="AF72" s="1" t="s">
        <v>49</v>
      </c>
      <c r="AG72" s="1" t="s">
        <v>49</v>
      </c>
      <c r="AH72" s="6" t="s">
        <v>49</v>
      </c>
      <c r="AI72" s="6" t="s">
        <v>272</v>
      </c>
      <c r="AJ72" s="6" t="s">
        <v>49</v>
      </c>
      <c r="AK72" s="6">
        <v>99</v>
      </c>
      <c r="AL72" s="6" t="s">
        <v>49</v>
      </c>
      <c r="AM72" s="6" t="s">
        <v>49</v>
      </c>
      <c r="AN72" s="6">
        <v>-0.01</v>
      </c>
      <c r="AO72" s="6" t="s">
        <v>49</v>
      </c>
      <c r="AP72" s="6">
        <v>0</v>
      </c>
      <c r="AQ72" s="6" t="s">
        <v>49</v>
      </c>
      <c r="AR72" s="6">
        <v>-0.01</v>
      </c>
      <c r="AS72" s="6" t="s">
        <v>49</v>
      </c>
      <c r="AT72" s="6" t="s">
        <v>49</v>
      </c>
      <c r="AU72" s="6" t="s">
        <v>49</v>
      </c>
      <c r="AV72" s="6" t="s">
        <v>49</v>
      </c>
    </row>
    <row r="73" spans="1:48" ht="14.4" customHeight="1">
      <c r="A73" s="6" t="s">
        <v>264</v>
      </c>
      <c r="B73" s="6" t="s">
        <v>38</v>
      </c>
      <c r="C73" s="6" t="s">
        <v>38</v>
      </c>
      <c r="D73" s="6" t="s">
        <v>265</v>
      </c>
      <c r="E73" s="6" t="s">
        <v>190</v>
      </c>
      <c r="F73" s="6">
        <v>2003</v>
      </c>
      <c r="G73" s="6" t="s">
        <v>266</v>
      </c>
      <c r="H73" s="6" t="s">
        <v>42</v>
      </c>
      <c r="I73" s="6" t="s">
        <v>267</v>
      </c>
      <c r="J73" s="6" t="str">
        <f t="shared" si="1"/>
        <v>Lobelia_cardinalis</v>
      </c>
      <c r="K73" s="6" t="s">
        <v>45</v>
      </c>
      <c r="L73" s="6" t="s">
        <v>46</v>
      </c>
      <c r="M73" s="6" t="s">
        <v>12</v>
      </c>
      <c r="N73" s="6" t="s">
        <v>76</v>
      </c>
      <c r="O73" s="6" t="s">
        <v>49</v>
      </c>
      <c r="P73" s="6" t="s">
        <v>49</v>
      </c>
      <c r="Q73" s="6" t="s">
        <v>49</v>
      </c>
      <c r="R73" s="6" t="s">
        <v>49</v>
      </c>
      <c r="S73" s="6" t="s">
        <v>268</v>
      </c>
      <c r="T73" s="6" t="s">
        <v>269</v>
      </c>
      <c r="U73" s="6" t="s">
        <v>251</v>
      </c>
      <c r="V73" s="6" t="s">
        <v>297</v>
      </c>
      <c r="W73" s="12">
        <v>41.776667000000003</v>
      </c>
      <c r="X73" s="12">
        <v>-93.413332999999994</v>
      </c>
      <c r="Y73" s="6" t="s">
        <v>141</v>
      </c>
      <c r="Z73" s="6" t="s">
        <v>271</v>
      </c>
      <c r="AA73" s="1" t="s">
        <v>49</v>
      </c>
      <c r="AB73" s="1" t="s">
        <v>49</v>
      </c>
      <c r="AC73" s="1" t="s">
        <v>49</v>
      </c>
      <c r="AD73" s="6" t="s">
        <v>69</v>
      </c>
      <c r="AE73" s="6" t="s">
        <v>59</v>
      </c>
      <c r="AF73" s="1" t="s">
        <v>49</v>
      </c>
      <c r="AG73" s="1" t="s">
        <v>49</v>
      </c>
      <c r="AH73" s="6" t="s">
        <v>49</v>
      </c>
      <c r="AI73" s="6" t="s">
        <v>272</v>
      </c>
      <c r="AJ73" s="6" t="s">
        <v>49</v>
      </c>
      <c r="AK73" s="6">
        <v>99</v>
      </c>
      <c r="AL73" s="6" t="s">
        <v>49</v>
      </c>
      <c r="AM73" s="6" t="s">
        <v>49</v>
      </c>
      <c r="AN73" s="6">
        <v>0.55600000000000005</v>
      </c>
      <c r="AO73" s="6" t="s">
        <v>49</v>
      </c>
      <c r="AP73" s="6">
        <v>0</v>
      </c>
      <c r="AQ73" s="6" t="s">
        <v>49</v>
      </c>
      <c r="AR73" s="6">
        <v>0.55600000000000005</v>
      </c>
      <c r="AS73" s="6" t="s">
        <v>49</v>
      </c>
      <c r="AT73" s="6" t="s">
        <v>49</v>
      </c>
      <c r="AU73" s="6" t="s">
        <v>49</v>
      </c>
      <c r="AV73" s="6" t="s">
        <v>49</v>
      </c>
    </row>
    <row r="74" spans="1:48" ht="14.4" customHeight="1">
      <c r="A74" s="6" t="s">
        <v>264</v>
      </c>
      <c r="B74" s="6" t="s">
        <v>38</v>
      </c>
      <c r="C74" s="6" t="s">
        <v>38</v>
      </c>
      <c r="D74" s="6" t="s">
        <v>265</v>
      </c>
      <c r="E74" s="6" t="s">
        <v>190</v>
      </c>
      <c r="F74" s="6">
        <v>2003</v>
      </c>
      <c r="G74" s="6" t="s">
        <v>266</v>
      </c>
      <c r="H74" s="6" t="s">
        <v>42</v>
      </c>
      <c r="I74" s="6" t="s">
        <v>267</v>
      </c>
      <c r="J74" s="6" t="str">
        <f t="shared" si="1"/>
        <v>Lobelia_cardinalis</v>
      </c>
      <c r="K74" s="6" t="s">
        <v>45</v>
      </c>
      <c r="L74" s="6" t="s">
        <v>46</v>
      </c>
      <c r="M74" s="6" t="s">
        <v>12</v>
      </c>
      <c r="N74" s="6" t="s">
        <v>76</v>
      </c>
      <c r="O74" s="6" t="s">
        <v>49</v>
      </c>
      <c r="P74" s="6" t="s">
        <v>49</v>
      </c>
      <c r="Q74" s="6" t="s">
        <v>49</v>
      </c>
      <c r="R74" s="6" t="s">
        <v>49</v>
      </c>
      <c r="S74" s="6" t="s">
        <v>268</v>
      </c>
      <c r="T74" s="6" t="s">
        <v>269</v>
      </c>
      <c r="U74" s="6" t="s">
        <v>251</v>
      </c>
      <c r="V74" s="6" t="s">
        <v>297</v>
      </c>
      <c r="W74" s="12">
        <v>41.776667000000003</v>
      </c>
      <c r="X74" s="12">
        <v>-93.413332999999994</v>
      </c>
      <c r="Y74" s="6" t="s">
        <v>141</v>
      </c>
      <c r="Z74" s="6" t="s">
        <v>271</v>
      </c>
      <c r="AA74" s="1" t="s">
        <v>49</v>
      </c>
      <c r="AB74" s="1" t="s">
        <v>49</v>
      </c>
      <c r="AC74" s="1" t="s">
        <v>49</v>
      </c>
      <c r="AD74" s="6" t="s">
        <v>69</v>
      </c>
      <c r="AE74" s="6" t="s">
        <v>273</v>
      </c>
      <c r="AF74" s="1" t="s">
        <v>49</v>
      </c>
      <c r="AG74" s="1" t="s">
        <v>49</v>
      </c>
      <c r="AH74" s="6" t="s">
        <v>49</v>
      </c>
      <c r="AI74" s="6" t="s">
        <v>272</v>
      </c>
      <c r="AJ74" s="6" t="s">
        <v>49</v>
      </c>
      <c r="AK74" s="6">
        <v>99</v>
      </c>
      <c r="AL74" s="6" t="s">
        <v>49</v>
      </c>
      <c r="AM74" s="6" t="s">
        <v>49</v>
      </c>
      <c r="AN74" s="6">
        <v>0.156</v>
      </c>
      <c r="AO74" s="6" t="s">
        <v>49</v>
      </c>
      <c r="AP74" s="6">
        <v>0</v>
      </c>
      <c r="AQ74" s="6" t="s">
        <v>49</v>
      </c>
      <c r="AR74" s="6">
        <v>0.156</v>
      </c>
      <c r="AS74" s="6" t="s">
        <v>49</v>
      </c>
      <c r="AT74" s="6" t="s">
        <v>49</v>
      </c>
      <c r="AU74" s="6" t="s">
        <v>49</v>
      </c>
      <c r="AV74" s="6" t="s">
        <v>49</v>
      </c>
    </row>
    <row r="75" spans="1:48" ht="14.4" customHeight="1">
      <c r="A75" s="6" t="s">
        <v>264</v>
      </c>
      <c r="B75" s="6" t="s">
        <v>38</v>
      </c>
      <c r="C75" s="6" t="s">
        <v>38</v>
      </c>
      <c r="D75" s="6" t="s">
        <v>265</v>
      </c>
      <c r="E75" s="6" t="s">
        <v>190</v>
      </c>
      <c r="F75" s="6">
        <v>2003</v>
      </c>
      <c r="G75" s="6" t="s">
        <v>266</v>
      </c>
      <c r="H75" s="6" t="s">
        <v>42</v>
      </c>
      <c r="I75" s="6" t="s">
        <v>267</v>
      </c>
      <c r="J75" s="6" t="str">
        <f t="shared" si="1"/>
        <v>Lobelia_cardinalis</v>
      </c>
      <c r="K75" s="6" t="s">
        <v>45</v>
      </c>
      <c r="L75" s="6" t="s">
        <v>46</v>
      </c>
      <c r="M75" s="6" t="s">
        <v>12</v>
      </c>
      <c r="N75" s="6" t="s">
        <v>76</v>
      </c>
      <c r="O75" s="6" t="s">
        <v>49</v>
      </c>
      <c r="P75" s="6" t="s">
        <v>49</v>
      </c>
      <c r="Q75" s="6" t="s">
        <v>49</v>
      </c>
      <c r="R75" s="6" t="s">
        <v>49</v>
      </c>
      <c r="S75" s="6" t="s">
        <v>268</v>
      </c>
      <c r="T75" s="6" t="s">
        <v>269</v>
      </c>
      <c r="U75" s="6" t="s">
        <v>251</v>
      </c>
      <c r="V75" s="6" t="s">
        <v>297</v>
      </c>
      <c r="W75" s="12">
        <v>41.776667000000003</v>
      </c>
      <c r="X75" s="12">
        <v>-93.413332999999994</v>
      </c>
      <c r="Y75" s="6" t="s">
        <v>141</v>
      </c>
      <c r="Z75" s="6" t="s">
        <v>271</v>
      </c>
      <c r="AA75" s="1" t="s">
        <v>49</v>
      </c>
      <c r="AB75" s="1" t="s">
        <v>49</v>
      </c>
      <c r="AC75" s="1" t="s">
        <v>49</v>
      </c>
      <c r="AD75" s="6" t="s">
        <v>69</v>
      </c>
      <c r="AE75" s="6" t="s">
        <v>52</v>
      </c>
      <c r="AF75" s="1" t="s">
        <v>49</v>
      </c>
      <c r="AG75" s="1" t="s">
        <v>49</v>
      </c>
      <c r="AH75" s="6" t="s">
        <v>49</v>
      </c>
      <c r="AI75" s="6" t="s">
        <v>272</v>
      </c>
      <c r="AJ75" s="6" t="s">
        <v>49</v>
      </c>
      <c r="AK75" s="6">
        <v>99</v>
      </c>
      <c r="AL75" s="6" t="s">
        <v>49</v>
      </c>
      <c r="AM75" s="6" t="s">
        <v>49</v>
      </c>
      <c r="AN75" s="6">
        <v>0.52800000000000002</v>
      </c>
      <c r="AO75" s="6" t="s">
        <v>49</v>
      </c>
      <c r="AP75" s="6">
        <v>0</v>
      </c>
      <c r="AQ75" s="6" t="s">
        <v>49</v>
      </c>
      <c r="AR75" s="6">
        <v>0.52800000000000002</v>
      </c>
      <c r="AS75" s="6" t="s">
        <v>49</v>
      </c>
      <c r="AT75" s="6" t="s">
        <v>49</v>
      </c>
      <c r="AU75" s="6" t="s">
        <v>49</v>
      </c>
      <c r="AV75" s="6" t="s">
        <v>49</v>
      </c>
    </row>
    <row r="76" spans="1:48" ht="14.4" customHeight="1">
      <c r="A76" s="6" t="s">
        <v>264</v>
      </c>
      <c r="B76" s="6" t="s">
        <v>38</v>
      </c>
      <c r="C76" s="6" t="s">
        <v>38</v>
      </c>
      <c r="D76" s="6" t="s">
        <v>265</v>
      </c>
      <c r="E76" s="6" t="s">
        <v>190</v>
      </c>
      <c r="F76" s="6">
        <v>2003</v>
      </c>
      <c r="G76" s="6" t="s">
        <v>266</v>
      </c>
      <c r="H76" s="6" t="s">
        <v>42</v>
      </c>
      <c r="I76" s="6" t="s">
        <v>267</v>
      </c>
      <c r="J76" s="6" t="str">
        <f t="shared" si="1"/>
        <v>Lobelia_cardinalis</v>
      </c>
      <c r="K76" s="6" t="s">
        <v>45</v>
      </c>
      <c r="L76" s="6" t="s">
        <v>46</v>
      </c>
      <c r="M76" s="6" t="s">
        <v>12</v>
      </c>
      <c r="N76" s="6" t="s">
        <v>76</v>
      </c>
      <c r="O76" s="6" t="s">
        <v>49</v>
      </c>
      <c r="P76" s="6" t="s">
        <v>49</v>
      </c>
      <c r="Q76" s="6" t="s">
        <v>49</v>
      </c>
      <c r="R76" s="6" t="s">
        <v>49</v>
      </c>
      <c r="S76" s="6" t="s">
        <v>268</v>
      </c>
      <c r="T76" s="6" t="s">
        <v>269</v>
      </c>
      <c r="U76" s="6" t="s">
        <v>251</v>
      </c>
      <c r="V76" s="6" t="s">
        <v>297</v>
      </c>
      <c r="W76" s="12">
        <v>41.776667000000003</v>
      </c>
      <c r="X76" s="12">
        <v>-93.413332999999994</v>
      </c>
      <c r="Y76" s="6" t="s">
        <v>141</v>
      </c>
      <c r="Z76" s="6" t="s">
        <v>271</v>
      </c>
      <c r="AA76" s="1" t="s">
        <v>49</v>
      </c>
      <c r="AB76" s="1" t="s">
        <v>49</v>
      </c>
      <c r="AC76" s="1" t="s">
        <v>49</v>
      </c>
      <c r="AD76" s="6" t="s">
        <v>63</v>
      </c>
      <c r="AE76" s="6" t="s">
        <v>65</v>
      </c>
      <c r="AF76" s="1" t="s">
        <v>49</v>
      </c>
      <c r="AG76" s="1" t="s">
        <v>49</v>
      </c>
      <c r="AH76" s="6" t="s">
        <v>49</v>
      </c>
      <c r="AI76" s="6" t="s">
        <v>272</v>
      </c>
      <c r="AJ76" s="6" t="s">
        <v>49</v>
      </c>
      <c r="AK76" s="6">
        <v>99</v>
      </c>
      <c r="AL76" s="6" t="s">
        <v>49</v>
      </c>
      <c r="AM76" s="6" t="s">
        <v>49</v>
      </c>
      <c r="AN76" s="6">
        <v>-4.5999999999999999E-2</v>
      </c>
      <c r="AO76" s="6" t="s">
        <v>49</v>
      </c>
      <c r="AP76" s="6">
        <v>0</v>
      </c>
      <c r="AQ76" s="6" t="s">
        <v>49</v>
      </c>
      <c r="AR76" s="6">
        <v>-4.5999999999999999E-2</v>
      </c>
      <c r="AS76" s="6" t="s">
        <v>49</v>
      </c>
      <c r="AT76" s="6" t="s">
        <v>49</v>
      </c>
      <c r="AU76" s="6" t="s">
        <v>49</v>
      </c>
      <c r="AV76" s="6" t="s">
        <v>49</v>
      </c>
    </row>
    <row r="77" spans="1:48" ht="14.4" customHeight="1">
      <c r="A77" s="6" t="s">
        <v>264</v>
      </c>
      <c r="B77" s="6" t="s">
        <v>38</v>
      </c>
      <c r="C77" s="6" t="s">
        <v>38</v>
      </c>
      <c r="D77" s="6" t="s">
        <v>265</v>
      </c>
      <c r="E77" s="6" t="s">
        <v>190</v>
      </c>
      <c r="F77" s="6">
        <v>2003</v>
      </c>
      <c r="G77" s="6" t="s">
        <v>266</v>
      </c>
      <c r="H77" s="6" t="s">
        <v>42</v>
      </c>
      <c r="I77" s="6" t="s">
        <v>267</v>
      </c>
      <c r="J77" s="6" t="str">
        <f t="shared" si="1"/>
        <v>Lobelia_cardinalis</v>
      </c>
      <c r="K77" s="6" t="s">
        <v>45</v>
      </c>
      <c r="L77" s="6" t="s">
        <v>46</v>
      </c>
      <c r="M77" s="6" t="s">
        <v>12</v>
      </c>
      <c r="N77" s="6" t="s">
        <v>76</v>
      </c>
      <c r="O77" s="6" t="s">
        <v>49</v>
      </c>
      <c r="P77" s="6" t="s">
        <v>49</v>
      </c>
      <c r="Q77" s="6" t="s">
        <v>49</v>
      </c>
      <c r="R77" s="6" t="s">
        <v>49</v>
      </c>
      <c r="S77" s="6" t="s">
        <v>268</v>
      </c>
      <c r="T77" s="6" t="s">
        <v>269</v>
      </c>
      <c r="U77" s="6" t="s">
        <v>251</v>
      </c>
      <c r="V77" s="6" t="s">
        <v>297</v>
      </c>
      <c r="W77" s="12">
        <v>41.776667000000003</v>
      </c>
      <c r="X77" s="12">
        <v>-93.413332999999994</v>
      </c>
      <c r="Y77" s="6" t="s">
        <v>141</v>
      </c>
      <c r="Z77" s="6" t="s">
        <v>271</v>
      </c>
      <c r="AA77" s="1" t="s">
        <v>49</v>
      </c>
      <c r="AB77" s="1" t="s">
        <v>49</v>
      </c>
      <c r="AC77" s="1" t="s">
        <v>49</v>
      </c>
      <c r="AD77" s="6" t="s">
        <v>63</v>
      </c>
      <c r="AE77" s="6" t="s">
        <v>59</v>
      </c>
      <c r="AF77" s="1" t="s">
        <v>49</v>
      </c>
      <c r="AG77" s="1" t="s">
        <v>49</v>
      </c>
      <c r="AH77" s="6" t="s">
        <v>49</v>
      </c>
      <c r="AI77" s="6" t="s">
        <v>272</v>
      </c>
      <c r="AJ77" s="6" t="s">
        <v>49</v>
      </c>
      <c r="AK77" s="6">
        <v>99</v>
      </c>
      <c r="AL77" s="6" t="s">
        <v>49</v>
      </c>
      <c r="AM77" s="6" t="s">
        <v>49</v>
      </c>
      <c r="AN77" s="6">
        <v>3.4809999999999999</v>
      </c>
      <c r="AO77" s="6" t="s">
        <v>49</v>
      </c>
      <c r="AP77" s="6">
        <v>0</v>
      </c>
      <c r="AQ77" s="6" t="s">
        <v>49</v>
      </c>
      <c r="AR77" s="6">
        <v>3.4809999999999999</v>
      </c>
      <c r="AS77" s="6" t="s">
        <v>49</v>
      </c>
      <c r="AT77" s="6" t="s">
        <v>49</v>
      </c>
      <c r="AU77" s="6" t="s">
        <v>49</v>
      </c>
      <c r="AV77" s="6" t="s">
        <v>49</v>
      </c>
    </row>
    <row r="78" spans="1:48" ht="14.4" customHeight="1">
      <c r="A78" s="6" t="s">
        <v>264</v>
      </c>
      <c r="B78" s="6" t="s">
        <v>38</v>
      </c>
      <c r="C78" s="6" t="s">
        <v>38</v>
      </c>
      <c r="D78" s="6" t="s">
        <v>265</v>
      </c>
      <c r="E78" s="6" t="s">
        <v>190</v>
      </c>
      <c r="F78" s="6">
        <v>2003</v>
      </c>
      <c r="G78" s="6" t="s">
        <v>266</v>
      </c>
      <c r="H78" s="6" t="s">
        <v>42</v>
      </c>
      <c r="I78" s="6" t="s">
        <v>267</v>
      </c>
      <c r="J78" s="6" t="str">
        <f t="shared" si="1"/>
        <v>Lobelia_cardinalis</v>
      </c>
      <c r="K78" s="6" t="s">
        <v>45</v>
      </c>
      <c r="L78" s="6" t="s">
        <v>46</v>
      </c>
      <c r="M78" s="6" t="s">
        <v>12</v>
      </c>
      <c r="N78" s="6" t="s">
        <v>76</v>
      </c>
      <c r="O78" s="6" t="s">
        <v>49</v>
      </c>
      <c r="P78" s="6" t="s">
        <v>49</v>
      </c>
      <c r="Q78" s="6" t="s">
        <v>49</v>
      </c>
      <c r="R78" s="6" t="s">
        <v>49</v>
      </c>
      <c r="S78" s="6" t="s">
        <v>268</v>
      </c>
      <c r="T78" s="6" t="s">
        <v>269</v>
      </c>
      <c r="U78" s="6" t="s">
        <v>251</v>
      </c>
      <c r="V78" s="6" t="s">
        <v>297</v>
      </c>
      <c r="W78" s="12">
        <v>41.776667000000003</v>
      </c>
      <c r="X78" s="12">
        <v>-93.413332999999994</v>
      </c>
      <c r="Y78" s="6" t="s">
        <v>141</v>
      </c>
      <c r="Z78" s="6" t="s">
        <v>271</v>
      </c>
      <c r="AA78" s="1" t="s">
        <v>49</v>
      </c>
      <c r="AB78" s="1" t="s">
        <v>49</v>
      </c>
      <c r="AC78" s="1" t="s">
        <v>49</v>
      </c>
      <c r="AD78" s="6" t="s">
        <v>63</v>
      </c>
      <c r="AE78" s="6" t="s">
        <v>273</v>
      </c>
      <c r="AF78" s="1" t="s">
        <v>49</v>
      </c>
      <c r="AG78" s="1" t="s">
        <v>49</v>
      </c>
      <c r="AH78" s="6" t="s">
        <v>49</v>
      </c>
      <c r="AI78" s="6" t="s">
        <v>272</v>
      </c>
      <c r="AJ78" s="6" t="s">
        <v>49</v>
      </c>
      <c r="AK78" s="6">
        <v>99</v>
      </c>
      <c r="AL78" s="6" t="s">
        <v>49</v>
      </c>
      <c r="AM78" s="6" t="s">
        <v>49</v>
      </c>
      <c r="AN78" s="6">
        <v>0.77600000000000002</v>
      </c>
      <c r="AO78" s="6" t="s">
        <v>49</v>
      </c>
      <c r="AP78" s="6">
        <v>0</v>
      </c>
      <c r="AQ78" s="6" t="s">
        <v>49</v>
      </c>
      <c r="AR78" s="6">
        <v>0.77600000000000002</v>
      </c>
      <c r="AS78" s="6" t="s">
        <v>49</v>
      </c>
      <c r="AT78" s="6" t="s">
        <v>49</v>
      </c>
      <c r="AU78" s="6" t="s">
        <v>49</v>
      </c>
      <c r="AV78" s="6" t="s">
        <v>49</v>
      </c>
    </row>
    <row r="79" spans="1:48" ht="14.4" customHeight="1">
      <c r="A79" s="6" t="s">
        <v>264</v>
      </c>
      <c r="B79" s="6" t="s">
        <v>38</v>
      </c>
      <c r="C79" s="6" t="s">
        <v>38</v>
      </c>
      <c r="D79" s="6" t="s">
        <v>265</v>
      </c>
      <c r="E79" s="6" t="s">
        <v>190</v>
      </c>
      <c r="F79" s="6">
        <v>2003</v>
      </c>
      <c r="G79" s="6" t="s">
        <v>266</v>
      </c>
      <c r="H79" s="6" t="s">
        <v>42</v>
      </c>
      <c r="I79" s="6" t="s">
        <v>267</v>
      </c>
      <c r="J79" s="6" t="str">
        <f t="shared" si="1"/>
        <v>Lobelia_cardinalis</v>
      </c>
      <c r="K79" s="6" t="s">
        <v>45</v>
      </c>
      <c r="L79" s="6" t="s">
        <v>46</v>
      </c>
      <c r="M79" s="6" t="s">
        <v>12</v>
      </c>
      <c r="N79" s="6" t="s">
        <v>76</v>
      </c>
      <c r="O79" s="6" t="s">
        <v>49</v>
      </c>
      <c r="P79" s="6" t="s">
        <v>49</v>
      </c>
      <c r="Q79" s="6" t="s">
        <v>49</v>
      </c>
      <c r="R79" s="6" t="s">
        <v>49</v>
      </c>
      <c r="S79" s="6" t="s">
        <v>268</v>
      </c>
      <c r="T79" s="6" t="s">
        <v>269</v>
      </c>
      <c r="U79" s="6" t="s">
        <v>251</v>
      </c>
      <c r="V79" s="6" t="s">
        <v>297</v>
      </c>
      <c r="W79" s="12">
        <v>41.776667000000003</v>
      </c>
      <c r="X79" s="12">
        <v>-93.413332999999994</v>
      </c>
      <c r="Y79" s="6" t="s">
        <v>141</v>
      </c>
      <c r="Z79" s="6" t="s">
        <v>271</v>
      </c>
      <c r="AA79" s="1" t="s">
        <v>49</v>
      </c>
      <c r="AB79" s="1" t="s">
        <v>49</v>
      </c>
      <c r="AC79" s="1" t="s">
        <v>49</v>
      </c>
      <c r="AD79" s="6" t="s">
        <v>63</v>
      </c>
      <c r="AE79" s="6" t="s">
        <v>52</v>
      </c>
      <c r="AF79" s="1" t="s">
        <v>49</v>
      </c>
      <c r="AG79" s="1" t="s">
        <v>49</v>
      </c>
      <c r="AH79" s="6" t="s">
        <v>49</v>
      </c>
      <c r="AI79" s="6" t="s">
        <v>272</v>
      </c>
      <c r="AJ79" s="6" t="s">
        <v>49</v>
      </c>
      <c r="AK79" s="6">
        <v>99</v>
      </c>
      <c r="AL79" s="6" t="s">
        <v>49</v>
      </c>
      <c r="AM79" s="6" t="s">
        <v>49</v>
      </c>
      <c r="AN79" s="6">
        <v>9.6370000000000005</v>
      </c>
      <c r="AO79" s="6" t="s">
        <v>49</v>
      </c>
      <c r="AP79" s="6">
        <v>0</v>
      </c>
      <c r="AQ79" s="6" t="s">
        <v>49</v>
      </c>
      <c r="AR79" s="6">
        <v>9.6370000000000005</v>
      </c>
      <c r="AS79" s="6" t="s">
        <v>49</v>
      </c>
      <c r="AT79" s="6" t="s">
        <v>49</v>
      </c>
      <c r="AU79" s="6" t="s">
        <v>49</v>
      </c>
      <c r="AV79" s="6" t="s">
        <v>49</v>
      </c>
    </row>
    <row r="80" spans="1:48" ht="14.4" customHeight="1">
      <c r="A80" s="6" t="s">
        <v>264</v>
      </c>
      <c r="B80" s="6" t="s">
        <v>38</v>
      </c>
      <c r="C80" s="6" t="s">
        <v>38</v>
      </c>
      <c r="D80" s="6" t="s">
        <v>265</v>
      </c>
      <c r="E80" s="6" t="s">
        <v>190</v>
      </c>
      <c r="F80" s="6">
        <v>2003</v>
      </c>
      <c r="G80" s="6" t="s">
        <v>266</v>
      </c>
      <c r="H80" s="6" t="s">
        <v>42</v>
      </c>
      <c r="I80" s="6" t="s">
        <v>267</v>
      </c>
      <c r="J80" s="6" t="str">
        <f t="shared" si="1"/>
        <v>Lobelia_cardinalis</v>
      </c>
      <c r="K80" s="6" t="s">
        <v>45</v>
      </c>
      <c r="L80" s="6" t="s">
        <v>46</v>
      </c>
      <c r="M80" s="6" t="s">
        <v>12</v>
      </c>
      <c r="N80" s="6" t="s">
        <v>76</v>
      </c>
      <c r="O80" s="6" t="s">
        <v>49</v>
      </c>
      <c r="P80" s="6" t="s">
        <v>49</v>
      </c>
      <c r="Q80" s="6" t="s">
        <v>49</v>
      </c>
      <c r="R80" s="6" t="s">
        <v>49</v>
      </c>
      <c r="S80" s="6" t="s">
        <v>268</v>
      </c>
      <c r="T80" s="6" t="s">
        <v>269</v>
      </c>
      <c r="U80" s="6" t="s">
        <v>251</v>
      </c>
      <c r="V80" s="6" t="s">
        <v>297</v>
      </c>
      <c r="W80" s="12">
        <v>41.776667000000003</v>
      </c>
      <c r="X80" s="12">
        <v>-93.413332999999994</v>
      </c>
      <c r="Y80" s="6" t="s">
        <v>141</v>
      </c>
      <c r="Z80" s="6" t="s">
        <v>271</v>
      </c>
      <c r="AA80" s="1" t="s">
        <v>49</v>
      </c>
      <c r="AB80" s="1" t="s">
        <v>49</v>
      </c>
      <c r="AC80" s="1" t="s">
        <v>49</v>
      </c>
      <c r="AD80" s="6" t="s">
        <v>65</v>
      </c>
      <c r="AE80" s="6" t="s">
        <v>59</v>
      </c>
      <c r="AF80" s="1" t="s">
        <v>49</v>
      </c>
      <c r="AG80" s="1" t="s">
        <v>49</v>
      </c>
      <c r="AH80" s="6" t="s">
        <v>49</v>
      </c>
      <c r="AI80" s="6" t="s">
        <v>272</v>
      </c>
      <c r="AJ80" s="6" t="s">
        <v>49</v>
      </c>
      <c r="AK80" s="6">
        <v>99</v>
      </c>
      <c r="AL80" s="6" t="s">
        <v>49</v>
      </c>
      <c r="AM80" s="6" t="s">
        <v>49</v>
      </c>
      <c r="AN80" s="6">
        <v>-2.7E-2</v>
      </c>
      <c r="AO80" s="6" t="s">
        <v>49</v>
      </c>
      <c r="AP80" s="6">
        <v>0</v>
      </c>
      <c r="AQ80" s="6" t="s">
        <v>49</v>
      </c>
      <c r="AR80" s="6">
        <v>-2.7E-2</v>
      </c>
      <c r="AS80" s="6" t="s">
        <v>49</v>
      </c>
      <c r="AT80" s="6" t="s">
        <v>49</v>
      </c>
      <c r="AU80" s="6" t="s">
        <v>49</v>
      </c>
      <c r="AV80" s="6" t="s">
        <v>49</v>
      </c>
    </row>
    <row r="81" spans="1:48" ht="14.4" customHeight="1">
      <c r="A81" s="6" t="s">
        <v>264</v>
      </c>
      <c r="B81" s="6" t="s">
        <v>38</v>
      </c>
      <c r="C81" s="6" t="s">
        <v>38</v>
      </c>
      <c r="D81" s="6" t="s">
        <v>265</v>
      </c>
      <c r="E81" s="6" t="s">
        <v>190</v>
      </c>
      <c r="F81" s="6">
        <v>2003</v>
      </c>
      <c r="G81" s="6" t="s">
        <v>266</v>
      </c>
      <c r="H81" s="6" t="s">
        <v>42</v>
      </c>
      <c r="I81" s="6" t="s">
        <v>267</v>
      </c>
      <c r="J81" s="6" t="str">
        <f t="shared" si="1"/>
        <v>Lobelia_cardinalis</v>
      </c>
      <c r="K81" s="6" t="s">
        <v>45</v>
      </c>
      <c r="L81" s="6" t="s">
        <v>46</v>
      </c>
      <c r="M81" s="6" t="s">
        <v>12</v>
      </c>
      <c r="N81" s="6" t="s">
        <v>76</v>
      </c>
      <c r="O81" s="6" t="s">
        <v>49</v>
      </c>
      <c r="P81" s="6" t="s">
        <v>49</v>
      </c>
      <c r="Q81" s="6" t="s">
        <v>49</v>
      </c>
      <c r="R81" s="6" t="s">
        <v>49</v>
      </c>
      <c r="S81" s="6" t="s">
        <v>268</v>
      </c>
      <c r="T81" s="6" t="s">
        <v>269</v>
      </c>
      <c r="U81" s="6" t="s">
        <v>251</v>
      </c>
      <c r="V81" s="6" t="s">
        <v>297</v>
      </c>
      <c r="W81" s="12">
        <v>41.776667000000003</v>
      </c>
      <c r="X81" s="12">
        <v>-93.413332999999994</v>
      </c>
      <c r="Y81" s="6" t="s">
        <v>141</v>
      </c>
      <c r="Z81" s="6" t="s">
        <v>271</v>
      </c>
      <c r="AA81" s="1" t="s">
        <v>49</v>
      </c>
      <c r="AB81" s="1" t="s">
        <v>49</v>
      </c>
      <c r="AC81" s="1" t="s">
        <v>49</v>
      </c>
      <c r="AD81" s="6" t="s">
        <v>65</v>
      </c>
      <c r="AE81" s="6" t="s">
        <v>273</v>
      </c>
      <c r="AF81" s="1" t="s">
        <v>49</v>
      </c>
      <c r="AG81" s="1" t="s">
        <v>49</v>
      </c>
      <c r="AH81" s="6" t="s">
        <v>49</v>
      </c>
      <c r="AI81" s="6" t="s">
        <v>272</v>
      </c>
      <c r="AJ81" s="6" t="s">
        <v>49</v>
      </c>
      <c r="AK81" s="6">
        <v>99</v>
      </c>
      <c r="AL81" s="6" t="s">
        <v>49</v>
      </c>
      <c r="AM81" s="6" t="s">
        <v>49</v>
      </c>
      <c r="AN81" s="6">
        <v>2.1000000000000001E-2</v>
      </c>
      <c r="AO81" s="6" t="s">
        <v>49</v>
      </c>
      <c r="AP81" s="6">
        <v>0</v>
      </c>
      <c r="AQ81" s="6" t="s">
        <v>49</v>
      </c>
      <c r="AR81" s="6">
        <v>2.1000000000000001E-2</v>
      </c>
      <c r="AS81" s="6" t="s">
        <v>49</v>
      </c>
      <c r="AT81" s="6" t="s">
        <v>49</v>
      </c>
      <c r="AU81" s="6" t="s">
        <v>49</v>
      </c>
      <c r="AV81" s="6" t="s">
        <v>49</v>
      </c>
    </row>
    <row r="82" spans="1:48" ht="14.4" customHeight="1">
      <c r="A82" s="6" t="s">
        <v>264</v>
      </c>
      <c r="B82" s="6" t="s">
        <v>38</v>
      </c>
      <c r="C82" s="6" t="s">
        <v>38</v>
      </c>
      <c r="D82" s="6" t="s">
        <v>265</v>
      </c>
      <c r="E82" s="6" t="s">
        <v>190</v>
      </c>
      <c r="F82" s="6">
        <v>2003</v>
      </c>
      <c r="G82" s="6" t="s">
        <v>266</v>
      </c>
      <c r="H82" s="6" t="s">
        <v>42</v>
      </c>
      <c r="I82" s="6" t="s">
        <v>267</v>
      </c>
      <c r="J82" s="6" t="str">
        <f t="shared" si="1"/>
        <v>Lobelia_cardinalis</v>
      </c>
      <c r="K82" s="6" t="s">
        <v>45</v>
      </c>
      <c r="L82" s="6" t="s">
        <v>46</v>
      </c>
      <c r="M82" s="6" t="s">
        <v>12</v>
      </c>
      <c r="N82" s="6" t="s">
        <v>76</v>
      </c>
      <c r="O82" s="6" t="s">
        <v>49</v>
      </c>
      <c r="P82" s="6" t="s">
        <v>49</v>
      </c>
      <c r="Q82" s="6" t="s">
        <v>49</v>
      </c>
      <c r="R82" s="6" t="s">
        <v>49</v>
      </c>
      <c r="S82" s="6" t="s">
        <v>268</v>
      </c>
      <c r="T82" s="6" t="s">
        <v>269</v>
      </c>
      <c r="U82" s="6" t="s">
        <v>251</v>
      </c>
      <c r="V82" s="6" t="s">
        <v>297</v>
      </c>
      <c r="W82" s="12">
        <v>41.776667000000003</v>
      </c>
      <c r="X82" s="12">
        <v>-93.413332999999994</v>
      </c>
      <c r="Y82" s="6" t="s">
        <v>141</v>
      </c>
      <c r="Z82" s="6" t="s">
        <v>271</v>
      </c>
      <c r="AA82" s="1" t="s">
        <v>49</v>
      </c>
      <c r="AB82" s="1" t="s">
        <v>49</v>
      </c>
      <c r="AC82" s="1" t="s">
        <v>49</v>
      </c>
      <c r="AD82" s="6" t="s">
        <v>65</v>
      </c>
      <c r="AE82" s="6" t="s">
        <v>52</v>
      </c>
      <c r="AF82" s="1" t="s">
        <v>49</v>
      </c>
      <c r="AG82" s="1" t="s">
        <v>49</v>
      </c>
      <c r="AH82" s="6" t="s">
        <v>49</v>
      </c>
      <c r="AI82" s="6" t="s">
        <v>272</v>
      </c>
      <c r="AJ82" s="6" t="s">
        <v>49</v>
      </c>
      <c r="AK82" s="6">
        <v>99</v>
      </c>
      <c r="AL82" s="6" t="s">
        <v>49</v>
      </c>
      <c r="AM82" s="6" t="s">
        <v>49</v>
      </c>
      <c r="AN82" s="6">
        <v>0.92900000000000005</v>
      </c>
      <c r="AO82" s="6" t="s">
        <v>49</v>
      </c>
      <c r="AP82" s="6">
        <v>0</v>
      </c>
      <c r="AQ82" s="6" t="s">
        <v>49</v>
      </c>
      <c r="AR82" s="6">
        <v>0.92900000000000005</v>
      </c>
      <c r="AS82" s="6" t="s">
        <v>49</v>
      </c>
      <c r="AT82" s="6" t="s">
        <v>49</v>
      </c>
      <c r="AU82" s="6" t="s">
        <v>49</v>
      </c>
      <c r="AV82" s="6" t="s">
        <v>49</v>
      </c>
    </row>
    <row r="83" spans="1:48" ht="14.4" customHeight="1">
      <c r="A83" s="6" t="s">
        <v>264</v>
      </c>
      <c r="B83" s="6" t="s">
        <v>38</v>
      </c>
      <c r="C83" s="6" t="s">
        <v>38</v>
      </c>
      <c r="D83" s="6" t="s">
        <v>265</v>
      </c>
      <c r="E83" s="6" t="s">
        <v>190</v>
      </c>
      <c r="F83" s="6">
        <v>2003</v>
      </c>
      <c r="G83" s="6" t="s">
        <v>266</v>
      </c>
      <c r="H83" s="6" t="s">
        <v>42</v>
      </c>
      <c r="I83" s="6" t="s">
        <v>267</v>
      </c>
      <c r="J83" s="6" t="str">
        <f t="shared" si="1"/>
        <v>Lobelia_cardinalis</v>
      </c>
      <c r="K83" s="6" t="s">
        <v>45</v>
      </c>
      <c r="L83" s="6" t="s">
        <v>46</v>
      </c>
      <c r="M83" s="6" t="s">
        <v>12</v>
      </c>
      <c r="N83" s="6" t="s">
        <v>76</v>
      </c>
      <c r="O83" s="6" t="s">
        <v>49</v>
      </c>
      <c r="P83" s="6" t="s">
        <v>49</v>
      </c>
      <c r="Q83" s="6" t="s">
        <v>49</v>
      </c>
      <c r="R83" s="6" t="s">
        <v>49</v>
      </c>
      <c r="S83" s="6" t="s">
        <v>268</v>
      </c>
      <c r="T83" s="6" t="s">
        <v>269</v>
      </c>
      <c r="U83" s="6" t="s">
        <v>251</v>
      </c>
      <c r="V83" s="6" t="s">
        <v>297</v>
      </c>
      <c r="W83" s="12">
        <v>41.776667000000003</v>
      </c>
      <c r="X83" s="12">
        <v>-93.413332999999994</v>
      </c>
      <c r="Y83" s="6" t="s">
        <v>141</v>
      </c>
      <c r="Z83" s="6" t="s">
        <v>271</v>
      </c>
      <c r="AA83" s="1" t="s">
        <v>49</v>
      </c>
      <c r="AB83" s="1" t="s">
        <v>49</v>
      </c>
      <c r="AC83" s="1" t="s">
        <v>49</v>
      </c>
      <c r="AD83" s="6" t="s">
        <v>59</v>
      </c>
      <c r="AE83" s="6" t="s">
        <v>273</v>
      </c>
      <c r="AF83" s="1" t="s">
        <v>49</v>
      </c>
      <c r="AG83" s="1" t="s">
        <v>49</v>
      </c>
      <c r="AH83" s="6" t="s">
        <v>49</v>
      </c>
      <c r="AI83" s="6" t="s">
        <v>272</v>
      </c>
      <c r="AJ83" s="6" t="s">
        <v>49</v>
      </c>
      <c r="AK83" s="6">
        <v>99</v>
      </c>
      <c r="AL83" s="6" t="s">
        <v>49</v>
      </c>
      <c r="AM83" s="6" t="s">
        <v>49</v>
      </c>
      <c r="AN83" s="6">
        <v>3.2850000000000001</v>
      </c>
      <c r="AO83" s="6" t="s">
        <v>49</v>
      </c>
      <c r="AP83" s="6">
        <v>0</v>
      </c>
      <c r="AQ83" s="6" t="s">
        <v>49</v>
      </c>
      <c r="AR83" s="6">
        <v>3.2850000000000001</v>
      </c>
      <c r="AS83" s="6" t="s">
        <v>49</v>
      </c>
      <c r="AT83" s="6" t="s">
        <v>49</v>
      </c>
      <c r="AU83" s="6" t="s">
        <v>49</v>
      </c>
      <c r="AV83" s="6" t="s">
        <v>49</v>
      </c>
    </row>
    <row r="84" spans="1:48" ht="14.4" customHeight="1">
      <c r="A84" s="6" t="s">
        <v>264</v>
      </c>
      <c r="B84" s="6" t="s">
        <v>38</v>
      </c>
      <c r="C84" s="6" t="s">
        <v>38</v>
      </c>
      <c r="D84" s="6" t="s">
        <v>265</v>
      </c>
      <c r="E84" s="6" t="s">
        <v>190</v>
      </c>
      <c r="F84" s="6">
        <v>2003</v>
      </c>
      <c r="G84" s="6" t="s">
        <v>266</v>
      </c>
      <c r="H84" s="6" t="s">
        <v>42</v>
      </c>
      <c r="I84" s="6" t="s">
        <v>267</v>
      </c>
      <c r="J84" s="6" t="str">
        <f t="shared" si="1"/>
        <v>Lobelia_cardinalis</v>
      </c>
      <c r="K84" s="6" t="s">
        <v>45</v>
      </c>
      <c r="L84" s="6" t="s">
        <v>46</v>
      </c>
      <c r="M84" s="6" t="s">
        <v>12</v>
      </c>
      <c r="N84" s="6" t="s">
        <v>76</v>
      </c>
      <c r="O84" s="6" t="s">
        <v>49</v>
      </c>
      <c r="P84" s="6" t="s">
        <v>49</v>
      </c>
      <c r="Q84" s="6" t="s">
        <v>49</v>
      </c>
      <c r="R84" s="6" t="s">
        <v>49</v>
      </c>
      <c r="S84" s="6" t="s">
        <v>268</v>
      </c>
      <c r="T84" s="6" t="s">
        <v>269</v>
      </c>
      <c r="U84" s="6" t="s">
        <v>251</v>
      </c>
      <c r="V84" s="6" t="s">
        <v>297</v>
      </c>
      <c r="W84" s="12">
        <v>41.776667000000003</v>
      </c>
      <c r="X84" s="12">
        <v>-93.413332999999994</v>
      </c>
      <c r="Y84" s="6" t="s">
        <v>141</v>
      </c>
      <c r="Z84" s="6" t="s">
        <v>271</v>
      </c>
      <c r="AA84" s="1" t="s">
        <v>49</v>
      </c>
      <c r="AB84" s="1" t="s">
        <v>49</v>
      </c>
      <c r="AC84" s="1" t="s">
        <v>49</v>
      </c>
      <c r="AD84" s="6" t="s">
        <v>59</v>
      </c>
      <c r="AE84" s="6" t="s">
        <v>52</v>
      </c>
      <c r="AF84" s="1" t="s">
        <v>49</v>
      </c>
      <c r="AG84" s="1" t="s">
        <v>49</v>
      </c>
      <c r="AH84" s="6" t="s">
        <v>49</v>
      </c>
      <c r="AI84" s="6" t="s">
        <v>272</v>
      </c>
      <c r="AJ84" s="6" t="s">
        <v>49</v>
      </c>
      <c r="AK84" s="6">
        <v>99</v>
      </c>
      <c r="AL84" s="6" t="s">
        <v>49</v>
      </c>
      <c r="AM84" s="6" t="s">
        <v>49</v>
      </c>
      <c r="AN84" s="6">
        <v>11.119</v>
      </c>
      <c r="AO84" s="6" t="s">
        <v>49</v>
      </c>
      <c r="AP84" s="6">
        <v>0</v>
      </c>
      <c r="AQ84" s="6" t="s">
        <v>49</v>
      </c>
      <c r="AR84" s="6">
        <v>11.119</v>
      </c>
      <c r="AS84" s="6" t="s">
        <v>49</v>
      </c>
      <c r="AT84" s="6" t="s">
        <v>49</v>
      </c>
      <c r="AU84" s="6" t="s">
        <v>49</v>
      </c>
      <c r="AV84" s="6" t="s">
        <v>49</v>
      </c>
    </row>
    <row r="85" spans="1:48" ht="14.4" customHeight="1">
      <c r="A85" s="6" t="s">
        <v>264</v>
      </c>
      <c r="B85" s="6" t="s">
        <v>38</v>
      </c>
      <c r="C85" s="6" t="s">
        <v>38</v>
      </c>
      <c r="D85" s="6" t="s">
        <v>265</v>
      </c>
      <c r="E85" s="6" t="s">
        <v>190</v>
      </c>
      <c r="F85" s="6">
        <v>2003</v>
      </c>
      <c r="G85" s="6" t="s">
        <v>266</v>
      </c>
      <c r="H85" s="6" t="s">
        <v>42</v>
      </c>
      <c r="I85" s="6" t="s">
        <v>267</v>
      </c>
      <c r="J85" s="6" t="str">
        <f t="shared" si="1"/>
        <v>Lobelia_cardinalis</v>
      </c>
      <c r="K85" s="6" t="s">
        <v>45</v>
      </c>
      <c r="L85" s="6" t="s">
        <v>46</v>
      </c>
      <c r="M85" s="6" t="s">
        <v>12</v>
      </c>
      <c r="N85" s="6" t="s">
        <v>76</v>
      </c>
      <c r="O85" s="6" t="s">
        <v>49</v>
      </c>
      <c r="P85" s="6" t="s">
        <v>49</v>
      </c>
      <c r="Q85" s="6" t="s">
        <v>49</v>
      </c>
      <c r="R85" s="6" t="s">
        <v>49</v>
      </c>
      <c r="S85" s="6" t="s">
        <v>268</v>
      </c>
      <c r="T85" s="6" t="s">
        <v>269</v>
      </c>
      <c r="U85" s="6" t="s">
        <v>251</v>
      </c>
      <c r="V85" s="6" t="s">
        <v>297</v>
      </c>
      <c r="W85" s="12">
        <v>41.776667000000003</v>
      </c>
      <c r="X85" s="12">
        <v>-93.413332999999994</v>
      </c>
      <c r="Y85" s="6" t="s">
        <v>141</v>
      </c>
      <c r="Z85" s="6" t="s">
        <v>271</v>
      </c>
      <c r="AA85" s="1" t="s">
        <v>49</v>
      </c>
      <c r="AB85" s="1" t="s">
        <v>49</v>
      </c>
      <c r="AC85" s="1" t="s">
        <v>49</v>
      </c>
      <c r="AD85" s="6" t="s">
        <v>273</v>
      </c>
      <c r="AE85" s="6" t="s">
        <v>52</v>
      </c>
      <c r="AF85" s="1" t="s">
        <v>49</v>
      </c>
      <c r="AG85" s="1" t="s">
        <v>49</v>
      </c>
      <c r="AH85" s="6" t="s">
        <v>49</v>
      </c>
      <c r="AI85" s="6" t="s">
        <v>272</v>
      </c>
      <c r="AJ85" s="6" t="s">
        <v>49</v>
      </c>
      <c r="AK85" s="6">
        <v>99</v>
      </c>
      <c r="AL85" s="6" t="s">
        <v>49</v>
      </c>
      <c r="AM85" s="6" t="s">
        <v>49</v>
      </c>
      <c r="AN85" s="6">
        <v>1.5580000000000001</v>
      </c>
      <c r="AO85" s="6" t="s">
        <v>49</v>
      </c>
      <c r="AP85" s="6">
        <v>0</v>
      </c>
      <c r="AQ85" s="6" t="s">
        <v>49</v>
      </c>
      <c r="AR85" s="6">
        <v>1.5580000000000001</v>
      </c>
      <c r="AS85" s="6" t="s">
        <v>49</v>
      </c>
      <c r="AT85" s="6" t="s">
        <v>49</v>
      </c>
      <c r="AU85" s="6" t="s">
        <v>49</v>
      </c>
      <c r="AV85" s="6" t="s">
        <v>49</v>
      </c>
    </row>
    <row r="86" spans="1:48" ht="14.4" customHeight="1">
      <c r="A86" s="6" t="s">
        <v>264</v>
      </c>
      <c r="B86" s="6" t="s">
        <v>38</v>
      </c>
      <c r="C86" s="6" t="s">
        <v>38</v>
      </c>
      <c r="D86" s="6" t="s">
        <v>265</v>
      </c>
      <c r="E86" s="6" t="s">
        <v>190</v>
      </c>
      <c r="F86" s="6">
        <v>2003</v>
      </c>
      <c r="G86" s="6" t="s">
        <v>266</v>
      </c>
      <c r="H86" s="6" t="s">
        <v>42</v>
      </c>
      <c r="I86" s="6" t="s">
        <v>43</v>
      </c>
      <c r="J86" s="6" t="str">
        <f t="shared" si="1"/>
        <v>Lobelia_siphilitica</v>
      </c>
      <c r="K86" s="6" t="s">
        <v>45</v>
      </c>
      <c r="L86" s="6" t="s">
        <v>46</v>
      </c>
      <c r="M86" s="6" t="s">
        <v>12</v>
      </c>
      <c r="N86" s="6" t="s">
        <v>76</v>
      </c>
      <c r="O86" s="6" t="s">
        <v>49</v>
      </c>
      <c r="P86" s="6" t="s">
        <v>49</v>
      </c>
      <c r="Q86" s="6" t="s">
        <v>49</v>
      </c>
      <c r="R86" s="6" t="s">
        <v>49</v>
      </c>
      <c r="S86" s="6" t="s">
        <v>77</v>
      </c>
      <c r="T86" s="6" t="s">
        <v>78</v>
      </c>
      <c r="U86" s="6" t="s">
        <v>251</v>
      </c>
      <c r="V86" s="6" t="s">
        <v>47</v>
      </c>
      <c r="W86" s="12">
        <v>41.683332999999998</v>
      </c>
      <c r="X86" s="12">
        <v>-92.87</v>
      </c>
      <c r="Y86" s="6" t="s">
        <v>141</v>
      </c>
      <c r="Z86" s="6" t="s">
        <v>271</v>
      </c>
      <c r="AA86" s="1" t="s">
        <v>49</v>
      </c>
      <c r="AB86" s="1" t="s">
        <v>49</v>
      </c>
      <c r="AC86" s="1" t="s">
        <v>49</v>
      </c>
      <c r="AD86" s="6" t="s">
        <v>68</v>
      </c>
      <c r="AE86" s="6" t="s">
        <v>68</v>
      </c>
      <c r="AF86" s="1" t="s">
        <v>60</v>
      </c>
      <c r="AG86" s="1" t="s">
        <v>61</v>
      </c>
      <c r="AH86" s="6" t="s">
        <v>49</v>
      </c>
      <c r="AI86" s="6" t="s">
        <v>272</v>
      </c>
      <c r="AJ86" s="6" t="s">
        <v>49</v>
      </c>
      <c r="AK86" s="6">
        <v>99</v>
      </c>
      <c r="AL86" s="6" t="s">
        <v>49</v>
      </c>
      <c r="AM86" s="6">
        <v>11.9102</v>
      </c>
      <c r="AN86" s="6">
        <v>1.498</v>
      </c>
      <c r="AO86" s="6" t="s">
        <v>49</v>
      </c>
      <c r="AP86" s="6">
        <v>0</v>
      </c>
      <c r="AQ86" s="6" t="s">
        <v>49</v>
      </c>
      <c r="AR86" s="6">
        <v>1.498</v>
      </c>
      <c r="AS86" s="6" t="s">
        <v>49</v>
      </c>
      <c r="AT86" s="6" t="s">
        <v>49</v>
      </c>
      <c r="AU86" s="6" t="s">
        <v>49</v>
      </c>
      <c r="AV86" s="6" t="s">
        <v>49</v>
      </c>
    </row>
    <row r="87" spans="1:48" ht="14.4" customHeight="1">
      <c r="A87" s="6" t="s">
        <v>264</v>
      </c>
      <c r="B87" s="6" t="s">
        <v>38</v>
      </c>
      <c r="C87" s="6" t="s">
        <v>38</v>
      </c>
      <c r="D87" s="6" t="s">
        <v>265</v>
      </c>
      <c r="E87" s="6" t="s">
        <v>190</v>
      </c>
      <c r="F87" s="6">
        <v>2003</v>
      </c>
      <c r="G87" s="6" t="s">
        <v>266</v>
      </c>
      <c r="H87" s="6" t="s">
        <v>42</v>
      </c>
      <c r="I87" s="6" t="s">
        <v>43</v>
      </c>
      <c r="J87" s="6" t="str">
        <f t="shared" si="1"/>
        <v>Lobelia_siphilitica</v>
      </c>
      <c r="K87" s="6" t="s">
        <v>45</v>
      </c>
      <c r="L87" s="6" t="s">
        <v>46</v>
      </c>
      <c r="M87" s="6" t="s">
        <v>12</v>
      </c>
      <c r="N87" s="6" t="s">
        <v>76</v>
      </c>
      <c r="O87" s="6" t="s">
        <v>49</v>
      </c>
      <c r="P87" s="6" t="s">
        <v>49</v>
      </c>
      <c r="Q87" s="6" t="s">
        <v>49</v>
      </c>
      <c r="R87" s="6" t="s">
        <v>49</v>
      </c>
      <c r="S87" s="6" t="s">
        <v>77</v>
      </c>
      <c r="T87" s="6" t="s">
        <v>78</v>
      </c>
      <c r="U87" s="6" t="s">
        <v>251</v>
      </c>
      <c r="V87" s="6" t="s">
        <v>47</v>
      </c>
      <c r="W87" s="12">
        <v>41.683332999999998</v>
      </c>
      <c r="X87" s="12">
        <v>-92.87</v>
      </c>
      <c r="Y87" s="6" t="s">
        <v>141</v>
      </c>
      <c r="Z87" s="6" t="s">
        <v>271</v>
      </c>
      <c r="AA87" s="1" t="s">
        <v>49</v>
      </c>
      <c r="AB87" s="1" t="s">
        <v>49</v>
      </c>
      <c r="AC87" s="1" t="s">
        <v>49</v>
      </c>
      <c r="AD87" s="6" t="s">
        <v>69</v>
      </c>
      <c r="AE87" s="6" t="s">
        <v>69</v>
      </c>
      <c r="AF87" s="1" t="s">
        <v>60</v>
      </c>
      <c r="AG87" s="1" t="s">
        <v>61</v>
      </c>
      <c r="AH87" s="6" t="s">
        <v>49</v>
      </c>
      <c r="AI87" s="6" t="s">
        <v>272</v>
      </c>
      <c r="AJ87" s="6" t="s">
        <v>49</v>
      </c>
      <c r="AK87" s="6">
        <v>99</v>
      </c>
      <c r="AL87" s="6" t="s">
        <v>49</v>
      </c>
      <c r="AM87" s="6">
        <v>5.2019000000000002</v>
      </c>
      <c r="AN87" s="6">
        <v>0.19400000000000001</v>
      </c>
      <c r="AO87" s="6" t="s">
        <v>49</v>
      </c>
      <c r="AP87" s="6">
        <v>0</v>
      </c>
      <c r="AQ87" s="6" t="s">
        <v>49</v>
      </c>
      <c r="AR87" s="6">
        <v>0.19400000000000001</v>
      </c>
      <c r="AS87" s="6" t="s">
        <v>49</v>
      </c>
      <c r="AT87" s="6" t="s">
        <v>49</v>
      </c>
      <c r="AU87" s="6" t="s">
        <v>49</v>
      </c>
      <c r="AV87" s="6" t="s">
        <v>49</v>
      </c>
    </row>
    <row r="88" spans="1:48" ht="14.4" customHeight="1">
      <c r="A88" s="6" t="s">
        <v>264</v>
      </c>
      <c r="B88" s="6" t="s">
        <v>38</v>
      </c>
      <c r="C88" s="6" t="s">
        <v>38</v>
      </c>
      <c r="D88" s="6" t="s">
        <v>265</v>
      </c>
      <c r="E88" s="6" t="s">
        <v>190</v>
      </c>
      <c r="F88" s="6">
        <v>2003</v>
      </c>
      <c r="G88" s="6" t="s">
        <v>266</v>
      </c>
      <c r="H88" s="6" t="s">
        <v>42</v>
      </c>
      <c r="I88" s="6" t="s">
        <v>43</v>
      </c>
      <c r="J88" s="6" t="str">
        <f t="shared" si="1"/>
        <v>Lobelia_siphilitica</v>
      </c>
      <c r="K88" s="6" t="s">
        <v>45</v>
      </c>
      <c r="L88" s="6" t="s">
        <v>46</v>
      </c>
      <c r="M88" s="6" t="s">
        <v>12</v>
      </c>
      <c r="N88" s="6" t="s">
        <v>76</v>
      </c>
      <c r="O88" s="6" t="s">
        <v>49</v>
      </c>
      <c r="P88" s="6" t="s">
        <v>49</v>
      </c>
      <c r="Q88" s="6" t="s">
        <v>49</v>
      </c>
      <c r="R88" s="6" t="s">
        <v>49</v>
      </c>
      <c r="S88" s="6" t="s">
        <v>77</v>
      </c>
      <c r="T88" s="6" t="s">
        <v>78</v>
      </c>
      <c r="U88" s="6" t="s">
        <v>251</v>
      </c>
      <c r="V88" s="6" t="s">
        <v>47</v>
      </c>
      <c r="W88" s="12">
        <v>41.683332999999998</v>
      </c>
      <c r="X88" s="12">
        <v>-92.87</v>
      </c>
      <c r="Y88" s="6" t="s">
        <v>141</v>
      </c>
      <c r="Z88" s="6" t="s">
        <v>271</v>
      </c>
      <c r="AA88" s="1" t="s">
        <v>49</v>
      </c>
      <c r="AB88" s="1" t="s">
        <v>49</v>
      </c>
      <c r="AC88" s="1" t="s">
        <v>49</v>
      </c>
      <c r="AD88" s="6" t="s">
        <v>63</v>
      </c>
      <c r="AE88" s="6" t="s">
        <v>63</v>
      </c>
      <c r="AF88" s="1" t="s">
        <v>60</v>
      </c>
      <c r="AG88" s="1" t="s">
        <v>61</v>
      </c>
      <c r="AH88" s="6" t="s">
        <v>49</v>
      </c>
      <c r="AI88" s="6" t="s">
        <v>272</v>
      </c>
      <c r="AJ88" s="6" t="s">
        <v>49</v>
      </c>
      <c r="AK88" s="6">
        <v>99</v>
      </c>
      <c r="AL88" s="6" t="s">
        <v>49</v>
      </c>
      <c r="AM88" s="6">
        <v>16.1965</v>
      </c>
      <c r="AN88" s="6">
        <v>0.90400000000000003</v>
      </c>
      <c r="AO88" s="6" t="s">
        <v>49</v>
      </c>
      <c r="AP88" s="6">
        <v>0</v>
      </c>
      <c r="AQ88" s="6" t="s">
        <v>49</v>
      </c>
      <c r="AR88" s="6">
        <v>0.90400000000000003</v>
      </c>
      <c r="AS88" s="6" t="s">
        <v>49</v>
      </c>
      <c r="AT88" s="6" t="s">
        <v>49</v>
      </c>
      <c r="AU88" s="6" t="s">
        <v>49</v>
      </c>
      <c r="AV88" s="6" t="s">
        <v>49</v>
      </c>
    </row>
    <row r="89" spans="1:48" ht="14.4" customHeight="1">
      <c r="A89" s="6" t="s">
        <v>264</v>
      </c>
      <c r="B89" s="6" t="s">
        <v>38</v>
      </c>
      <c r="C89" s="6" t="s">
        <v>38</v>
      </c>
      <c r="D89" s="6" t="s">
        <v>265</v>
      </c>
      <c r="E89" s="6" t="s">
        <v>190</v>
      </c>
      <c r="F89" s="6">
        <v>2003</v>
      </c>
      <c r="G89" s="6" t="s">
        <v>266</v>
      </c>
      <c r="H89" s="6" t="s">
        <v>42</v>
      </c>
      <c r="I89" s="6" t="s">
        <v>43</v>
      </c>
      <c r="J89" s="6" t="str">
        <f t="shared" si="1"/>
        <v>Lobelia_siphilitica</v>
      </c>
      <c r="K89" s="6" t="s">
        <v>45</v>
      </c>
      <c r="L89" s="6" t="s">
        <v>46</v>
      </c>
      <c r="M89" s="6" t="s">
        <v>12</v>
      </c>
      <c r="N89" s="6" t="s">
        <v>76</v>
      </c>
      <c r="O89" s="6" t="s">
        <v>49</v>
      </c>
      <c r="P89" s="6" t="s">
        <v>49</v>
      </c>
      <c r="Q89" s="6" t="s">
        <v>49</v>
      </c>
      <c r="R89" s="6" t="s">
        <v>49</v>
      </c>
      <c r="S89" s="6" t="s">
        <v>77</v>
      </c>
      <c r="T89" s="6" t="s">
        <v>78</v>
      </c>
      <c r="U89" s="6" t="s">
        <v>251</v>
      </c>
      <c r="V89" s="6" t="s">
        <v>47</v>
      </c>
      <c r="W89" s="12">
        <v>41.683332999999998</v>
      </c>
      <c r="X89" s="12">
        <v>-92.87</v>
      </c>
      <c r="Y89" s="6" t="s">
        <v>141</v>
      </c>
      <c r="Z89" s="6" t="s">
        <v>271</v>
      </c>
      <c r="AA89" s="1" t="s">
        <v>49</v>
      </c>
      <c r="AB89" s="1" t="s">
        <v>49</v>
      </c>
      <c r="AC89" s="1" t="s">
        <v>49</v>
      </c>
      <c r="AD89" s="6" t="s">
        <v>65</v>
      </c>
      <c r="AE89" s="6" t="s">
        <v>65</v>
      </c>
      <c r="AF89" s="1" t="s">
        <v>60</v>
      </c>
      <c r="AG89" s="1" t="s">
        <v>61</v>
      </c>
      <c r="AH89" s="6" t="s">
        <v>49</v>
      </c>
      <c r="AI89" s="6" t="s">
        <v>272</v>
      </c>
      <c r="AJ89" s="6" t="s">
        <v>49</v>
      </c>
      <c r="AK89" s="6">
        <v>99</v>
      </c>
      <c r="AL89" s="6" t="s">
        <v>49</v>
      </c>
      <c r="AM89" s="6">
        <v>5.5750999999999999</v>
      </c>
      <c r="AN89" s="6">
        <v>0.23499999999999999</v>
      </c>
      <c r="AO89" s="6" t="s">
        <v>49</v>
      </c>
      <c r="AP89" s="6">
        <v>0</v>
      </c>
      <c r="AQ89" s="6" t="s">
        <v>49</v>
      </c>
      <c r="AR89" s="6">
        <v>0.23499999999999999</v>
      </c>
      <c r="AS89" s="6" t="s">
        <v>49</v>
      </c>
      <c r="AT89" s="6" t="s">
        <v>49</v>
      </c>
      <c r="AU89" s="6" t="s">
        <v>49</v>
      </c>
      <c r="AV89" s="6" t="s">
        <v>49</v>
      </c>
    </row>
    <row r="90" spans="1:48" ht="14.4" customHeight="1">
      <c r="A90" s="6" t="s">
        <v>264</v>
      </c>
      <c r="B90" s="6" t="s">
        <v>38</v>
      </c>
      <c r="C90" s="6" t="s">
        <v>38</v>
      </c>
      <c r="D90" s="6" t="s">
        <v>265</v>
      </c>
      <c r="E90" s="6" t="s">
        <v>190</v>
      </c>
      <c r="F90" s="6">
        <v>2003</v>
      </c>
      <c r="G90" s="6" t="s">
        <v>266</v>
      </c>
      <c r="H90" s="6" t="s">
        <v>42</v>
      </c>
      <c r="I90" s="6" t="s">
        <v>43</v>
      </c>
      <c r="J90" s="6" t="str">
        <f t="shared" si="1"/>
        <v>Lobelia_siphilitica</v>
      </c>
      <c r="K90" s="6" t="s">
        <v>45</v>
      </c>
      <c r="L90" s="6" t="s">
        <v>46</v>
      </c>
      <c r="M90" s="6" t="s">
        <v>12</v>
      </c>
      <c r="N90" s="6" t="s">
        <v>76</v>
      </c>
      <c r="O90" s="6" t="s">
        <v>49</v>
      </c>
      <c r="P90" s="6" t="s">
        <v>49</v>
      </c>
      <c r="Q90" s="6" t="s">
        <v>49</v>
      </c>
      <c r="R90" s="6" t="s">
        <v>49</v>
      </c>
      <c r="S90" s="6" t="s">
        <v>77</v>
      </c>
      <c r="T90" s="6" t="s">
        <v>78</v>
      </c>
      <c r="U90" s="6" t="s">
        <v>251</v>
      </c>
      <c r="V90" s="6" t="s">
        <v>47</v>
      </c>
      <c r="W90" s="12">
        <v>41.683332999999998</v>
      </c>
      <c r="X90" s="12">
        <v>-92.87</v>
      </c>
      <c r="Y90" s="6" t="s">
        <v>141</v>
      </c>
      <c r="Z90" s="6" t="s">
        <v>271</v>
      </c>
      <c r="AA90" s="1" t="s">
        <v>49</v>
      </c>
      <c r="AB90" s="1" t="s">
        <v>49</v>
      </c>
      <c r="AC90" s="1" t="s">
        <v>49</v>
      </c>
      <c r="AD90" s="6" t="s">
        <v>59</v>
      </c>
      <c r="AE90" s="6" t="s">
        <v>59</v>
      </c>
      <c r="AF90" s="1" t="s">
        <v>60</v>
      </c>
      <c r="AG90" s="1" t="s">
        <v>61</v>
      </c>
      <c r="AH90" s="6" t="s">
        <v>49</v>
      </c>
      <c r="AI90" s="6" t="s">
        <v>272</v>
      </c>
      <c r="AJ90" s="6" t="s">
        <v>49</v>
      </c>
      <c r="AK90" s="6">
        <v>99</v>
      </c>
      <c r="AL90" s="6" t="s">
        <v>49</v>
      </c>
      <c r="AM90" s="6">
        <v>21.790800000000001</v>
      </c>
      <c r="AN90" s="6">
        <v>1.4590000000000001</v>
      </c>
      <c r="AO90" s="6" t="s">
        <v>49</v>
      </c>
      <c r="AP90" s="6">
        <v>0</v>
      </c>
      <c r="AQ90" s="6" t="s">
        <v>49</v>
      </c>
      <c r="AR90" s="6">
        <v>1.4590000000000001</v>
      </c>
      <c r="AS90" s="6" t="s">
        <v>49</v>
      </c>
      <c r="AT90" s="6" t="s">
        <v>49</v>
      </c>
      <c r="AU90" s="6" t="s">
        <v>49</v>
      </c>
      <c r="AV90" s="6" t="s">
        <v>49</v>
      </c>
    </row>
    <row r="91" spans="1:48" ht="14.4" customHeight="1">
      <c r="A91" s="6" t="s">
        <v>264</v>
      </c>
      <c r="B91" s="6" t="s">
        <v>38</v>
      </c>
      <c r="C91" s="6" t="s">
        <v>38</v>
      </c>
      <c r="D91" s="6" t="s">
        <v>265</v>
      </c>
      <c r="E91" s="6" t="s">
        <v>190</v>
      </c>
      <c r="F91" s="6">
        <v>2003</v>
      </c>
      <c r="G91" s="6" t="s">
        <v>266</v>
      </c>
      <c r="H91" s="6" t="s">
        <v>42</v>
      </c>
      <c r="I91" s="6" t="s">
        <v>43</v>
      </c>
      <c r="J91" s="6" t="str">
        <f t="shared" si="1"/>
        <v>Lobelia_siphilitica</v>
      </c>
      <c r="K91" s="6" t="s">
        <v>45</v>
      </c>
      <c r="L91" s="6" t="s">
        <v>46</v>
      </c>
      <c r="M91" s="6" t="s">
        <v>12</v>
      </c>
      <c r="N91" s="6" t="s">
        <v>76</v>
      </c>
      <c r="O91" s="6" t="s">
        <v>49</v>
      </c>
      <c r="P91" s="6" t="s">
        <v>49</v>
      </c>
      <c r="Q91" s="6" t="s">
        <v>49</v>
      </c>
      <c r="R91" s="6" t="s">
        <v>49</v>
      </c>
      <c r="S91" s="6" t="s">
        <v>77</v>
      </c>
      <c r="T91" s="6" t="s">
        <v>78</v>
      </c>
      <c r="U91" s="6" t="s">
        <v>251</v>
      </c>
      <c r="V91" s="6" t="s">
        <v>47</v>
      </c>
      <c r="W91" s="12">
        <v>41.683332999999998</v>
      </c>
      <c r="X91" s="12">
        <v>-92.87</v>
      </c>
      <c r="Y91" s="6" t="s">
        <v>141</v>
      </c>
      <c r="Z91" s="6" t="s">
        <v>271</v>
      </c>
      <c r="AA91" s="1" t="s">
        <v>49</v>
      </c>
      <c r="AB91" s="1" t="s">
        <v>49</v>
      </c>
      <c r="AC91" s="1" t="s">
        <v>49</v>
      </c>
      <c r="AD91" s="6" t="s">
        <v>273</v>
      </c>
      <c r="AE91" s="6" t="s">
        <v>273</v>
      </c>
      <c r="AF91" s="1" t="s">
        <v>60</v>
      </c>
      <c r="AG91" s="1" t="s">
        <v>61</v>
      </c>
      <c r="AH91" s="6" t="s">
        <v>49</v>
      </c>
      <c r="AI91" s="6" t="s">
        <v>272</v>
      </c>
      <c r="AJ91" s="6" t="s">
        <v>49</v>
      </c>
      <c r="AK91" s="6">
        <v>99</v>
      </c>
      <c r="AL91" s="6" t="s">
        <v>49</v>
      </c>
      <c r="AM91" s="6">
        <v>5.5810000000000004</v>
      </c>
      <c r="AN91" s="6">
        <v>0.74199999999999999</v>
      </c>
      <c r="AO91" s="6" t="s">
        <v>49</v>
      </c>
      <c r="AP91" s="6">
        <v>0</v>
      </c>
      <c r="AQ91" s="6" t="s">
        <v>49</v>
      </c>
      <c r="AR91" s="6">
        <v>0.74199999999999999</v>
      </c>
      <c r="AS91" s="6" t="s">
        <v>49</v>
      </c>
      <c r="AT91" s="6" t="s">
        <v>49</v>
      </c>
      <c r="AU91" s="6" t="s">
        <v>49</v>
      </c>
      <c r="AV91" s="6" t="s">
        <v>49</v>
      </c>
    </row>
    <row r="92" spans="1:48" ht="14.4" customHeight="1">
      <c r="A92" s="6" t="s">
        <v>264</v>
      </c>
      <c r="B92" s="6" t="s">
        <v>38</v>
      </c>
      <c r="C92" s="6" t="s">
        <v>38</v>
      </c>
      <c r="D92" s="6" t="s">
        <v>265</v>
      </c>
      <c r="E92" s="6" t="s">
        <v>190</v>
      </c>
      <c r="F92" s="6">
        <v>2003</v>
      </c>
      <c r="G92" s="6" t="s">
        <v>266</v>
      </c>
      <c r="H92" s="6" t="s">
        <v>42</v>
      </c>
      <c r="I92" s="6" t="s">
        <v>43</v>
      </c>
      <c r="J92" s="6" t="str">
        <f t="shared" si="1"/>
        <v>Lobelia_siphilitica</v>
      </c>
      <c r="K92" s="6" t="s">
        <v>45</v>
      </c>
      <c r="L92" s="6" t="s">
        <v>46</v>
      </c>
      <c r="M92" s="6" t="s">
        <v>12</v>
      </c>
      <c r="N92" s="6" t="s">
        <v>76</v>
      </c>
      <c r="O92" s="6" t="s">
        <v>49</v>
      </c>
      <c r="P92" s="6" t="s">
        <v>49</v>
      </c>
      <c r="Q92" s="6" t="s">
        <v>49</v>
      </c>
      <c r="R92" s="6" t="s">
        <v>49</v>
      </c>
      <c r="S92" s="6" t="s">
        <v>77</v>
      </c>
      <c r="T92" s="6" t="s">
        <v>78</v>
      </c>
      <c r="U92" s="6" t="s">
        <v>251</v>
      </c>
      <c r="V92" s="6" t="s">
        <v>47</v>
      </c>
      <c r="W92" s="12">
        <v>41.683332999999998</v>
      </c>
      <c r="X92" s="12">
        <v>-92.87</v>
      </c>
      <c r="Y92" s="6" t="s">
        <v>141</v>
      </c>
      <c r="Z92" s="6" t="s">
        <v>271</v>
      </c>
      <c r="AA92" s="1" t="s">
        <v>49</v>
      </c>
      <c r="AB92" s="1" t="s">
        <v>49</v>
      </c>
      <c r="AC92" s="1" t="s">
        <v>49</v>
      </c>
      <c r="AD92" s="6" t="s">
        <v>52</v>
      </c>
      <c r="AE92" s="6" t="s">
        <v>52</v>
      </c>
      <c r="AF92" s="1" t="s">
        <v>60</v>
      </c>
      <c r="AG92" s="1" t="s">
        <v>53</v>
      </c>
      <c r="AH92" s="6" t="s">
        <v>49</v>
      </c>
      <c r="AI92" s="6" t="s">
        <v>272</v>
      </c>
      <c r="AJ92" s="6" t="s">
        <v>49</v>
      </c>
      <c r="AK92" s="6">
        <v>99</v>
      </c>
      <c r="AL92" s="6" t="s">
        <v>49</v>
      </c>
      <c r="AM92" s="6">
        <v>45.989899999999999</v>
      </c>
      <c r="AN92" s="6">
        <v>948.66300000000001</v>
      </c>
      <c r="AO92" s="6" t="s">
        <v>49</v>
      </c>
      <c r="AP92" s="6">
        <v>0</v>
      </c>
      <c r="AQ92" s="6" t="s">
        <v>49</v>
      </c>
      <c r="AR92" s="6">
        <v>948.66300000000001</v>
      </c>
      <c r="AS92" s="6" t="s">
        <v>49</v>
      </c>
      <c r="AT92" s="6" t="s">
        <v>49</v>
      </c>
      <c r="AU92" s="6" t="s">
        <v>49</v>
      </c>
      <c r="AV92" s="6" t="s">
        <v>49</v>
      </c>
    </row>
    <row r="93" spans="1:48" ht="14.4" customHeight="1">
      <c r="A93" s="6" t="s">
        <v>264</v>
      </c>
      <c r="B93" s="6" t="s">
        <v>38</v>
      </c>
      <c r="C93" s="6" t="s">
        <v>38</v>
      </c>
      <c r="D93" s="6" t="s">
        <v>265</v>
      </c>
      <c r="E93" s="6" t="s">
        <v>190</v>
      </c>
      <c r="F93" s="6">
        <v>2003</v>
      </c>
      <c r="G93" s="6" t="s">
        <v>266</v>
      </c>
      <c r="H93" s="6" t="s">
        <v>42</v>
      </c>
      <c r="I93" s="6" t="s">
        <v>43</v>
      </c>
      <c r="J93" s="6" t="str">
        <f t="shared" si="1"/>
        <v>Lobelia_siphilitica</v>
      </c>
      <c r="K93" s="6" t="s">
        <v>45</v>
      </c>
      <c r="L93" s="6" t="s">
        <v>46</v>
      </c>
      <c r="M93" s="6" t="s">
        <v>12</v>
      </c>
      <c r="N93" s="6" t="s">
        <v>76</v>
      </c>
      <c r="O93" s="6" t="s">
        <v>49</v>
      </c>
      <c r="P93" s="6" t="s">
        <v>49</v>
      </c>
      <c r="Q93" s="6" t="s">
        <v>49</v>
      </c>
      <c r="R93" s="6" t="s">
        <v>49</v>
      </c>
      <c r="S93" s="6" t="s">
        <v>77</v>
      </c>
      <c r="T93" s="6" t="s">
        <v>78</v>
      </c>
      <c r="U93" s="6" t="s">
        <v>251</v>
      </c>
      <c r="V93" s="6" t="s">
        <v>47</v>
      </c>
      <c r="W93" s="12">
        <v>41.683332999999998</v>
      </c>
      <c r="X93" s="12">
        <v>-92.87</v>
      </c>
      <c r="Y93" s="6" t="s">
        <v>141</v>
      </c>
      <c r="Z93" s="6" t="s">
        <v>271</v>
      </c>
      <c r="AA93" s="1" t="s">
        <v>49</v>
      </c>
      <c r="AB93" s="1" t="s">
        <v>49</v>
      </c>
      <c r="AC93" s="1" t="s">
        <v>49</v>
      </c>
      <c r="AD93" s="6" t="s">
        <v>68</v>
      </c>
      <c r="AE93" s="6" t="s">
        <v>69</v>
      </c>
      <c r="AF93" s="1" t="s">
        <v>49</v>
      </c>
      <c r="AG93" s="1" t="s">
        <v>49</v>
      </c>
      <c r="AH93" s="6" t="s">
        <v>49</v>
      </c>
      <c r="AI93" s="6" t="s">
        <v>272</v>
      </c>
      <c r="AJ93" s="6" t="s">
        <v>49</v>
      </c>
      <c r="AK93" s="6">
        <v>99</v>
      </c>
      <c r="AL93" s="6" t="s">
        <v>49</v>
      </c>
      <c r="AM93" s="6" t="s">
        <v>49</v>
      </c>
      <c r="AN93" s="6">
        <v>0.315</v>
      </c>
      <c r="AO93" s="6" t="s">
        <v>49</v>
      </c>
      <c r="AP93" s="6">
        <v>0</v>
      </c>
      <c r="AQ93" s="6" t="s">
        <v>49</v>
      </c>
      <c r="AR93" s="6">
        <v>0.315</v>
      </c>
      <c r="AS93" s="6" t="s">
        <v>49</v>
      </c>
      <c r="AT93" s="6" t="s">
        <v>49</v>
      </c>
      <c r="AU93" s="6" t="s">
        <v>49</v>
      </c>
      <c r="AV93" s="6" t="s">
        <v>49</v>
      </c>
    </row>
    <row r="94" spans="1:48" ht="14.4" customHeight="1">
      <c r="A94" s="6" t="s">
        <v>264</v>
      </c>
      <c r="B94" s="6" t="s">
        <v>38</v>
      </c>
      <c r="C94" s="6" t="s">
        <v>38</v>
      </c>
      <c r="D94" s="6" t="s">
        <v>265</v>
      </c>
      <c r="E94" s="6" t="s">
        <v>190</v>
      </c>
      <c r="F94" s="6">
        <v>2003</v>
      </c>
      <c r="G94" s="6" t="s">
        <v>266</v>
      </c>
      <c r="H94" s="6" t="s">
        <v>42</v>
      </c>
      <c r="I94" s="6" t="s">
        <v>43</v>
      </c>
      <c r="J94" s="6" t="str">
        <f t="shared" si="1"/>
        <v>Lobelia_siphilitica</v>
      </c>
      <c r="K94" s="6" t="s">
        <v>45</v>
      </c>
      <c r="L94" s="6" t="s">
        <v>46</v>
      </c>
      <c r="M94" s="6" t="s">
        <v>12</v>
      </c>
      <c r="N94" s="6" t="s">
        <v>76</v>
      </c>
      <c r="O94" s="6" t="s">
        <v>49</v>
      </c>
      <c r="P94" s="6" t="s">
        <v>49</v>
      </c>
      <c r="Q94" s="6" t="s">
        <v>49</v>
      </c>
      <c r="R94" s="6" t="s">
        <v>49</v>
      </c>
      <c r="S94" s="6" t="s">
        <v>77</v>
      </c>
      <c r="T94" s="6" t="s">
        <v>78</v>
      </c>
      <c r="U94" s="6" t="s">
        <v>251</v>
      </c>
      <c r="V94" s="6" t="s">
        <v>47</v>
      </c>
      <c r="W94" s="12">
        <v>41.683332999999998</v>
      </c>
      <c r="X94" s="12">
        <v>-92.87</v>
      </c>
      <c r="Y94" s="6" t="s">
        <v>141</v>
      </c>
      <c r="Z94" s="6" t="s">
        <v>271</v>
      </c>
      <c r="AA94" s="1" t="s">
        <v>49</v>
      </c>
      <c r="AB94" s="1" t="s">
        <v>49</v>
      </c>
      <c r="AC94" s="1" t="s">
        <v>49</v>
      </c>
      <c r="AD94" s="6" t="s">
        <v>68</v>
      </c>
      <c r="AE94" s="6" t="s">
        <v>63</v>
      </c>
      <c r="AF94" s="1" t="s">
        <v>49</v>
      </c>
      <c r="AG94" s="1" t="s">
        <v>49</v>
      </c>
      <c r="AH94" s="6" t="s">
        <v>49</v>
      </c>
      <c r="AI94" s="6" t="s">
        <v>272</v>
      </c>
      <c r="AJ94" s="6" t="s">
        <v>49</v>
      </c>
      <c r="AK94" s="6">
        <v>99</v>
      </c>
      <c r="AL94" s="6" t="s">
        <v>49</v>
      </c>
      <c r="AM94" s="6" t="s">
        <v>49</v>
      </c>
      <c r="AN94" s="6">
        <v>0.40699999999999997</v>
      </c>
      <c r="AO94" s="6" t="s">
        <v>49</v>
      </c>
      <c r="AP94" s="6">
        <v>0</v>
      </c>
      <c r="AQ94" s="6" t="s">
        <v>49</v>
      </c>
      <c r="AR94" s="6">
        <v>0.40699999999999997</v>
      </c>
      <c r="AS94" s="6" t="s">
        <v>49</v>
      </c>
      <c r="AT94" s="6" t="s">
        <v>49</v>
      </c>
      <c r="AU94" s="6" t="s">
        <v>49</v>
      </c>
      <c r="AV94" s="6" t="s">
        <v>49</v>
      </c>
    </row>
    <row r="95" spans="1:48" ht="14.4" customHeight="1">
      <c r="A95" s="6" t="s">
        <v>264</v>
      </c>
      <c r="B95" s="6" t="s">
        <v>38</v>
      </c>
      <c r="C95" s="6" t="s">
        <v>38</v>
      </c>
      <c r="D95" s="6" t="s">
        <v>265</v>
      </c>
      <c r="E95" s="6" t="s">
        <v>190</v>
      </c>
      <c r="F95" s="6">
        <v>2003</v>
      </c>
      <c r="G95" s="6" t="s">
        <v>266</v>
      </c>
      <c r="H95" s="6" t="s">
        <v>42</v>
      </c>
      <c r="I95" s="6" t="s">
        <v>43</v>
      </c>
      <c r="J95" s="6" t="str">
        <f t="shared" si="1"/>
        <v>Lobelia_siphilitica</v>
      </c>
      <c r="K95" s="6" t="s">
        <v>45</v>
      </c>
      <c r="L95" s="6" t="s">
        <v>46</v>
      </c>
      <c r="M95" s="6" t="s">
        <v>12</v>
      </c>
      <c r="N95" s="6" t="s">
        <v>76</v>
      </c>
      <c r="O95" s="6" t="s">
        <v>49</v>
      </c>
      <c r="P95" s="6" t="s">
        <v>49</v>
      </c>
      <c r="Q95" s="6" t="s">
        <v>49</v>
      </c>
      <c r="R95" s="6" t="s">
        <v>49</v>
      </c>
      <c r="S95" s="6" t="s">
        <v>77</v>
      </c>
      <c r="T95" s="6" t="s">
        <v>78</v>
      </c>
      <c r="U95" s="6" t="s">
        <v>251</v>
      </c>
      <c r="V95" s="6" t="s">
        <v>47</v>
      </c>
      <c r="W95" s="12">
        <v>41.683332999999998</v>
      </c>
      <c r="X95" s="12">
        <v>-92.87</v>
      </c>
      <c r="Y95" s="6" t="s">
        <v>141</v>
      </c>
      <c r="Z95" s="6" t="s">
        <v>271</v>
      </c>
      <c r="AA95" s="1" t="s">
        <v>49</v>
      </c>
      <c r="AB95" s="1" t="s">
        <v>49</v>
      </c>
      <c r="AC95" s="1" t="s">
        <v>49</v>
      </c>
      <c r="AD95" s="6" t="s">
        <v>68</v>
      </c>
      <c r="AE95" s="6" t="s">
        <v>65</v>
      </c>
      <c r="AF95" s="1" t="s">
        <v>49</v>
      </c>
      <c r="AG95" s="1" t="s">
        <v>49</v>
      </c>
      <c r="AH95" s="6" t="s">
        <v>49</v>
      </c>
      <c r="AI95" s="6" t="s">
        <v>272</v>
      </c>
      <c r="AJ95" s="6" t="s">
        <v>49</v>
      </c>
      <c r="AK95" s="6">
        <v>99</v>
      </c>
      <c r="AL95" s="6" t="s">
        <v>49</v>
      </c>
      <c r="AM95" s="6" t="s">
        <v>49</v>
      </c>
      <c r="AN95" s="6">
        <v>0.10199999999999999</v>
      </c>
      <c r="AO95" s="6" t="s">
        <v>49</v>
      </c>
      <c r="AP95" s="6">
        <v>0</v>
      </c>
      <c r="AQ95" s="6" t="s">
        <v>49</v>
      </c>
      <c r="AR95" s="6">
        <v>0.10199999999999999</v>
      </c>
      <c r="AS95" s="6" t="s">
        <v>49</v>
      </c>
      <c r="AT95" s="6" t="s">
        <v>49</v>
      </c>
      <c r="AU95" s="6" t="s">
        <v>49</v>
      </c>
      <c r="AV95" s="6" t="s">
        <v>49</v>
      </c>
    </row>
    <row r="96" spans="1:48" ht="14.4" customHeight="1">
      <c r="A96" s="6" t="s">
        <v>264</v>
      </c>
      <c r="B96" s="6" t="s">
        <v>38</v>
      </c>
      <c r="C96" s="6" t="s">
        <v>38</v>
      </c>
      <c r="D96" s="6" t="s">
        <v>265</v>
      </c>
      <c r="E96" s="6" t="s">
        <v>190</v>
      </c>
      <c r="F96" s="6">
        <v>2003</v>
      </c>
      <c r="G96" s="6" t="s">
        <v>266</v>
      </c>
      <c r="H96" s="6" t="s">
        <v>42</v>
      </c>
      <c r="I96" s="6" t="s">
        <v>43</v>
      </c>
      <c r="J96" s="6" t="str">
        <f t="shared" si="1"/>
        <v>Lobelia_siphilitica</v>
      </c>
      <c r="K96" s="6" t="s">
        <v>45</v>
      </c>
      <c r="L96" s="6" t="s">
        <v>46</v>
      </c>
      <c r="M96" s="6" t="s">
        <v>12</v>
      </c>
      <c r="N96" s="6" t="s">
        <v>76</v>
      </c>
      <c r="O96" s="6" t="s">
        <v>49</v>
      </c>
      <c r="P96" s="6" t="s">
        <v>49</v>
      </c>
      <c r="Q96" s="6" t="s">
        <v>49</v>
      </c>
      <c r="R96" s="6" t="s">
        <v>49</v>
      </c>
      <c r="S96" s="6" t="s">
        <v>77</v>
      </c>
      <c r="T96" s="6" t="s">
        <v>78</v>
      </c>
      <c r="U96" s="6" t="s">
        <v>251</v>
      </c>
      <c r="V96" s="6" t="s">
        <v>47</v>
      </c>
      <c r="W96" s="12">
        <v>41.683332999999998</v>
      </c>
      <c r="X96" s="12">
        <v>-92.87</v>
      </c>
      <c r="Y96" s="6" t="s">
        <v>141</v>
      </c>
      <c r="Z96" s="6" t="s">
        <v>271</v>
      </c>
      <c r="AA96" s="1" t="s">
        <v>49</v>
      </c>
      <c r="AB96" s="1" t="s">
        <v>49</v>
      </c>
      <c r="AC96" s="1" t="s">
        <v>49</v>
      </c>
      <c r="AD96" s="6" t="s">
        <v>68</v>
      </c>
      <c r="AE96" s="6" t="s">
        <v>59</v>
      </c>
      <c r="AF96" s="1" t="s">
        <v>49</v>
      </c>
      <c r="AG96" s="1" t="s">
        <v>49</v>
      </c>
      <c r="AH96" s="6" t="s">
        <v>49</v>
      </c>
      <c r="AI96" s="6" t="s">
        <v>272</v>
      </c>
      <c r="AJ96" s="6" t="s">
        <v>49</v>
      </c>
      <c r="AK96" s="6">
        <v>99</v>
      </c>
      <c r="AL96" s="6" t="s">
        <v>49</v>
      </c>
      <c r="AM96" s="6" t="s">
        <v>49</v>
      </c>
      <c r="AN96" s="6">
        <v>0.46200000000000002</v>
      </c>
      <c r="AO96" s="6" t="s">
        <v>49</v>
      </c>
      <c r="AP96" s="6">
        <v>0</v>
      </c>
      <c r="AQ96" s="6" t="s">
        <v>49</v>
      </c>
      <c r="AR96" s="6">
        <v>0.46200000000000002</v>
      </c>
      <c r="AS96" s="6" t="s">
        <v>49</v>
      </c>
      <c r="AT96" s="6" t="s">
        <v>49</v>
      </c>
      <c r="AU96" s="6" t="s">
        <v>49</v>
      </c>
      <c r="AV96" s="6" t="s">
        <v>49</v>
      </c>
    </row>
    <row r="97" spans="1:48" ht="14.4" customHeight="1">
      <c r="A97" s="6" t="s">
        <v>264</v>
      </c>
      <c r="B97" s="6" t="s">
        <v>38</v>
      </c>
      <c r="C97" s="6" t="s">
        <v>38</v>
      </c>
      <c r="D97" s="6" t="s">
        <v>265</v>
      </c>
      <c r="E97" s="6" t="s">
        <v>190</v>
      </c>
      <c r="F97" s="6">
        <v>2003</v>
      </c>
      <c r="G97" s="6" t="s">
        <v>266</v>
      </c>
      <c r="H97" s="6" t="s">
        <v>42</v>
      </c>
      <c r="I97" s="6" t="s">
        <v>43</v>
      </c>
      <c r="J97" s="6" t="str">
        <f t="shared" si="1"/>
        <v>Lobelia_siphilitica</v>
      </c>
      <c r="K97" s="6" t="s">
        <v>45</v>
      </c>
      <c r="L97" s="6" t="s">
        <v>46</v>
      </c>
      <c r="M97" s="6" t="s">
        <v>12</v>
      </c>
      <c r="N97" s="6" t="s">
        <v>76</v>
      </c>
      <c r="O97" s="6" t="s">
        <v>49</v>
      </c>
      <c r="P97" s="6" t="s">
        <v>49</v>
      </c>
      <c r="Q97" s="6" t="s">
        <v>49</v>
      </c>
      <c r="R97" s="6" t="s">
        <v>49</v>
      </c>
      <c r="S97" s="6" t="s">
        <v>77</v>
      </c>
      <c r="T97" s="6" t="s">
        <v>78</v>
      </c>
      <c r="U97" s="6" t="s">
        <v>251</v>
      </c>
      <c r="V97" s="6" t="s">
        <v>47</v>
      </c>
      <c r="W97" s="12">
        <v>41.683332999999998</v>
      </c>
      <c r="X97" s="12">
        <v>-92.87</v>
      </c>
      <c r="Y97" s="6" t="s">
        <v>141</v>
      </c>
      <c r="Z97" s="6" t="s">
        <v>271</v>
      </c>
      <c r="AA97" s="1" t="s">
        <v>49</v>
      </c>
      <c r="AB97" s="1" t="s">
        <v>49</v>
      </c>
      <c r="AC97" s="1" t="s">
        <v>49</v>
      </c>
      <c r="AD97" s="6" t="s">
        <v>68</v>
      </c>
      <c r="AE97" s="6" t="s">
        <v>273</v>
      </c>
      <c r="AF97" s="1" t="s">
        <v>49</v>
      </c>
      <c r="AG97" s="1" t="s">
        <v>49</v>
      </c>
      <c r="AH97" s="6" t="s">
        <v>49</v>
      </c>
      <c r="AI97" s="6" t="s">
        <v>272</v>
      </c>
      <c r="AJ97" s="6" t="s">
        <v>49</v>
      </c>
      <c r="AK97" s="6">
        <v>99</v>
      </c>
      <c r="AL97" s="6" t="s">
        <v>49</v>
      </c>
      <c r="AM97" s="6" t="s">
        <v>49</v>
      </c>
      <c r="AN97" s="6">
        <v>7.0000000000000007E-2</v>
      </c>
      <c r="AO97" s="6" t="s">
        <v>49</v>
      </c>
      <c r="AP97" s="6">
        <v>0</v>
      </c>
      <c r="AQ97" s="6" t="s">
        <v>49</v>
      </c>
      <c r="AR97" s="6">
        <v>7.0000000000000007E-2</v>
      </c>
      <c r="AS97" s="6" t="s">
        <v>49</v>
      </c>
      <c r="AT97" s="6" t="s">
        <v>49</v>
      </c>
      <c r="AU97" s="6" t="s">
        <v>49</v>
      </c>
      <c r="AV97" s="6" t="s">
        <v>49</v>
      </c>
    </row>
    <row r="98" spans="1:48" ht="14.4" customHeight="1">
      <c r="A98" s="6" t="s">
        <v>264</v>
      </c>
      <c r="B98" s="6" t="s">
        <v>38</v>
      </c>
      <c r="C98" s="6" t="s">
        <v>38</v>
      </c>
      <c r="D98" s="6" t="s">
        <v>265</v>
      </c>
      <c r="E98" s="6" t="s">
        <v>190</v>
      </c>
      <c r="F98" s="6">
        <v>2003</v>
      </c>
      <c r="G98" s="6" t="s">
        <v>266</v>
      </c>
      <c r="H98" s="6" t="s">
        <v>42</v>
      </c>
      <c r="I98" s="6" t="s">
        <v>43</v>
      </c>
      <c r="J98" s="6" t="str">
        <f t="shared" si="1"/>
        <v>Lobelia_siphilitica</v>
      </c>
      <c r="K98" s="6" t="s">
        <v>45</v>
      </c>
      <c r="L98" s="6" t="s">
        <v>46</v>
      </c>
      <c r="M98" s="6" t="s">
        <v>12</v>
      </c>
      <c r="N98" s="6" t="s">
        <v>76</v>
      </c>
      <c r="O98" s="6" t="s">
        <v>49</v>
      </c>
      <c r="P98" s="6" t="s">
        <v>49</v>
      </c>
      <c r="Q98" s="6" t="s">
        <v>49</v>
      </c>
      <c r="R98" s="6" t="s">
        <v>49</v>
      </c>
      <c r="S98" s="6" t="s">
        <v>77</v>
      </c>
      <c r="T98" s="6" t="s">
        <v>78</v>
      </c>
      <c r="U98" s="6" t="s">
        <v>251</v>
      </c>
      <c r="V98" s="6" t="s">
        <v>47</v>
      </c>
      <c r="W98" s="12">
        <v>41.683332999999998</v>
      </c>
      <c r="X98" s="12">
        <v>-92.87</v>
      </c>
      <c r="Y98" s="6" t="s">
        <v>141</v>
      </c>
      <c r="Z98" s="6" t="s">
        <v>271</v>
      </c>
      <c r="AA98" s="1" t="s">
        <v>49</v>
      </c>
      <c r="AB98" s="1" t="s">
        <v>49</v>
      </c>
      <c r="AC98" s="1" t="s">
        <v>49</v>
      </c>
      <c r="AD98" s="6" t="s">
        <v>68</v>
      </c>
      <c r="AE98" s="6" t="s">
        <v>52</v>
      </c>
      <c r="AF98" s="1" t="s">
        <v>49</v>
      </c>
      <c r="AG98" s="1" t="s">
        <v>49</v>
      </c>
      <c r="AH98" s="6" t="s">
        <v>49</v>
      </c>
      <c r="AI98" s="6" t="s">
        <v>272</v>
      </c>
      <c r="AJ98" s="6" t="s">
        <v>49</v>
      </c>
      <c r="AK98" s="6">
        <v>99</v>
      </c>
      <c r="AL98" s="6" t="s">
        <v>49</v>
      </c>
      <c r="AM98" s="6" t="s">
        <v>49</v>
      </c>
      <c r="AN98" s="6">
        <v>-1.341</v>
      </c>
      <c r="AO98" s="6" t="s">
        <v>49</v>
      </c>
      <c r="AP98" s="6">
        <v>0</v>
      </c>
      <c r="AQ98" s="6" t="s">
        <v>49</v>
      </c>
      <c r="AR98" s="6">
        <v>-1.341</v>
      </c>
      <c r="AS98" s="6" t="s">
        <v>49</v>
      </c>
      <c r="AT98" s="6" t="s">
        <v>49</v>
      </c>
      <c r="AU98" s="6" t="s">
        <v>49</v>
      </c>
      <c r="AV98" s="6" t="s">
        <v>49</v>
      </c>
    </row>
    <row r="99" spans="1:48" ht="14.4" customHeight="1">
      <c r="A99" s="6" t="s">
        <v>264</v>
      </c>
      <c r="B99" s="6" t="s">
        <v>38</v>
      </c>
      <c r="C99" s="6" t="s">
        <v>38</v>
      </c>
      <c r="D99" s="6" t="s">
        <v>265</v>
      </c>
      <c r="E99" s="6" t="s">
        <v>190</v>
      </c>
      <c r="F99" s="6">
        <v>2003</v>
      </c>
      <c r="G99" s="6" t="s">
        <v>266</v>
      </c>
      <c r="H99" s="6" t="s">
        <v>42</v>
      </c>
      <c r="I99" s="6" t="s">
        <v>43</v>
      </c>
      <c r="J99" s="6" t="str">
        <f t="shared" si="1"/>
        <v>Lobelia_siphilitica</v>
      </c>
      <c r="K99" s="6" t="s">
        <v>45</v>
      </c>
      <c r="L99" s="6" t="s">
        <v>46</v>
      </c>
      <c r="M99" s="6" t="s">
        <v>12</v>
      </c>
      <c r="N99" s="6" t="s">
        <v>76</v>
      </c>
      <c r="O99" s="6" t="s">
        <v>49</v>
      </c>
      <c r="P99" s="6" t="s">
        <v>49</v>
      </c>
      <c r="Q99" s="6" t="s">
        <v>49</v>
      </c>
      <c r="R99" s="6" t="s">
        <v>49</v>
      </c>
      <c r="S99" s="6" t="s">
        <v>77</v>
      </c>
      <c r="T99" s="6" t="s">
        <v>78</v>
      </c>
      <c r="U99" s="6" t="s">
        <v>251</v>
      </c>
      <c r="V99" s="6" t="s">
        <v>47</v>
      </c>
      <c r="W99" s="12">
        <v>41.683332999999998</v>
      </c>
      <c r="X99" s="12">
        <v>-92.87</v>
      </c>
      <c r="Y99" s="6" t="s">
        <v>141</v>
      </c>
      <c r="Z99" s="6" t="s">
        <v>271</v>
      </c>
      <c r="AA99" s="1" t="s">
        <v>49</v>
      </c>
      <c r="AB99" s="1" t="s">
        <v>49</v>
      </c>
      <c r="AC99" s="1" t="s">
        <v>49</v>
      </c>
      <c r="AD99" s="6" t="s">
        <v>69</v>
      </c>
      <c r="AE99" s="6" t="s">
        <v>63</v>
      </c>
      <c r="AF99" s="1" t="s">
        <v>49</v>
      </c>
      <c r="AG99" s="1" t="s">
        <v>49</v>
      </c>
      <c r="AH99" s="6" t="s">
        <v>49</v>
      </c>
      <c r="AI99" s="6" t="s">
        <v>272</v>
      </c>
      <c r="AJ99" s="6" t="s">
        <v>49</v>
      </c>
      <c r="AK99" s="6">
        <v>99</v>
      </c>
      <c r="AL99" s="6" t="s">
        <v>49</v>
      </c>
      <c r="AM99" s="6" t="s">
        <v>49</v>
      </c>
      <c r="AN99" s="6">
        <v>0.15</v>
      </c>
      <c r="AO99" s="6" t="s">
        <v>49</v>
      </c>
      <c r="AP99" s="6">
        <v>0</v>
      </c>
      <c r="AQ99" s="6" t="s">
        <v>49</v>
      </c>
      <c r="AR99" s="6">
        <v>0.15</v>
      </c>
      <c r="AS99" s="6" t="s">
        <v>49</v>
      </c>
      <c r="AT99" s="6" t="s">
        <v>49</v>
      </c>
      <c r="AU99" s="6" t="s">
        <v>49</v>
      </c>
      <c r="AV99" s="6" t="s">
        <v>49</v>
      </c>
    </row>
    <row r="100" spans="1:48" ht="14.4" customHeight="1">
      <c r="A100" s="6" t="s">
        <v>264</v>
      </c>
      <c r="B100" s="6" t="s">
        <v>38</v>
      </c>
      <c r="C100" s="6" t="s">
        <v>38</v>
      </c>
      <c r="D100" s="6" t="s">
        <v>265</v>
      </c>
      <c r="E100" s="6" t="s">
        <v>190</v>
      </c>
      <c r="F100" s="6">
        <v>2003</v>
      </c>
      <c r="G100" s="6" t="s">
        <v>266</v>
      </c>
      <c r="H100" s="6" t="s">
        <v>42</v>
      </c>
      <c r="I100" s="6" t="s">
        <v>43</v>
      </c>
      <c r="J100" s="6" t="str">
        <f t="shared" si="1"/>
        <v>Lobelia_siphilitica</v>
      </c>
      <c r="K100" s="6" t="s">
        <v>45</v>
      </c>
      <c r="L100" s="6" t="s">
        <v>46</v>
      </c>
      <c r="M100" s="6" t="s">
        <v>12</v>
      </c>
      <c r="N100" s="6" t="s">
        <v>76</v>
      </c>
      <c r="O100" s="6" t="s">
        <v>49</v>
      </c>
      <c r="P100" s="6" t="s">
        <v>49</v>
      </c>
      <c r="Q100" s="6" t="s">
        <v>49</v>
      </c>
      <c r="R100" s="6" t="s">
        <v>49</v>
      </c>
      <c r="S100" s="6" t="s">
        <v>77</v>
      </c>
      <c r="T100" s="6" t="s">
        <v>78</v>
      </c>
      <c r="U100" s="6" t="s">
        <v>251</v>
      </c>
      <c r="V100" s="6" t="s">
        <v>47</v>
      </c>
      <c r="W100" s="12">
        <v>41.683332999999998</v>
      </c>
      <c r="X100" s="12">
        <v>-92.87</v>
      </c>
      <c r="Y100" s="6" t="s">
        <v>141</v>
      </c>
      <c r="Z100" s="6" t="s">
        <v>271</v>
      </c>
      <c r="AA100" s="1" t="s">
        <v>49</v>
      </c>
      <c r="AB100" s="1" t="s">
        <v>49</v>
      </c>
      <c r="AC100" s="1" t="s">
        <v>49</v>
      </c>
      <c r="AD100" s="6" t="s">
        <v>69</v>
      </c>
      <c r="AE100" s="6" t="s">
        <v>65</v>
      </c>
      <c r="AF100" s="1" t="s">
        <v>49</v>
      </c>
      <c r="AG100" s="1" t="s">
        <v>49</v>
      </c>
      <c r="AH100" s="6" t="s">
        <v>49</v>
      </c>
      <c r="AI100" s="6" t="s">
        <v>272</v>
      </c>
      <c r="AJ100" s="6" t="s">
        <v>49</v>
      </c>
      <c r="AK100" s="6">
        <v>99</v>
      </c>
      <c r="AL100" s="6" t="s">
        <v>49</v>
      </c>
      <c r="AM100" s="6" t="s">
        <v>49</v>
      </c>
      <c r="AN100" s="6">
        <v>0.114</v>
      </c>
      <c r="AO100" s="6" t="s">
        <v>49</v>
      </c>
      <c r="AP100" s="6">
        <v>0</v>
      </c>
      <c r="AQ100" s="6" t="s">
        <v>49</v>
      </c>
      <c r="AR100" s="6">
        <v>0.114</v>
      </c>
      <c r="AS100" s="6" t="s">
        <v>49</v>
      </c>
      <c r="AT100" s="6" t="s">
        <v>49</v>
      </c>
      <c r="AU100" s="6" t="s">
        <v>49</v>
      </c>
      <c r="AV100" s="6" t="s">
        <v>49</v>
      </c>
    </row>
    <row r="101" spans="1:48" ht="14.4" customHeight="1">
      <c r="A101" s="6" t="s">
        <v>264</v>
      </c>
      <c r="B101" s="6" t="s">
        <v>38</v>
      </c>
      <c r="C101" s="6" t="s">
        <v>38</v>
      </c>
      <c r="D101" s="6" t="s">
        <v>265</v>
      </c>
      <c r="E101" s="6" t="s">
        <v>190</v>
      </c>
      <c r="F101" s="6">
        <v>2003</v>
      </c>
      <c r="G101" s="6" t="s">
        <v>266</v>
      </c>
      <c r="H101" s="6" t="s">
        <v>42</v>
      </c>
      <c r="I101" s="6" t="s">
        <v>43</v>
      </c>
      <c r="J101" s="6" t="str">
        <f t="shared" si="1"/>
        <v>Lobelia_siphilitica</v>
      </c>
      <c r="K101" s="6" t="s">
        <v>45</v>
      </c>
      <c r="L101" s="6" t="s">
        <v>46</v>
      </c>
      <c r="M101" s="6" t="s">
        <v>12</v>
      </c>
      <c r="N101" s="6" t="s">
        <v>76</v>
      </c>
      <c r="O101" s="6" t="s">
        <v>49</v>
      </c>
      <c r="P101" s="6" t="s">
        <v>49</v>
      </c>
      <c r="Q101" s="6" t="s">
        <v>49</v>
      </c>
      <c r="R101" s="6" t="s">
        <v>49</v>
      </c>
      <c r="S101" s="6" t="s">
        <v>77</v>
      </c>
      <c r="T101" s="6" t="s">
        <v>78</v>
      </c>
      <c r="U101" s="6" t="s">
        <v>251</v>
      </c>
      <c r="V101" s="6" t="s">
        <v>47</v>
      </c>
      <c r="W101" s="12">
        <v>41.683332999999998</v>
      </c>
      <c r="X101" s="12">
        <v>-92.87</v>
      </c>
      <c r="Y101" s="6" t="s">
        <v>141</v>
      </c>
      <c r="Z101" s="6" t="s">
        <v>271</v>
      </c>
      <c r="AA101" s="1" t="s">
        <v>49</v>
      </c>
      <c r="AB101" s="1" t="s">
        <v>49</v>
      </c>
      <c r="AC101" s="1" t="s">
        <v>49</v>
      </c>
      <c r="AD101" s="6" t="s">
        <v>69</v>
      </c>
      <c r="AE101" s="6" t="s">
        <v>59</v>
      </c>
      <c r="AF101" s="1" t="s">
        <v>49</v>
      </c>
      <c r="AG101" s="1" t="s">
        <v>49</v>
      </c>
      <c r="AH101" s="6" t="s">
        <v>49</v>
      </c>
      <c r="AI101" s="6" t="s">
        <v>272</v>
      </c>
      <c r="AJ101" s="6" t="s">
        <v>49</v>
      </c>
      <c r="AK101" s="6">
        <v>99</v>
      </c>
      <c r="AL101" s="6" t="s">
        <v>49</v>
      </c>
      <c r="AM101" s="6" t="s">
        <v>49</v>
      </c>
      <c r="AN101" s="6">
        <v>0.14699999999999999</v>
      </c>
      <c r="AO101" s="6" t="s">
        <v>49</v>
      </c>
      <c r="AP101" s="6">
        <v>0</v>
      </c>
      <c r="AQ101" s="6" t="s">
        <v>49</v>
      </c>
      <c r="AR101" s="6">
        <v>0.14699999999999999</v>
      </c>
      <c r="AS101" s="6" t="s">
        <v>49</v>
      </c>
      <c r="AT101" s="6" t="s">
        <v>49</v>
      </c>
      <c r="AU101" s="6" t="s">
        <v>49</v>
      </c>
      <c r="AV101" s="6" t="s">
        <v>49</v>
      </c>
    </row>
    <row r="102" spans="1:48" ht="14.4" customHeight="1">
      <c r="A102" s="6" t="s">
        <v>264</v>
      </c>
      <c r="B102" s="6" t="s">
        <v>38</v>
      </c>
      <c r="C102" s="6" t="s">
        <v>38</v>
      </c>
      <c r="D102" s="6" t="s">
        <v>265</v>
      </c>
      <c r="E102" s="6" t="s">
        <v>190</v>
      </c>
      <c r="F102" s="6">
        <v>2003</v>
      </c>
      <c r="G102" s="6" t="s">
        <v>266</v>
      </c>
      <c r="H102" s="6" t="s">
        <v>42</v>
      </c>
      <c r="I102" s="6" t="s">
        <v>43</v>
      </c>
      <c r="J102" s="6" t="str">
        <f t="shared" si="1"/>
        <v>Lobelia_siphilitica</v>
      </c>
      <c r="K102" s="6" t="s">
        <v>45</v>
      </c>
      <c r="L102" s="6" t="s">
        <v>46</v>
      </c>
      <c r="M102" s="6" t="s">
        <v>12</v>
      </c>
      <c r="N102" s="6" t="s">
        <v>76</v>
      </c>
      <c r="O102" s="6" t="s">
        <v>49</v>
      </c>
      <c r="P102" s="6" t="s">
        <v>49</v>
      </c>
      <c r="Q102" s="6" t="s">
        <v>49</v>
      </c>
      <c r="R102" s="6" t="s">
        <v>49</v>
      </c>
      <c r="S102" s="6" t="s">
        <v>77</v>
      </c>
      <c r="T102" s="6" t="s">
        <v>78</v>
      </c>
      <c r="U102" s="6" t="s">
        <v>251</v>
      </c>
      <c r="V102" s="6" t="s">
        <v>47</v>
      </c>
      <c r="W102" s="12">
        <v>41.683332999999998</v>
      </c>
      <c r="X102" s="12">
        <v>-92.87</v>
      </c>
      <c r="Y102" s="6" t="s">
        <v>141</v>
      </c>
      <c r="Z102" s="6" t="s">
        <v>271</v>
      </c>
      <c r="AA102" s="1" t="s">
        <v>49</v>
      </c>
      <c r="AB102" s="1" t="s">
        <v>49</v>
      </c>
      <c r="AC102" s="1" t="s">
        <v>49</v>
      </c>
      <c r="AD102" s="6" t="s">
        <v>69</v>
      </c>
      <c r="AE102" s="6" t="s">
        <v>273</v>
      </c>
      <c r="AF102" s="1" t="s">
        <v>49</v>
      </c>
      <c r="AG102" s="1" t="s">
        <v>49</v>
      </c>
      <c r="AH102" s="6" t="s">
        <v>49</v>
      </c>
      <c r="AI102" s="6" t="s">
        <v>272</v>
      </c>
      <c r="AJ102" s="6" t="s">
        <v>49</v>
      </c>
      <c r="AK102" s="6">
        <v>99</v>
      </c>
      <c r="AL102" s="6" t="s">
        <v>49</v>
      </c>
      <c r="AM102" s="6" t="s">
        <v>49</v>
      </c>
      <c r="AN102" s="6">
        <v>-3.0000000000000001E-3</v>
      </c>
      <c r="AO102" s="6" t="s">
        <v>49</v>
      </c>
      <c r="AP102" s="6">
        <v>0</v>
      </c>
      <c r="AQ102" s="6" t="s">
        <v>49</v>
      </c>
      <c r="AR102" s="6">
        <v>-3.0000000000000001E-3</v>
      </c>
      <c r="AS102" s="6" t="s">
        <v>49</v>
      </c>
      <c r="AT102" s="6" t="s">
        <v>49</v>
      </c>
      <c r="AU102" s="6" t="s">
        <v>49</v>
      </c>
      <c r="AV102" s="6" t="s">
        <v>49</v>
      </c>
    </row>
    <row r="103" spans="1:48" ht="14.4" customHeight="1">
      <c r="A103" s="6" t="s">
        <v>264</v>
      </c>
      <c r="B103" s="6" t="s">
        <v>38</v>
      </c>
      <c r="C103" s="6" t="s">
        <v>38</v>
      </c>
      <c r="D103" s="6" t="s">
        <v>265</v>
      </c>
      <c r="E103" s="6" t="s">
        <v>190</v>
      </c>
      <c r="F103" s="6">
        <v>2003</v>
      </c>
      <c r="G103" s="6" t="s">
        <v>266</v>
      </c>
      <c r="H103" s="6" t="s">
        <v>42</v>
      </c>
      <c r="I103" s="6" t="s">
        <v>43</v>
      </c>
      <c r="J103" s="6" t="str">
        <f t="shared" si="1"/>
        <v>Lobelia_siphilitica</v>
      </c>
      <c r="K103" s="6" t="s">
        <v>45</v>
      </c>
      <c r="L103" s="6" t="s">
        <v>46</v>
      </c>
      <c r="M103" s="6" t="s">
        <v>12</v>
      </c>
      <c r="N103" s="6" t="s">
        <v>76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77</v>
      </c>
      <c r="T103" s="6" t="s">
        <v>78</v>
      </c>
      <c r="U103" s="6" t="s">
        <v>251</v>
      </c>
      <c r="V103" s="6" t="s">
        <v>47</v>
      </c>
      <c r="W103" s="12">
        <v>41.683332999999998</v>
      </c>
      <c r="X103" s="12">
        <v>-92.87</v>
      </c>
      <c r="Y103" s="6" t="s">
        <v>141</v>
      </c>
      <c r="Z103" s="6" t="s">
        <v>271</v>
      </c>
      <c r="AA103" s="1" t="s">
        <v>49</v>
      </c>
      <c r="AB103" s="1" t="s">
        <v>49</v>
      </c>
      <c r="AC103" s="1" t="s">
        <v>49</v>
      </c>
      <c r="AD103" s="6" t="s">
        <v>69</v>
      </c>
      <c r="AE103" s="6" t="s">
        <v>52</v>
      </c>
      <c r="AF103" s="1" t="s">
        <v>49</v>
      </c>
      <c r="AG103" s="1" t="s">
        <v>49</v>
      </c>
      <c r="AH103" s="6" t="s">
        <v>49</v>
      </c>
      <c r="AI103" s="6" t="s">
        <v>272</v>
      </c>
      <c r="AJ103" s="6" t="s">
        <v>49</v>
      </c>
      <c r="AK103" s="6">
        <v>99</v>
      </c>
      <c r="AL103" s="6" t="s">
        <v>49</v>
      </c>
      <c r="AM103" s="6" t="s">
        <v>49</v>
      </c>
      <c r="AN103" s="6">
        <v>1.605</v>
      </c>
      <c r="AO103" s="6" t="s">
        <v>49</v>
      </c>
      <c r="AP103" s="6">
        <v>0</v>
      </c>
      <c r="AQ103" s="6" t="s">
        <v>49</v>
      </c>
      <c r="AR103" s="6">
        <v>1.605</v>
      </c>
      <c r="AS103" s="6" t="s">
        <v>49</v>
      </c>
      <c r="AT103" s="6" t="s">
        <v>49</v>
      </c>
      <c r="AU103" s="6" t="s">
        <v>49</v>
      </c>
      <c r="AV103" s="6" t="s">
        <v>49</v>
      </c>
    </row>
    <row r="104" spans="1:48" ht="14.4" customHeight="1">
      <c r="A104" s="6" t="s">
        <v>264</v>
      </c>
      <c r="B104" s="6" t="s">
        <v>38</v>
      </c>
      <c r="C104" s="6" t="s">
        <v>38</v>
      </c>
      <c r="D104" s="6" t="s">
        <v>265</v>
      </c>
      <c r="E104" s="6" t="s">
        <v>190</v>
      </c>
      <c r="F104" s="6">
        <v>2003</v>
      </c>
      <c r="G104" s="6" t="s">
        <v>266</v>
      </c>
      <c r="H104" s="6" t="s">
        <v>42</v>
      </c>
      <c r="I104" s="6" t="s">
        <v>43</v>
      </c>
      <c r="J104" s="6" t="str">
        <f t="shared" si="1"/>
        <v>Lobelia_siphilitica</v>
      </c>
      <c r="K104" s="6" t="s">
        <v>45</v>
      </c>
      <c r="L104" s="6" t="s">
        <v>46</v>
      </c>
      <c r="M104" s="6" t="s">
        <v>12</v>
      </c>
      <c r="N104" s="6" t="s">
        <v>76</v>
      </c>
      <c r="O104" s="6" t="s">
        <v>49</v>
      </c>
      <c r="P104" s="6" t="s">
        <v>49</v>
      </c>
      <c r="Q104" s="6" t="s">
        <v>49</v>
      </c>
      <c r="R104" s="6" t="s">
        <v>49</v>
      </c>
      <c r="S104" s="6" t="s">
        <v>77</v>
      </c>
      <c r="T104" s="6" t="s">
        <v>78</v>
      </c>
      <c r="U104" s="6" t="s">
        <v>251</v>
      </c>
      <c r="V104" s="6" t="s">
        <v>47</v>
      </c>
      <c r="W104" s="12">
        <v>41.683332999999998</v>
      </c>
      <c r="X104" s="12">
        <v>-92.87</v>
      </c>
      <c r="Y104" s="6" t="s">
        <v>141</v>
      </c>
      <c r="Z104" s="6" t="s">
        <v>271</v>
      </c>
      <c r="AA104" s="1" t="s">
        <v>49</v>
      </c>
      <c r="AB104" s="1" t="s">
        <v>49</v>
      </c>
      <c r="AC104" s="1" t="s">
        <v>49</v>
      </c>
      <c r="AD104" s="6" t="s">
        <v>63</v>
      </c>
      <c r="AE104" s="6" t="s">
        <v>65</v>
      </c>
      <c r="AF104" s="1" t="s">
        <v>49</v>
      </c>
      <c r="AG104" s="1" t="s">
        <v>49</v>
      </c>
      <c r="AH104" s="6" t="s">
        <v>49</v>
      </c>
      <c r="AI104" s="6" t="s">
        <v>272</v>
      </c>
      <c r="AJ104" s="6" t="s">
        <v>49</v>
      </c>
      <c r="AK104" s="6">
        <v>99</v>
      </c>
      <c r="AL104" s="6" t="s">
        <v>49</v>
      </c>
      <c r="AM104" s="6" t="s">
        <v>49</v>
      </c>
      <c r="AN104" s="6">
        <v>7.8E-2</v>
      </c>
      <c r="AO104" s="6" t="s">
        <v>49</v>
      </c>
      <c r="AP104" s="6">
        <v>0</v>
      </c>
      <c r="AQ104" s="6" t="s">
        <v>49</v>
      </c>
      <c r="AR104" s="6">
        <v>7.8E-2</v>
      </c>
      <c r="AS104" s="6" t="s">
        <v>49</v>
      </c>
      <c r="AT104" s="6" t="s">
        <v>49</v>
      </c>
      <c r="AU104" s="6" t="s">
        <v>49</v>
      </c>
      <c r="AV104" s="6" t="s">
        <v>49</v>
      </c>
    </row>
    <row r="105" spans="1:48" ht="14.4" customHeight="1">
      <c r="A105" s="6" t="s">
        <v>264</v>
      </c>
      <c r="B105" s="6" t="s">
        <v>38</v>
      </c>
      <c r="C105" s="6" t="s">
        <v>38</v>
      </c>
      <c r="D105" s="6" t="s">
        <v>265</v>
      </c>
      <c r="E105" s="6" t="s">
        <v>190</v>
      </c>
      <c r="F105" s="6">
        <v>2003</v>
      </c>
      <c r="G105" s="6" t="s">
        <v>266</v>
      </c>
      <c r="H105" s="6" t="s">
        <v>42</v>
      </c>
      <c r="I105" s="6" t="s">
        <v>43</v>
      </c>
      <c r="J105" s="6" t="str">
        <f t="shared" si="1"/>
        <v>Lobelia_siphilitica</v>
      </c>
      <c r="K105" s="6" t="s">
        <v>45</v>
      </c>
      <c r="L105" s="6" t="s">
        <v>46</v>
      </c>
      <c r="M105" s="6" t="s">
        <v>12</v>
      </c>
      <c r="N105" s="6" t="s">
        <v>76</v>
      </c>
      <c r="O105" s="6" t="s">
        <v>49</v>
      </c>
      <c r="P105" s="6" t="s">
        <v>49</v>
      </c>
      <c r="Q105" s="6" t="s">
        <v>49</v>
      </c>
      <c r="R105" s="6" t="s">
        <v>49</v>
      </c>
      <c r="S105" s="6" t="s">
        <v>77</v>
      </c>
      <c r="T105" s="6" t="s">
        <v>78</v>
      </c>
      <c r="U105" s="6" t="s">
        <v>251</v>
      </c>
      <c r="V105" s="6" t="s">
        <v>47</v>
      </c>
      <c r="W105" s="12">
        <v>41.683332999999998</v>
      </c>
      <c r="X105" s="12">
        <v>-92.87</v>
      </c>
      <c r="Y105" s="6" t="s">
        <v>141</v>
      </c>
      <c r="Z105" s="6" t="s">
        <v>271</v>
      </c>
      <c r="AA105" s="1" t="s">
        <v>49</v>
      </c>
      <c r="AB105" s="1" t="s">
        <v>49</v>
      </c>
      <c r="AC105" s="1" t="s">
        <v>49</v>
      </c>
      <c r="AD105" s="6" t="s">
        <v>63</v>
      </c>
      <c r="AE105" s="6" t="s">
        <v>59</v>
      </c>
      <c r="AF105" s="1" t="s">
        <v>49</v>
      </c>
      <c r="AG105" s="1" t="s">
        <v>49</v>
      </c>
      <c r="AH105" s="6" t="s">
        <v>49</v>
      </c>
      <c r="AI105" s="6" t="s">
        <v>272</v>
      </c>
      <c r="AJ105" s="6" t="s">
        <v>49</v>
      </c>
      <c r="AK105" s="6">
        <v>99</v>
      </c>
      <c r="AL105" s="6" t="s">
        <v>49</v>
      </c>
      <c r="AM105" s="6" t="s">
        <v>49</v>
      </c>
      <c r="AN105" s="6">
        <v>0.82299999999999995</v>
      </c>
      <c r="AO105" s="6" t="s">
        <v>49</v>
      </c>
      <c r="AP105" s="6">
        <v>0</v>
      </c>
      <c r="AQ105" s="6" t="s">
        <v>49</v>
      </c>
      <c r="AR105" s="6">
        <v>0.82299999999999995</v>
      </c>
      <c r="AS105" s="6" t="s">
        <v>49</v>
      </c>
      <c r="AT105" s="6" t="s">
        <v>49</v>
      </c>
      <c r="AU105" s="6" t="s">
        <v>49</v>
      </c>
      <c r="AV105" s="6" t="s">
        <v>49</v>
      </c>
    </row>
    <row r="106" spans="1:48" ht="14.4" customHeight="1">
      <c r="A106" s="6" t="s">
        <v>264</v>
      </c>
      <c r="B106" s="6" t="s">
        <v>38</v>
      </c>
      <c r="C106" s="6" t="s">
        <v>38</v>
      </c>
      <c r="D106" s="6" t="s">
        <v>265</v>
      </c>
      <c r="E106" s="6" t="s">
        <v>190</v>
      </c>
      <c r="F106" s="6">
        <v>2003</v>
      </c>
      <c r="G106" s="6" t="s">
        <v>266</v>
      </c>
      <c r="H106" s="6" t="s">
        <v>42</v>
      </c>
      <c r="I106" s="6" t="s">
        <v>43</v>
      </c>
      <c r="J106" s="6" t="str">
        <f t="shared" si="1"/>
        <v>Lobelia_siphilitica</v>
      </c>
      <c r="K106" s="6" t="s">
        <v>45</v>
      </c>
      <c r="L106" s="6" t="s">
        <v>46</v>
      </c>
      <c r="M106" s="6" t="s">
        <v>12</v>
      </c>
      <c r="N106" s="6" t="s">
        <v>76</v>
      </c>
      <c r="O106" s="6" t="s">
        <v>49</v>
      </c>
      <c r="P106" s="6" t="s">
        <v>49</v>
      </c>
      <c r="Q106" s="6" t="s">
        <v>49</v>
      </c>
      <c r="R106" s="6" t="s">
        <v>49</v>
      </c>
      <c r="S106" s="6" t="s">
        <v>77</v>
      </c>
      <c r="T106" s="6" t="s">
        <v>78</v>
      </c>
      <c r="U106" s="6" t="s">
        <v>251</v>
      </c>
      <c r="V106" s="6" t="s">
        <v>47</v>
      </c>
      <c r="W106" s="12">
        <v>41.683332999999998</v>
      </c>
      <c r="X106" s="12">
        <v>-92.87</v>
      </c>
      <c r="Y106" s="6" t="s">
        <v>141</v>
      </c>
      <c r="Z106" s="6" t="s">
        <v>271</v>
      </c>
      <c r="AA106" s="1" t="s">
        <v>49</v>
      </c>
      <c r="AB106" s="1" t="s">
        <v>49</v>
      </c>
      <c r="AC106" s="1" t="s">
        <v>49</v>
      </c>
      <c r="AD106" s="6" t="s">
        <v>63</v>
      </c>
      <c r="AE106" s="6" t="s">
        <v>273</v>
      </c>
      <c r="AF106" s="1" t="s">
        <v>49</v>
      </c>
      <c r="AG106" s="1" t="s">
        <v>49</v>
      </c>
      <c r="AH106" s="6" t="s">
        <v>49</v>
      </c>
      <c r="AI106" s="6" t="s">
        <v>272</v>
      </c>
      <c r="AJ106" s="6" t="s">
        <v>49</v>
      </c>
      <c r="AK106" s="6">
        <v>99</v>
      </c>
      <c r="AL106" s="6" t="s">
        <v>49</v>
      </c>
      <c r="AM106" s="6" t="s">
        <v>49</v>
      </c>
      <c r="AN106" s="6">
        <v>-0.08</v>
      </c>
      <c r="AO106" s="6" t="s">
        <v>49</v>
      </c>
      <c r="AP106" s="6">
        <v>0</v>
      </c>
      <c r="AQ106" s="6" t="s">
        <v>49</v>
      </c>
      <c r="AR106" s="6">
        <v>-0.08</v>
      </c>
      <c r="AS106" s="6" t="s">
        <v>49</v>
      </c>
      <c r="AT106" s="6" t="s">
        <v>49</v>
      </c>
      <c r="AU106" s="6" t="s">
        <v>49</v>
      </c>
      <c r="AV106" s="6" t="s">
        <v>49</v>
      </c>
    </row>
    <row r="107" spans="1:48" ht="14.4" customHeight="1">
      <c r="A107" s="6" t="s">
        <v>264</v>
      </c>
      <c r="B107" s="6" t="s">
        <v>38</v>
      </c>
      <c r="C107" s="6" t="s">
        <v>38</v>
      </c>
      <c r="D107" s="6" t="s">
        <v>265</v>
      </c>
      <c r="E107" s="6" t="s">
        <v>190</v>
      </c>
      <c r="F107" s="6">
        <v>2003</v>
      </c>
      <c r="G107" s="6" t="s">
        <v>266</v>
      </c>
      <c r="H107" s="6" t="s">
        <v>42</v>
      </c>
      <c r="I107" s="6" t="s">
        <v>43</v>
      </c>
      <c r="J107" s="6" t="str">
        <f t="shared" si="1"/>
        <v>Lobelia_siphilitica</v>
      </c>
      <c r="K107" s="6" t="s">
        <v>45</v>
      </c>
      <c r="L107" s="6" t="s">
        <v>46</v>
      </c>
      <c r="M107" s="6" t="s">
        <v>12</v>
      </c>
      <c r="N107" s="6" t="s">
        <v>76</v>
      </c>
      <c r="O107" s="6" t="s">
        <v>49</v>
      </c>
      <c r="P107" s="6" t="s">
        <v>49</v>
      </c>
      <c r="Q107" s="6" t="s">
        <v>49</v>
      </c>
      <c r="R107" s="6" t="s">
        <v>49</v>
      </c>
      <c r="S107" s="6" t="s">
        <v>77</v>
      </c>
      <c r="T107" s="6" t="s">
        <v>78</v>
      </c>
      <c r="U107" s="6" t="s">
        <v>251</v>
      </c>
      <c r="V107" s="6" t="s">
        <v>47</v>
      </c>
      <c r="W107" s="12">
        <v>41.683332999999998</v>
      </c>
      <c r="X107" s="12">
        <v>-92.87</v>
      </c>
      <c r="Y107" s="6" t="s">
        <v>141</v>
      </c>
      <c r="Z107" s="6" t="s">
        <v>271</v>
      </c>
      <c r="AA107" s="1" t="s">
        <v>49</v>
      </c>
      <c r="AB107" s="1" t="s">
        <v>49</v>
      </c>
      <c r="AC107" s="1" t="s">
        <v>49</v>
      </c>
      <c r="AD107" s="6" t="s">
        <v>63</v>
      </c>
      <c r="AE107" s="6" t="s">
        <v>52</v>
      </c>
      <c r="AF107" s="1" t="s">
        <v>49</v>
      </c>
      <c r="AG107" s="1" t="s">
        <v>49</v>
      </c>
      <c r="AH107" s="6" t="s">
        <v>49</v>
      </c>
      <c r="AI107" s="6" t="s">
        <v>272</v>
      </c>
      <c r="AJ107" s="6" t="s">
        <v>49</v>
      </c>
      <c r="AK107" s="6">
        <v>99</v>
      </c>
      <c r="AL107" s="6" t="s">
        <v>49</v>
      </c>
      <c r="AM107" s="6" t="s">
        <v>49</v>
      </c>
      <c r="AN107" s="6">
        <v>-1.1519999999999999</v>
      </c>
      <c r="AO107" s="6" t="s">
        <v>49</v>
      </c>
      <c r="AP107" s="6">
        <v>0</v>
      </c>
      <c r="AQ107" s="6" t="s">
        <v>49</v>
      </c>
      <c r="AR107" s="6">
        <v>-1.1519999999999999</v>
      </c>
      <c r="AS107" s="6" t="s">
        <v>49</v>
      </c>
      <c r="AT107" s="6" t="s">
        <v>49</v>
      </c>
      <c r="AU107" s="6" t="s">
        <v>49</v>
      </c>
      <c r="AV107" s="6" t="s">
        <v>49</v>
      </c>
    </row>
    <row r="108" spans="1:48" ht="14.4" customHeight="1">
      <c r="A108" s="6" t="s">
        <v>264</v>
      </c>
      <c r="B108" s="6" t="s">
        <v>38</v>
      </c>
      <c r="C108" s="6" t="s">
        <v>38</v>
      </c>
      <c r="D108" s="6" t="s">
        <v>265</v>
      </c>
      <c r="E108" s="6" t="s">
        <v>190</v>
      </c>
      <c r="F108" s="6">
        <v>2003</v>
      </c>
      <c r="G108" s="6" t="s">
        <v>266</v>
      </c>
      <c r="H108" s="6" t="s">
        <v>42</v>
      </c>
      <c r="I108" s="6" t="s">
        <v>43</v>
      </c>
      <c r="J108" s="6" t="str">
        <f t="shared" si="1"/>
        <v>Lobelia_siphilitica</v>
      </c>
      <c r="K108" s="6" t="s">
        <v>45</v>
      </c>
      <c r="L108" s="6" t="s">
        <v>46</v>
      </c>
      <c r="M108" s="6" t="s">
        <v>12</v>
      </c>
      <c r="N108" s="6" t="s">
        <v>76</v>
      </c>
      <c r="O108" s="6" t="s">
        <v>49</v>
      </c>
      <c r="P108" s="6" t="s">
        <v>49</v>
      </c>
      <c r="Q108" s="6" t="s">
        <v>49</v>
      </c>
      <c r="R108" s="6" t="s">
        <v>49</v>
      </c>
      <c r="S108" s="6" t="s">
        <v>77</v>
      </c>
      <c r="T108" s="6" t="s">
        <v>78</v>
      </c>
      <c r="U108" s="6" t="s">
        <v>251</v>
      </c>
      <c r="V108" s="6" t="s">
        <v>47</v>
      </c>
      <c r="W108" s="12">
        <v>41.683332999999998</v>
      </c>
      <c r="X108" s="12">
        <v>-92.87</v>
      </c>
      <c r="Y108" s="6" t="s">
        <v>141</v>
      </c>
      <c r="Z108" s="6" t="s">
        <v>271</v>
      </c>
      <c r="AA108" s="1" t="s">
        <v>49</v>
      </c>
      <c r="AB108" s="1" t="s">
        <v>49</v>
      </c>
      <c r="AC108" s="1" t="s">
        <v>49</v>
      </c>
      <c r="AD108" s="6" t="s">
        <v>65</v>
      </c>
      <c r="AE108" s="6" t="s">
        <v>59</v>
      </c>
      <c r="AF108" s="1" t="s">
        <v>49</v>
      </c>
      <c r="AG108" s="1" t="s">
        <v>49</v>
      </c>
      <c r="AH108" s="6" t="s">
        <v>49</v>
      </c>
      <c r="AI108" s="6" t="s">
        <v>272</v>
      </c>
      <c r="AJ108" s="6" t="s">
        <v>49</v>
      </c>
      <c r="AK108" s="6">
        <v>99</v>
      </c>
      <c r="AL108" s="6" t="s">
        <v>49</v>
      </c>
      <c r="AM108" s="6" t="s">
        <v>49</v>
      </c>
      <c r="AN108" s="6">
        <v>0.02</v>
      </c>
      <c r="AO108" s="6" t="s">
        <v>49</v>
      </c>
      <c r="AP108" s="6">
        <v>0</v>
      </c>
      <c r="AQ108" s="6" t="s">
        <v>49</v>
      </c>
      <c r="AR108" s="6">
        <v>0.02</v>
      </c>
      <c r="AS108" s="6" t="s">
        <v>49</v>
      </c>
      <c r="AT108" s="6" t="s">
        <v>49</v>
      </c>
      <c r="AU108" s="6" t="s">
        <v>49</v>
      </c>
      <c r="AV108" s="6" t="s">
        <v>49</v>
      </c>
    </row>
    <row r="109" spans="1:48" ht="14.4" customHeight="1">
      <c r="A109" s="6" t="s">
        <v>264</v>
      </c>
      <c r="B109" s="6" t="s">
        <v>38</v>
      </c>
      <c r="C109" s="6" t="s">
        <v>38</v>
      </c>
      <c r="D109" s="6" t="s">
        <v>265</v>
      </c>
      <c r="E109" s="6" t="s">
        <v>190</v>
      </c>
      <c r="F109" s="6">
        <v>2003</v>
      </c>
      <c r="G109" s="6" t="s">
        <v>266</v>
      </c>
      <c r="H109" s="6" t="s">
        <v>42</v>
      </c>
      <c r="I109" s="6" t="s">
        <v>43</v>
      </c>
      <c r="J109" s="6" t="str">
        <f t="shared" si="1"/>
        <v>Lobelia_siphilitica</v>
      </c>
      <c r="K109" s="6" t="s">
        <v>45</v>
      </c>
      <c r="L109" s="6" t="s">
        <v>46</v>
      </c>
      <c r="M109" s="6" t="s">
        <v>12</v>
      </c>
      <c r="N109" s="6" t="s">
        <v>76</v>
      </c>
      <c r="O109" s="6" t="s">
        <v>49</v>
      </c>
      <c r="P109" s="6" t="s">
        <v>49</v>
      </c>
      <c r="Q109" s="6" t="s">
        <v>49</v>
      </c>
      <c r="R109" s="6" t="s">
        <v>49</v>
      </c>
      <c r="S109" s="6" t="s">
        <v>77</v>
      </c>
      <c r="T109" s="6" t="s">
        <v>78</v>
      </c>
      <c r="U109" s="6" t="s">
        <v>251</v>
      </c>
      <c r="V109" s="6" t="s">
        <v>47</v>
      </c>
      <c r="W109" s="12">
        <v>41.683332999999998</v>
      </c>
      <c r="X109" s="12">
        <v>-92.87</v>
      </c>
      <c r="Y109" s="6" t="s">
        <v>141</v>
      </c>
      <c r="Z109" s="6" t="s">
        <v>271</v>
      </c>
      <c r="AA109" s="1" t="s">
        <v>49</v>
      </c>
      <c r="AB109" s="1" t="s">
        <v>49</v>
      </c>
      <c r="AC109" s="1" t="s">
        <v>49</v>
      </c>
      <c r="AD109" s="6" t="s">
        <v>65</v>
      </c>
      <c r="AE109" s="6" t="s">
        <v>273</v>
      </c>
      <c r="AF109" s="1" t="s">
        <v>49</v>
      </c>
      <c r="AG109" s="1" t="s">
        <v>49</v>
      </c>
      <c r="AH109" s="6" t="s">
        <v>49</v>
      </c>
      <c r="AI109" s="6" t="s">
        <v>272</v>
      </c>
      <c r="AJ109" s="6" t="s">
        <v>49</v>
      </c>
      <c r="AK109" s="6">
        <v>99</v>
      </c>
      <c r="AL109" s="6" t="s">
        <v>49</v>
      </c>
      <c r="AM109" s="6" t="s">
        <v>49</v>
      </c>
      <c r="AN109" s="6">
        <v>-6.0999999999999999E-2</v>
      </c>
      <c r="AO109" s="6" t="s">
        <v>49</v>
      </c>
      <c r="AP109" s="6">
        <v>0</v>
      </c>
      <c r="AQ109" s="6" t="s">
        <v>49</v>
      </c>
      <c r="AR109" s="6">
        <v>-6.0999999999999999E-2</v>
      </c>
      <c r="AS109" s="6" t="s">
        <v>49</v>
      </c>
      <c r="AT109" s="6" t="s">
        <v>49</v>
      </c>
      <c r="AU109" s="6" t="s">
        <v>49</v>
      </c>
      <c r="AV109" s="6" t="s">
        <v>49</v>
      </c>
    </row>
    <row r="110" spans="1:48" ht="14.4" customHeight="1">
      <c r="A110" s="6" t="s">
        <v>264</v>
      </c>
      <c r="B110" s="6" t="s">
        <v>38</v>
      </c>
      <c r="C110" s="6" t="s">
        <v>38</v>
      </c>
      <c r="D110" s="6" t="s">
        <v>265</v>
      </c>
      <c r="E110" s="6" t="s">
        <v>190</v>
      </c>
      <c r="F110" s="6">
        <v>2003</v>
      </c>
      <c r="G110" s="6" t="s">
        <v>266</v>
      </c>
      <c r="H110" s="6" t="s">
        <v>42</v>
      </c>
      <c r="I110" s="6" t="s">
        <v>43</v>
      </c>
      <c r="J110" s="6" t="str">
        <f t="shared" si="1"/>
        <v>Lobelia_siphilitica</v>
      </c>
      <c r="K110" s="6" t="s">
        <v>45</v>
      </c>
      <c r="L110" s="6" t="s">
        <v>46</v>
      </c>
      <c r="M110" s="6" t="s">
        <v>12</v>
      </c>
      <c r="N110" s="6" t="s">
        <v>76</v>
      </c>
      <c r="O110" s="6" t="s">
        <v>49</v>
      </c>
      <c r="P110" s="6" t="s">
        <v>49</v>
      </c>
      <c r="Q110" s="6" t="s">
        <v>49</v>
      </c>
      <c r="R110" s="6" t="s">
        <v>49</v>
      </c>
      <c r="S110" s="6" t="s">
        <v>77</v>
      </c>
      <c r="T110" s="6" t="s">
        <v>78</v>
      </c>
      <c r="U110" s="6" t="s">
        <v>251</v>
      </c>
      <c r="V110" s="6" t="s">
        <v>47</v>
      </c>
      <c r="W110" s="12">
        <v>41.683332999999998</v>
      </c>
      <c r="X110" s="12">
        <v>-92.87</v>
      </c>
      <c r="Y110" s="6" t="s">
        <v>141</v>
      </c>
      <c r="Z110" s="6" t="s">
        <v>271</v>
      </c>
      <c r="AA110" s="1" t="s">
        <v>49</v>
      </c>
      <c r="AB110" s="1" t="s">
        <v>49</v>
      </c>
      <c r="AC110" s="1" t="s">
        <v>49</v>
      </c>
      <c r="AD110" s="6" t="s">
        <v>65</v>
      </c>
      <c r="AE110" s="6" t="s">
        <v>52</v>
      </c>
      <c r="AF110" s="1" t="s">
        <v>49</v>
      </c>
      <c r="AG110" s="1" t="s">
        <v>49</v>
      </c>
      <c r="AH110" s="6" t="s">
        <v>49</v>
      </c>
      <c r="AI110" s="6" t="s">
        <v>272</v>
      </c>
      <c r="AJ110" s="6" t="s">
        <v>49</v>
      </c>
      <c r="AK110" s="6">
        <v>99</v>
      </c>
      <c r="AL110" s="6" t="s">
        <v>49</v>
      </c>
      <c r="AM110" s="6" t="s">
        <v>49</v>
      </c>
      <c r="AN110" s="6">
        <v>1.8460000000000001</v>
      </c>
      <c r="AO110" s="6" t="s">
        <v>49</v>
      </c>
      <c r="AP110" s="6">
        <v>0</v>
      </c>
      <c r="AQ110" s="6" t="s">
        <v>49</v>
      </c>
      <c r="AR110" s="6">
        <v>1.8460000000000001</v>
      </c>
      <c r="AS110" s="6" t="s">
        <v>49</v>
      </c>
      <c r="AT110" s="6" t="s">
        <v>49</v>
      </c>
      <c r="AU110" s="6" t="s">
        <v>49</v>
      </c>
      <c r="AV110" s="6" t="s">
        <v>49</v>
      </c>
    </row>
    <row r="111" spans="1:48" ht="14.4" customHeight="1">
      <c r="A111" s="6" t="s">
        <v>264</v>
      </c>
      <c r="B111" s="6" t="s">
        <v>38</v>
      </c>
      <c r="C111" s="6" t="s">
        <v>38</v>
      </c>
      <c r="D111" s="6" t="s">
        <v>265</v>
      </c>
      <c r="E111" s="6" t="s">
        <v>190</v>
      </c>
      <c r="F111" s="6">
        <v>2003</v>
      </c>
      <c r="G111" s="6" t="s">
        <v>266</v>
      </c>
      <c r="H111" s="6" t="s">
        <v>42</v>
      </c>
      <c r="I111" s="6" t="s">
        <v>43</v>
      </c>
      <c r="J111" s="6" t="str">
        <f t="shared" si="1"/>
        <v>Lobelia_siphilitica</v>
      </c>
      <c r="K111" s="6" t="s">
        <v>45</v>
      </c>
      <c r="L111" s="6" t="s">
        <v>46</v>
      </c>
      <c r="M111" s="6" t="s">
        <v>12</v>
      </c>
      <c r="N111" s="6" t="s">
        <v>76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77</v>
      </c>
      <c r="T111" s="6" t="s">
        <v>78</v>
      </c>
      <c r="U111" s="6" t="s">
        <v>251</v>
      </c>
      <c r="V111" s="6" t="s">
        <v>47</v>
      </c>
      <c r="W111" s="12">
        <v>41.683332999999998</v>
      </c>
      <c r="X111" s="12">
        <v>-92.87</v>
      </c>
      <c r="Y111" s="6" t="s">
        <v>141</v>
      </c>
      <c r="Z111" s="6" t="s">
        <v>271</v>
      </c>
      <c r="AA111" s="1" t="s">
        <v>49</v>
      </c>
      <c r="AB111" s="1" t="s">
        <v>49</v>
      </c>
      <c r="AC111" s="1" t="s">
        <v>49</v>
      </c>
      <c r="AD111" s="6" t="s">
        <v>59</v>
      </c>
      <c r="AE111" s="6" t="s">
        <v>273</v>
      </c>
      <c r="AF111" s="1" t="s">
        <v>49</v>
      </c>
      <c r="AG111" s="1" t="s">
        <v>49</v>
      </c>
      <c r="AH111" s="6" t="s">
        <v>49</v>
      </c>
      <c r="AI111" s="6" t="s">
        <v>272</v>
      </c>
      <c r="AJ111" s="6" t="s">
        <v>49</v>
      </c>
      <c r="AK111" s="6">
        <v>99</v>
      </c>
      <c r="AL111" s="6" t="s">
        <v>49</v>
      </c>
      <c r="AM111" s="6" t="s">
        <v>49</v>
      </c>
      <c r="AN111" s="6">
        <v>0.64500000000000002</v>
      </c>
      <c r="AO111" s="6" t="s">
        <v>49</v>
      </c>
      <c r="AP111" s="6">
        <v>0</v>
      </c>
      <c r="AQ111" s="6" t="s">
        <v>49</v>
      </c>
      <c r="AR111" s="6">
        <v>0.64500000000000002</v>
      </c>
      <c r="AS111" s="6" t="s">
        <v>49</v>
      </c>
      <c r="AT111" s="6" t="s">
        <v>49</v>
      </c>
      <c r="AU111" s="6" t="s">
        <v>49</v>
      </c>
      <c r="AV111" s="6" t="s">
        <v>49</v>
      </c>
    </row>
    <row r="112" spans="1:48" ht="14.4" customHeight="1">
      <c r="A112" s="6" t="s">
        <v>264</v>
      </c>
      <c r="B112" s="6" t="s">
        <v>38</v>
      </c>
      <c r="C112" s="6" t="s">
        <v>38</v>
      </c>
      <c r="D112" s="6" t="s">
        <v>265</v>
      </c>
      <c r="E112" s="6" t="s">
        <v>190</v>
      </c>
      <c r="F112" s="6">
        <v>2003</v>
      </c>
      <c r="G112" s="6" t="s">
        <v>266</v>
      </c>
      <c r="H112" s="6" t="s">
        <v>42</v>
      </c>
      <c r="I112" s="6" t="s">
        <v>43</v>
      </c>
      <c r="J112" s="6" t="str">
        <f t="shared" si="1"/>
        <v>Lobelia_siphilitica</v>
      </c>
      <c r="K112" s="6" t="s">
        <v>45</v>
      </c>
      <c r="L112" s="6" t="s">
        <v>46</v>
      </c>
      <c r="M112" s="6" t="s">
        <v>12</v>
      </c>
      <c r="N112" s="6" t="s">
        <v>76</v>
      </c>
      <c r="O112" s="6" t="s">
        <v>49</v>
      </c>
      <c r="P112" s="6" t="s">
        <v>49</v>
      </c>
      <c r="Q112" s="6" t="s">
        <v>49</v>
      </c>
      <c r="R112" s="6" t="s">
        <v>49</v>
      </c>
      <c r="S112" s="6" t="s">
        <v>77</v>
      </c>
      <c r="T112" s="6" t="s">
        <v>78</v>
      </c>
      <c r="U112" s="6" t="s">
        <v>251</v>
      </c>
      <c r="V112" s="6" t="s">
        <v>47</v>
      </c>
      <c r="W112" s="12">
        <v>41.683332999999998</v>
      </c>
      <c r="X112" s="12">
        <v>-92.87</v>
      </c>
      <c r="Y112" s="6" t="s">
        <v>141</v>
      </c>
      <c r="Z112" s="6" t="s">
        <v>271</v>
      </c>
      <c r="AA112" s="1" t="s">
        <v>49</v>
      </c>
      <c r="AB112" s="1" t="s">
        <v>49</v>
      </c>
      <c r="AC112" s="1" t="s">
        <v>49</v>
      </c>
      <c r="AD112" s="6" t="s">
        <v>59</v>
      </c>
      <c r="AE112" s="6" t="s">
        <v>52</v>
      </c>
      <c r="AF112" s="1" t="s">
        <v>49</v>
      </c>
      <c r="AG112" s="1" t="s">
        <v>49</v>
      </c>
      <c r="AH112" s="6" t="s">
        <v>49</v>
      </c>
      <c r="AI112" s="6" t="s">
        <v>272</v>
      </c>
      <c r="AJ112" s="6" t="s">
        <v>49</v>
      </c>
      <c r="AK112" s="6">
        <v>99</v>
      </c>
      <c r="AL112" s="6" t="s">
        <v>49</v>
      </c>
      <c r="AM112" s="6" t="s">
        <v>49</v>
      </c>
      <c r="AN112" s="6">
        <v>1.8740000000000001</v>
      </c>
      <c r="AO112" s="6" t="s">
        <v>49</v>
      </c>
      <c r="AP112" s="6">
        <v>0</v>
      </c>
      <c r="AQ112" s="6" t="s">
        <v>49</v>
      </c>
      <c r="AR112" s="6">
        <v>1.8740000000000001</v>
      </c>
      <c r="AS112" s="6" t="s">
        <v>49</v>
      </c>
      <c r="AT112" s="6" t="s">
        <v>49</v>
      </c>
      <c r="AU112" s="6" t="s">
        <v>49</v>
      </c>
      <c r="AV112" s="6" t="s">
        <v>49</v>
      </c>
    </row>
    <row r="113" spans="1:48" ht="14.4" customHeight="1">
      <c r="A113" s="6" t="s">
        <v>264</v>
      </c>
      <c r="B113" s="6" t="s">
        <v>38</v>
      </c>
      <c r="C113" s="6" t="s">
        <v>38</v>
      </c>
      <c r="D113" s="6" t="s">
        <v>265</v>
      </c>
      <c r="E113" s="6" t="s">
        <v>190</v>
      </c>
      <c r="F113" s="6">
        <v>2003</v>
      </c>
      <c r="G113" s="6" t="s">
        <v>266</v>
      </c>
      <c r="H113" s="6" t="s">
        <v>42</v>
      </c>
      <c r="I113" s="6" t="s">
        <v>43</v>
      </c>
      <c r="J113" s="6" t="str">
        <f t="shared" si="1"/>
        <v>Lobelia_siphilitica</v>
      </c>
      <c r="K113" s="6" t="s">
        <v>45</v>
      </c>
      <c r="L113" s="6" t="s">
        <v>46</v>
      </c>
      <c r="M113" s="6" t="s">
        <v>12</v>
      </c>
      <c r="N113" s="6" t="s">
        <v>76</v>
      </c>
      <c r="O113" s="6" t="s">
        <v>49</v>
      </c>
      <c r="P113" s="6" t="s">
        <v>49</v>
      </c>
      <c r="Q113" s="6" t="s">
        <v>49</v>
      </c>
      <c r="R113" s="6" t="s">
        <v>49</v>
      </c>
      <c r="S113" s="6" t="s">
        <v>77</v>
      </c>
      <c r="T113" s="6" t="s">
        <v>78</v>
      </c>
      <c r="U113" s="6" t="s">
        <v>251</v>
      </c>
      <c r="V113" s="6" t="s">
        <v>47</v>
      </c>
      <c r="W113" s="12">
        <v>41.683332999999998</v>
      </c>
      <c r="X113" s="12">
        <v>-92.87</v>
      </c>
      <c r="Y113" s="6" t="s">
        <v>141</v>
      </c>
      <c r="Z113" s="6" t="s">
        <v>271</v>
      </c>
      <c r="AA113" s="1" t="s">
        <v>49</v>
      </c>
      <c r="AB113" s="1" t="s">
        <v>49</v>
      </c>
      <c r="AC113" s="1" t="s">
        <v>49</v>
      </c>
      <c r="AD113" s="6" t="s">
        <v>273</v>
      </c>
      <c r="AE113" s="6" t="s">
        <v>52</v>
      </c>
      <c r="AF113" s="1" t="s">
        <v>49</v>
      </c>
      <c r="AG113" s="1" t="s">
        <v>49</v>
      </c>
      <c r="AH113" s="6" t="s">
        <v>49</v>
      </c>
      <c r="AI113" s="6" t="s">
        <v>272</v>
      </c>
      <c r="AJ113" s="6" t="s">
        <v>49</v>
      </c>
      <c r="AK113" s="6">
        <v>99</v>
      </c>
      <c r="AL113" s="6" t="s">
        <v>49</v>
      </c>
      <c r="AM113" s="6" t="s">
        <v>49</v>
      </c>
      <c r="AN113" s="6">
        <v>2.9119999999999999</v>
      </c>
      <c r="AO113" s="6" t="s">
        <v>49</v>
      </c>
      <c r="AP113" s="6">
        <v>0</v>
      </c>
      <c r="AQ113" s="6" t="s">
        <v>49</v>
      </c>
      <c r="AR113" s="6">
        <v>2.9119999999999999</v>
      </c>
      <c r="AS113" s="6" t="s">
        <v>49</v>
      </c>
      <c r="AT113" s="6" t="s">
        <v>49</v>
      </c>
      <c r="AU113" s="6" t="s">
        <v>49</v>
      </c>
      <c r="AV113" s="6" t="s">
        <v>49</v>
      </c>
    </row>
    <row r="114" spans="1:48" ht="14.4" customHeight="1">
      <c r="A114" s="6" t="s">
        <v>264</v>
      </c>
      <c r="B114" s="6" t="s">
        <v>38</v>
      </c>
      <c r="C114" s="6" t="s">
        <v>38</v>
      </c>
      <c r="D114" s="6" t="s">
        <v>265</v>
      </c>
      <c r="E114" s="6" t="s">
        <v>190</v>
      </c>
      <c r="F114" s="6">
        <v>2003</v>
      </c>
      <c r="G114" s="6" t="s">
        <v>266</v>
      </c>
      <c r="H114" s="6" t="s">
        <v>42</v>
      </c>
      <c r="I114" s="6" t="s">
        <v>43</v>
      </c>
      <c r="J114" s="6" t="str">
        <f t="shared" si="1"/>
        <v>Lobelia_siphilitica</v>
      </c>
      <c r="K114" s="6" t="s">
        <v>45</v>
      </c>
      <c r="L114" s="6" t="s">
        <v>46</v>
      </c>
      <c r="M114" s="6" t="s">
        <v>12</v>
      </c>
      <c r="N114" s="6" t="s">
        <v>76</v>
      </c>
      <c r="O114" s="6" t="s">
        <v>49</v>
      </c>
      <c r="P114" s="6" t="s">
        <v>49</v>
      </c>
      <c r="Q114" s="6" t="s">
        <v>49</v>
      </c>
      <c r="R114" s="6" t="s">
        <v>49</v>
      </c>
      <c r="S114" s="6" t="s">
        <v>77</v>
      </c>
      <c r="T114" s="6" t="s">
        <v>78</v>
      </c>
      <c r="U114" s="6" t="s">
        <v>251</v>
      </c>
      <c r="V114" s="6" t="s">
        <v>70</v>
      </c>
      <c r="W114" s="12">
        <v>41.704999999999998</v>
      </c>
      <c r="X114" s="12">
        <v>-92.786666999999994</v>
      </c>
      <c r="Y114" s="6" t="s">
        <v>141</v>
      </c>
      <c r="Z114" s="6" t="s">
        <v>271</v>
      </c>
      <c r="AA114" s="1" t="s">
        <v>49</v>
      </c>
      <c r="AB114" s="1" t="s">
        <v>49</v>
      </c>
      <c r="AC114" s="1" t="s">
        <v>49</v>
      </c>
      <c r="AD114" s="6" t="s">
        <v>68</v>
      </c>
      <c r="AE114" s="6" t="s">
        <v>68</v>
      </c>
      <c r="AF114" s="1" t="s">
        <v>60</v>
      </c>
      <c r="AG114" s="1" t="s">
        <v>61</v>
      </c>
      <c r="AH114" s="6" t="s">
        <v>49</v>
      </c>
      <c r="AI114" s="6" t="s">
        <v>272</v>
      </c>
      <c r="AJ114" s="6" t="s">
        <v>49</v>
      </c>
      <c r="AK114" s="6">
        <v>47</v>
      </c>
      <c r="AL114" s="6" t="s">
        <v>49</v>
      </c>
      <c r="AM114" s="6">
        <v>11.992800000000001</v>
      </c>
      <c r="AN114" s="6">
        <v>2.085</v>
      </c>
      <c r="AO114" s="6" t="s">
        <v>49</v>
      </c>
      <c r="AP114" s="6">
        <v>0</v>
      </c>
      <c r="AQ114" s="6" t="s">
        <v>49</v>
      </c>
      <c r="AR114" s="6">
        <v>2.085</v>
      </c>
      <c r="AS114" s="6" t="s">
        <v>49</v>
      </c>
      <c r="AT114" s="6" t="s">
        <v>49</v>
      </c>
      <c r="AU114" s="6" t="s">
        <v>49</v>
      </c>
      <c r="AV114" s="6" t="s">
        <v>49</v>
      </c>
    </row>
    <row r="115" spans="1:48" ht="14.4" customHeight="1">
      <c r="A115" s="6" t="s">
        <v>264</v>
      </c>
      <c r="B115" s="6" t="s">
        <v>38</v>
      </c>
      <c r="C115" s="6" t="s">
        <v>38</v>
      </c>
      <c r="D115" s="6" t="s">
        <v>265</v>
      </c>
      <c r="E115" s="6" t="s">
        <v>190</v>
      </c>
      <c r="F115" s="6">
        <v>2003</v>
      </c>
      <c r="G115" s="6" t="s">
        <v>266</v>
      </c>
      <c r="H115" s="6" t="s">
        <v>42</v>
      </c>
      <c r="I115" s="6" t="s">
        <v>43</v>
      </c>
      <c r="J115" s="6" t="str">
        <f t="shared" si="1"/>
        <v>Lobelia_siphilitica</v>
      </c>
      <c r="K115" s="6" t="s">
        <v>45</v>
      </c>
      <c r="L115" s="6" t="s">
        <v>46</v>
      </c>
      <c r="M115" s="6" t="s">
        <v>12</v>
      </c>
      <c r="N115" s="6" t="s">
        <v>76</v>
      </c>
      <c r="O115" s="6" t="s">
        <v>49</v>
      </c>
      <c r="P115" s="6" t="s">
        <v>49</v>
      </c>
      <c r="Q115" s="6" t="s">
        <v>49</v>
      </c>
      <c r="R115" s="6" t="s">
        <v>49</v>
      </c>
      <c r="S115" s="6" t="s">
        <v>77</v>
      </c>
      <c r="T115" s="6" t="s">
        <v>78</v>
      </c>
      <c r="U115" s="6" t="s">
        <v>251</v>
      </c>
      <c r="V115" s="6" t="s">
        <v>70</v>
      </c>
      <c r="W115" s="12">
        <v>41.704999999999998</v>
      </c>
      <c r="X115" s="12">
        <v>-92.786666999999994</v>
      </c>
      <c r="Y115" s="6" t="s">
        <v>141</v>
      </c>
      <c r="Z115" s="6" t="s">
        <v>271</v>
      </c>
      <c r="AA115" s="1" t="s">
        <v>49</v>
      </c>
      <c r="AB115" s="1" t="s">
        <v>49</v>
      </c>
      <c r="AC115" s="1" t="s">
        <v>49</v>
      </c>
      <c r="AD115" s="6" t="s">
        <v>69</v>
      </c>
      <c r="AE115" s="6" t="s">
        <v>69</v>
      </c>
      <c r="AF115" s="1" t="s">
        <v>60</v>
      </c>
      <c r="AG115" s="1" t="s">
        <v>61</v>
      </c>
      <c r="AH115" s="6" t="s">
        <v>49</v>
      </c>
      <c r="AI115" s="6" t="s">
        <v>272</v>
      </c>
      <c r="AJ115" s="6" t="s">
        <v>49</v>
      </c>
      <c r="AK115" s="6">
        <v>47</v>
      </c>
      <c r="AL115" s="6" t="s">
        <v>49</v>
      </c>
      <c r="AM115" s="6">
        <v>5.1847000000000003</v>
      </c>
      <c r="AN115" s="6">
        <v>0.26800000000000002</v>
      </c>
      <c r="AO115" s="6" t="s">
        <v>49</v>
      </c>
      <c r="AP115" s="6">
        <v>0</v>
      </c>
      <c r="AQ115" s="6" t="s">
        <v>49</v>
      </c>
      <c r="AR115" s="6">
        <v>0.26800000000000002</v>
      </c>
      <c r="AS115" s="6" t="s">
        <v>49</v>
      </c>
      <c r="AT115" s="6" t="s">
        <v>49</v>
      </c>
      <c r="AU115" s="6" t="s">
        <v>49</v>
      </c>
      <c r="AV115" s="6" t="s">
        <v>49</v>
      </c>
    </row>
    <row r="116" spans="1:48" ht="14.4" customHeight="1">
      <c r="A116" s="6" t="s">
        <v>264</v>
      </c>
      <c r="B116" s="6" t="s">
        <v>38</v>
      </c>
      <c r="C116" s="6" t="s">
        <v>38</v>
      </c>
      <c r="D116" s="6" t="s">
        <v>265</v>
      </c>
      <c r="E116" s="6" t="s">
        <v>190</v>
      </c>
      <c r="F116" s="6">
        <v>2003</v>
      </c>
      <c r="G116" s="6" t="s">
        <v>266</v>
      </c>
      <c r="H116" s="6" t="s">
        <v>42</v>
      </c>
      <c r="I116" s="6" t="s">
        <v>43</v>
      </c>
      <c r="J116" s="6" t="str">
        <f t="shared" si="1"/>
        <v>Lobelia_siphilitica</v>
      </c>
      <c r="K116" s="6" t="s">
        <v>45</v>
      </c>
      <c r="L116" s="6" t="s">
        <v>46</v>
      </c>
      <c r="M116" s="6" t="s">
        <v>12</v>
      </c>
      <c r="N116" s="6" t="s">
        <v>76</v>
      </c>
      <c r="O116" s="6" t="s">
        <v>49</v>
      </c>
      <c r="P116" s="6" t="s">
        <v>49</v>
      </c>
      <c r="Q116" s="6" t="s">
        <v>49</v>
      </c>
      <c r="R116" s="6" t="s">
        <v>49</v>
      </c>
      <c r="S116" s="6" t="s">
        <v>77</v>
      </c>
      <c r="T116" s="6" t="s">
        <v>78</v>
      </c>
      <c r="U116" s="6" t="s">
        <v>251</v>
      </c>
      <c r="V116" s="6" t="s">
        <v>70</v>
      </c>
      <c r="W116" s="12">
        <v>41.704999999999998</v>
      </c>
      <c r="X116" s="12">
        <v>-92.786666999999994</v>
      </c>
      <c r="Y116" s="6" t="s">
        <v>141</v>
      </c>
      <c r="Z116" s="6" t="s">
        <v>271</v>
      </c>
      <c r="AA116" s="1" t="s">
        <v>49</v>
      </c>
      <c r="AB116" s="1" t="s">
        <v>49</v>
      </c>
      <c r="AC116" s="1" t="s">
        <v>49</v>
      </c>
      <c r="AD116" s="6" t="s">
        <v>63</v>
      </c>
      <c r="AE116" s="6" t="s">
        <v>63</v>
      </c>
      <c r="AF116" s="1" t="s">
        <v>60</v>
      </c>
      <c r="AG116" s="1" t="s">
        <v>61</v>
      </c>
      <c r="AH116" s="6" t="s">
        <v>49</v>
      </c>
      <c r="AI116" s="6" t="s">
        <v>272</v>
      </c>
      <c r="AJ116" s="6" t="s">
        <v>49</v>
      </c>
      <c r="AK116" s="6">
        <v>47</v>
      </c>
      <c r="AL116" s="6" t="s">
        <v>49</v>
      </c>
      <c r="AM116" s="6">
        <v>16.966799999999999</v>
      </c>
      <c r="AN116" s="6">
        <v>1.107</v>
      </c>
      <c r="AO116" s="6" t="s">
        <v>49</v>
      </c>
      <c r="AP116" s="6">
        <v>0</v>
      </c>
      <c r="AQ116" s="6" t="s">
        <v>49</v>
      </c>
      <c r="AR116" s="6">
        <v>1.107</v>
      </c>
      <c r="AS116" s="6" t="s">
        <v>49</v>
      </c>
      <c r="AT116" s="6" t="s">
        <v>49</v>
      </c>
      <c r="AU116" s="6" t="s">
        <v>49</v>
      </c>
      <c r="AV116" s="6" t="s">
        <v>49</v>
      </c>
    </row>
    <row r="117" spans="1:48" ht="14.4" customHeight="1">
      <c r="A117" s="6" t="s">
        <v>264</v>
      </c>
      <c r="B117" s="6" t="s">
        <v>38</v>
      </c>
      <c r="C117" s="6" t="s">
        <v>38</v>
      </c>
      <c r="D117" s="6" t="s">
        <v>265</v>
      </c>
      <c r="E117" s="6" t="s">
        <v>190</v>
      </c>
      <c r="F117" s="6">
        <v>2003</v>
      </c>
      <c r="G117" s="6" t="s">
        <v>266</v>
      </c>
      <c r="H117" s="6" t="s">
        <v>42</v>
      </c>
      <c r="I117" s="6" t="s">
        <v>43</v>
      </c>
      <c r="J117" s="6" t="str">
        <f t="shared" si="1"/>
        <v>Lobelia_siphilitica</v>
      </c>
      <c r="K117" s="6" t="s">
        <v>45</v>
      </c>
      <c r="L117" s="6" t="s">
        <v>46</v>
      </c>
      <c r="M117" s="6" t="s">
        <v>12</v>
      </c>
      <c r="N117" s="6" t="s">
        <v>76</v>
      </c>
      <c r="O117" s="6" t="s">
        <v>49</v>
      </c>
      <c r="P117" s="6" t="s">
        <v>49</v>
      </c>
      <c r="Q117" s="6" t="s">
        <v>49</v>
      </c>
      <c r="R117" s="6" t="s">
        <v>49</v>
      </c>
      <c r="S117" s="6" t="s">
        <v>77</v>
      </c>
      <c r="T117" s="6" t="s">
        <v>78</v>
      </c>
      <c r="U117" s="6" t="s">
        <v>251</v>
      </c>
      <c r="V117" s="6" t="s">
        <v>70</v>
      </c>
      <c r="W117" s="12">
        <v>41.704999999999998</v>
      </c>
      <c r="X117" s="12">
        <v>-92.786666999999994</v>
      </c>
      <c r="Y117" s="6" t="s">
        <v>141</v>
      </c>
      <c r="Z117" s="6" t="s">
        <v>271</v>
      </c>
      <c r="AA117" s="1" t="s">
        <v>49</v>
      </c>
      <c r="AB117" s="1" t="s">
        <v>49</v>
      </c>
      <c r="AC117" s="1" t="s">
        <v>49</v>
      </c>
      <c r="AD117" s="6" t="s">
        <v>65</v>
      </c>
      <c r="AE117" s="6" t="s">
        <v>65</v>
      </c>
      <c r="AF117" s="1" t="s">
        <v>60</v>
      </c>
      <c r="AG117" s="1" t="s">
        <v>61</v>
      </c>
      <c r="AH117" s="6" t="s">
        <v>49</v>
      </c>
      <c r="AI117" s="6" t="s">
        <v>272</v>
      </c>
      <c r="AJ117" s="6" t="s">
        <v>49</v>
      </c>
      <c r="AK117" s="6">
        <v>47</v>
      </c>
      <c r="AL117" s="6" t="s">
        <v>49</v>
      </c>
      <c r="AM117" s="6">
        <v>5.3331999999999997</v>
      </c>
      <c r="AN117" s="6">
        <v>0.254</v>
      </c>
      <c r="AO117" s="6" t="s">
        <v>49</v>
      </c>
      <c r="AP117" s="6">
        <v>0</v>
      </c>
      <c r="AQ117" s="6" t="s">
        <v>49</v>
      </c>
      <c r="AR117" s="6">
        <v>0.254</v>
      </c>
      <c r="AS117" s="6" t="s">
        <v>49</v>
      </c>
      <c r="AT117" s="6" t="s">
        <v>49</v>
      </c>
      <c r="AU117" s="6" t="s">
        <v>49</v>
      </c>
      <c r="AV117" s="6" t="s">
        <v>49</v>
      </c>
    </row>
    <row r="118" spans="1:48" ht="14.4" customHeight="1">
      <c r="A118" s="6" t="s">
        <v>264</v>
      </c>
      <c r="B118" s="6" t="s">
        <v>38</v>
      </c>
      <c r="C118" s="6" t="s">
        <v>38</v>
      </c>
      <c r="D118" s="6" t="s">
        <v>265</v>
      </c>
      <c r="E118" s="6" t="s">
        <v>190</v>
      </c>
      <c r="F118" s="6">
        <v>2003</v>
      </c>
      <c r="G118" s="6" t="s">
        <v>266</v>
      </c>
      <c r="H118" s="6" t="s">
        <v>42</v>
      </c>
      <c r="I118" s="6" t="s">
        <v>43</v>
      </c>
      <c r="J118" s="6" t="str">
        <f t="shared" si="1"/>
        <v>Lobelia_siphilitica</v>
      </c>
      <c r="K118" s="6" t="s">
        <v>45</v>
      </c>
      <c r="L118" s="6" t="s">
        <v>46</v>
      </c>
      <c r="M118" s="6" t="s">
        <v>12</v>
      </c>
      <c r="N118" s="6" t="s">
        <v>76</v>
      </c>
      <c r="O118" s="6" t="s">
        <v>49</v>
      </c>
      <c r="P118" s="6" t="s">
        <v>49</v>
      </c>
      <c r="Q118" s="6" t="s">
        <v>49</v>
      </c>
      <c r="R118" s="6" t="s">
        <v>49</v>
      </c>
      <c r="S118" s="6" t="s">
        <v>77</v>
      </c>
      <c r="T118" s="6" t="s">
        <v>78</v>
      </c>
      <c r="U118" s="6" t="s">
        <v>251</v>
      </c>
      <c r="V118" s="6" t="s">
        <v>70</v>
      </c>
      <c r="W118" s="12">
        <v>41.704999999999998</v>
      </c>
      <c r="X118" s="12">
        <v>-92.786666999999994</v>
      </c>
      <c r="Y118" s="6" t="s">
        <v>141</v>
      </c>
      <c r="Z118" s="6" t="s">
        <v>271</v>
      </c>
      <c r="AA118" s="1" t="s">
        <v>49</v>
      </c>
      <c r="AB118" s="1" t="s">
        <v>49</v>
      </c>
      <c r="AC118" s="1" t="s">
        <v>49</v>
      </c>
      <c r="AD118" s="6" t="s">
        <v>59</v>
      </c>
      <c r="AE118" s="6" t="s">
        <v>59</v>
      </c>
      <c r="AF118" s="1" t="s">
        <v>60</v>
      </c>
      <c r="AG118" s="1" t="s">
        <v>61</v>
      </c>
      <c r="AH118" s="6" t="s">
        <v>49</v>
      </c>
      <c r="AI118" s="6" t="s">
        <v>272</v>
      </c>
      <c r="AJ118" s="6" t="s">
        <v>49</v>
      </c>
      <c r="AK118" s="6">
        <v>47</v>
      </c>
      <c r="AL118" s="6" t="s">
        <v>49</v>
      </c>
      <c r="AM118" s="6">
        <v>21.5823</v>
      </c>
      <c r="AN118" s="6">
        <v>1.595</v>
      </c>
      <c r="AO118" s="6" t="s">
        <v>49</v>
      </c>
      <c r="AP118" s="6">
        <v>0</v>
      </c>
      <c r="AQ118" s="6" t="s">
        <v>49</v>
      </c>
      <c r="AR118" s="6">
        <v>1.595</v>
      </c>
      <c r="AS118" s="6" t="s">
        <v>49</v>
      </c>
      <c r="AT118" s="6" t="s">
        <v>49</v>
      </c>
      <c r="AU118" s="6" t="s">
        <v>49</v>
      </c>
      <c r="AV118" s="6" t="s">
        <v>49</v>
      </c>
    </row>
    <row r="119" spans="1:48" ht="14.4" customHeight="1">
      <c r="A119" s="6" t="s">
        <v>264</v>
      </c>
      <c r="B119" s="6" t="s">
        <v>38</v>
      </c>
      <c r="C119" s="6" t="s">
        <v>38</v>
      </c>
      <c r="D119" s="6" t="s">
        <v>265</v>
      </c>
      <c r="E119" s="6" t="s">
        <v>190</v>
      </c>
      <c r="F119" s="6">
        <v>2003</v>
      </c>
      <c r="G119" s="6" t="s">
        <v>266</v>
      </c>
      <c r="H119" s="6" t="s">
        <v>42</v>
      </c>
      <c r="I119" s="6" t="s">
        <v>43</v>
      </c>
      <c r="J119" s="6" t="str">
        <f t="shared" si="1"/>
        <v>Lobelia_siphilitica</v>
      </c>
      <c r="K119" s="6" t="s">
        <v>45</v>
      </c>
      <c r="L119" s="6" t="s">
        <v>46</v>
      </c>
      <c r="M119" s="6" t="s">
        <v>12</v>
      </c>
      <c r="N119" s="6" t="s">
        <v>76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77</v>
      </c>
      <c r="T119" s="6" t="s">
        <v>78</v>
      </c>
      <c r="U119" s="6" t="s">
        <v>251</v>
      </c>
      <c r="V119" s="6" t="s">
        <v>70</v>
      </c>
      <c r="W119" s="12">
        <v>41.704999999999998</v>
      </c>
      <c r="X119" s="12">
        <v>-92.786666999999994</v>
      </c>
      <c r="Y119" s="6" t="s">
        <v>141</v>
      </c>
      <c r="Z119" s="6" t="s">
        <v>271</v>
      </c>
      <c r="AA119" s="1" t="s">
        <v>49</v>
      </c>
      <c r="AB119" s="1" t="s">
        <v>49</v>
      </c>
      <c r="AC119" s="1" t="s">
        <v>49</v>
      </c>
      <c r="AD119" s="6" t="s">
        <v>273</v>
      </c>
      <c r="AE119" s="6" t="s">
        <v>273</v>
      </c>
      <c r="AF119" s="1" t="s">
        <v>60</v>
      </c>
      <c r="AG119" s="1" t="s">
        <v>61</v>
      </c>
      <c r="AH119" s="6" t="s">
        <v>49</v>
      </c>
      <c r="AI119" s="6" t="s">
        <v>272</v>
      </c>
      <c r="AJ119" s="6" t="s">
        <v>49</v>
      </c>
      <c r="AK119" s="6">
        <v>47</v>
      </c>
      <c r="AL119" s="6" t="s">
        <v>49</v>
      </c>
      <c r="AM119" s="6">
        <v>4.7748999999999997</v>
      </c>
      <c r="AN119" s="6">
        <v>2.359</v>
      </c>
      <c r="AO119" s="6" t="s">
        <v>49</v>
      </c>
      <c r="AP119" s="6">
        <v>0</v>
      </c>
      <c r="AQ119" s="6" t="s">
        <v>49</v>
      </c>
      <c r="AR119" s="6">
        <v>2.359</v>
      </c>
      <c r="AS119" s="6" t="s">
        <v>49</v>
      </c>
      <c r="AT119" s="6" t="s">
        <v>49</v>
      </c>
      <c r="AU119" s="6" t="s">
        <v>49</v>
      </c>
      <c r="AV119" s="6" t="s">
        <v>49</v>
      </c>
    </row>
    <row r="120" spans="1:48" ht="14.4" customHeight="1">
      <c r="A120" s="6" t="s">
        <v>264</v>
      </c>
      <c r="B120" s="6" t="s">
        <v>38</v>
      </c>
      <c r="C120" s="6" t="s">
        <v>38</v>
      </c>
      <c r="D120" s="6" t="s">
        <v>265</v>
      </c>
      <c r="E120" s="6" t="s">
        <v>190</v>
      </c>
      <c r="F120" s="6">
        <v>2003</v>
      </c>
      <c r="G120" s="6" t="s">
        <v>266</v>
      </c>
      <c r="H120" s="6" t="s">
        <v>42</v>
      </c>
      <c r="I120" s="6" t="s">
        <v>43</v>
      </c>
      <c r="J120" s="6" t="str">
        <f t="shared" si="1"/>
        <v>Lobelia_siphilitica</v>
      </c>
      <c r="K120" s="6" t="s">
        <v>45</v>
      </c>
      <c r="L120" s="6" t="s">
        <v>46</v>
      </c>
      <c r="M120" s="6" t="s">
        <v>12</v>
      </c>
      <c r="N120" s="6" t="s">
        <v>76</v>
      </c>
      <c r="O120" s="6" t="s">
        <v>49</v>
      </c>
      <c r="P120" s="6" t="s">
        <v>49</v>
      </c>
      <c r="Q120" s="6" t="s">
        <v>49</v>
      </c>
      <c r="R120" s="6" t="s">
        <v>49</v>
      </c>
      <c r="S120" s="6" t="s">
        <v>77</v>
      </c>
      <c r="T120" s="6" t="s">
        <v>78</v>
      </c>
      <c r="U120" s="6" t="s">
        <v>251</v>
      </c>
      <c r="V120" s="6" t="s">
        <v>70</v>
      </c>
      <c r="W120" s="12">
        <v>41.704999999999998</v>
      </c>
      <c r="X120" s="12">
        <v>-92.786666999999994</v>
      </c>
      <c r="Y120" s="6" t="s">
        <v>141</v>
      </c>
      <c r="Z120" s="6" t="s">
        <v>271</v>
      </c>
      <c r="AA120" s="1" t="s">
        <v>49</v>
      </c>
      <c r="AB120" s="1" t="s">
        <v>49</v>
      </c>
      <c r="AC120" s="1" t="s">
        <v>49</v>
      </c>
      <c r="AD120" s="6" t="s">
        <v>52</v>
      </c>
      <c r="AE120" s="6" t="s">
        <v>52</v>
      </c>
      <c r="AF120" s="1" t="s">
        <v>60</v>
      </c>
      <c r="AG120" s="1" t="s">
        <v>53</v>
      </c>
      <c r="AH120" s="6" t="s">
        <v>49</v>
      </c>
      <c r="AI120" s="6" t="s">
        <v>272</v>
      </c>
      <c r="AJ120" s="6" t="s">
        <v>49</v>
      </c>
      <c r="AK120" s="6">
        <v>47</v>
      </c>
      <c r="AL120" s="6" t="s">
        <v>49</v>
      </c>
      <c r="AM120" s="6">
        <v>21.0426</v>
      </c>
      <c r="AN120" s="6">
        <v>107.30200000000001</v>
      </c>
      <c r="AO120" s="6" t="s">
        <v>49</v>
      </c>
      <c r="AP120" s="6">
        <v>0</v>
      </c>
      <c r="AQ120" s="6" t="s">
        <v>49</v>
      </c>
      <c r="AR120" s="6">
        <v>107.30200000000001</v>
      </c>
      <c r="AS120" s="6" t="s">
        <v>49</v>
      </c>
      <c r="AT120" s="6" t="s">
        <v>49</v>
      </c>
      <c r="AU120" s="6" t="s">
        <v>49</v>
      </c>
      <c r="AV120" s="6" t="s">
        <v>49</v>
      </c>
    </row>
    <row r="121" spans="1:48" ht="14.4" customHeight="1">
      <c r="A121" s="6" t="s">
        <v>264</v>
      </c>
      <c r="B121" s="6" t="s">
        <v>38</v>
      </c>
      <c r="C121" s="6" t="s">
        <v>38</v>
      </c>
      <c r="D121" s="6" t="s">
        <v>265</v>
      </c>
      <c r="E121" s="6" t="s">
        <v>190</v>
      </c>
      <c r="F121" s="6">
        <v>2003</v>
      </c>
      <c r="G121" s="6" t="s">
        <v>266</v>
      </c>
      <c r="H121" s="6" t="s">
        <v>42</v>
      </c>
      <c r="I121" s="6" t="s">
        <v>43</v>
      </c>
      <c r="J121" s="6" t="str">
        <f t="shared" si="1"/>
        <v>Lobelia_siphilitica</v>
      </c>
      <c r="K121" s="6" t="s">
        <v>45</v>
      </c>
      <c r="L121" s="6" t="s">
        <v>46</v>
      </c>
      <c r="M121" s="6" t="s">
        <v>12</v>
      </c>
      <c r="N121" s="6" t="s">
        <v>76</v>
      </c>
      <c r="O121" s="6" t="s">
        <v>49</v>
      </c>
      <c r="P121" s="6" t="s">
        <v>49</v>
      </c>
      <c r="Q121" s="6" t="s">
        <v>49</v>
      </c>
      <c r="R121" s="6" t="s">
        <v>49</v>
      </c>
      <c r="S121" s="6" t="s">
        <v>77</v>
      </c>
      <c r="T121" s="6" t="s">
        <v>78</v>
      </c>
      <c r="U121" s="6" t="s">
        <v>251</v>
      </c>
      <c r="V121" s="6" t="s">
        <v>70</v>
      </c>
      <c r="W121" s="12">
        <v>41.704999999999998</v>
      </c>
      <c r="X121" s="12">
        <v>-92.786666999999994</v>
      </c>
      <c r="Y121" s="6" t="s">
        <v>141</v>
      </c>
      <c r="Z121" s="6" t="s">
        <v>271</v>
      </c>
      <c r="AA121" s="1" t="s">
        <v>49</v>
      </c>
      <c r="AB121" s="1" t="s">
        <v>49</v>
      </c>
      <c r="AC121" s="1" t="s">
        <v>49</v>
      </c>
      <c r="AD121" s="6" t="s">
        <v>68</v>
      </c>
      <c r="AE121" s="6" t="s">
        <v>69</v>
      </c>
      <c r="AF121" s="1" t="s">
        <v>49</v>
      </c>
      <c r="AG121" s="1" t="s">
        <v>49</v>
      </c>
      <c r="AH121" s="6" t="s">
        <v>49</v>
      </c>
      <c r="AI121" s="6" t="s">
        <v>272</v>
      </c>
      <c r="AJ121" s="6" t="s">
        <v>49</v>
      </c>
      <c r="AK121" s="6">
        <v>47</v>
      </c>
      <c r="AL121" s="6" t="s">
        <v>49</v>
      </c>
      <c r="AM121" s="6" t="s">
        <v>49</v>
      </c>
      <c r="AN121" s="6">
        <v>0.58699999999999997</v>
      </c>
      <c r="AO121" s="6" t="s">
        <v>49</v>
      </c>
      <c r="AP121" s="6">
        <v>0</v>
      </c>
      <c r="AQ121" s="6" t="s">
        <v>49</v>
      </c>
      <c r="AR121" s="6">
        <v>0.58699999999999997</v>
      </c>
      <c r="AS121" s="6" t="s">
        <v>49</v>
      </c>
      <c r="AT121" s="6" t="s">
        <v>49</v>
      </c>
      <c r="AU121" s="6" t="s">
        <v>49</v>
      </c>
      <c r="AV121" s="6" t="s">
        <v>49</v>
      </c>
    </row>
    <row r="122" spans="1:48" ht="14.4" customHeight="1">
      <c r="A122" s="6" t="s">
        <v>264</v>
      </c>
      <c r="B122" s="6" t="s">
        <v>38</v>
      </c>
      <c r="C122" s="6" t="s">
        <v>38</v>
      </c>
      <c r="D122" s="6" t="s">
        <v>265</v>
      </c>
      <c r="E122" s="6" t="s">
        <v>190</v>
      </c>
      <c r="F122" s="6">
        <v>2003</v>
      </c>
      <c r="G122" s="6" t="s">
        <v>266</v>
      </c>
      <c r="H122" s="6" t="s">
        <v>42</v>
      </c>
      <c r="I122" s="6" t="s">
        <v>43</v>
      </c>
      <c r="J122" s="6" t="str">
        <f t="shared" si="1"/>
        <v>Lobelia_siphilitica</v>
      </c>
      <c r="K122" s="6" t="s">
        <v>45</v>
      </c>
      <c r="L122" s="6" t="s">
        <v>46</v>
      </c>
      <c r="M122" s="6" t="s">
        <v>12</v>
      </c>
      <c r="N122" s="6" t="s">
        <v>76</v>
      </c>
      <c r="O122" s="6" t="s">
        <v>49</v>
      </c>
      <c r="P122" s="6" t="s">
        <v>49</v>
      </c>
      <c r="Q122" s="6" t="s">
        <v>49</v>
      </c>
      <c r="R122" s="6" t="s">
        <v>49</v>
      </c>
      <c r="S122" s="6" t="s">
        <v>77</v>
      </c>
      <c r="T122" s="6" t="s">
        <v>78</v>
      </c>
      <c r="U122" s="6" t="s">
        <v>251</v>
      </c>
      <c r="V122" s="6" t="s">
        <v>70</v>
      </c>
      <c r="W122" s="12">
        <v>41.704999999999998</v>
      </c>
      <c r="X122" s="12">
        <v>-92.786666999999994</v>
      </c>
      <c r="Y122" s="6" t="s">
        <v>141</v>
      </c>
      <c r="Z122" s="6" t="s">
        <v>271</v>
      </c>
      <c r="AA122" s="1" t="s">
        <v>49</v>
      </c>
      <c r="AB122" s="1" t="s">
        <v>49</v>
      </c>
      <c r="AC122" s="1" t="s">
        <v>49</v>
      </c>
      <c r="AD122" s="6" t="s">
        <v>68</v>
      </c>
      <c r="AE122" s="6" t="s">
        <v>63</v>
      </c>
      <c r="AF122" s="1" t="s">
        <v>49</v>
      </c>
      <c r="AG122" s="1" t="s">
        <v>49</v>
      </c>
      <c r="AH122" s="6" t="s">
        <v>49</v>
      </c>
      <c r="AI122" s="6" t="s">
        <v>272</v>
      </c>
      <c r="AJ122" s="6" t="s">
        <v>49</v>
      </c>
      <c r="AK122" s="6">
        <v>47</v>
      </c>
      <c r="AL122" s="6" t="s">
        <v>49</v>
      </c>
      <c r="AM122" s="6" t="s">
        <v>49</v>
      </c>
      <c r="AN122" s="6">
        <v>0.89300000000000002</v>
      </c>
      <c r="AO122" s="6" t="s">
        <v>49</v>
      </c>
      <c r="AP122" s="6">
        <v>0</v>
      </c>
      <c r="AQ122" s="6" t="s">
        <v>49</v>
      </c>
      <c r="AR122" s="6">
        <v>0.89300000000000002</v>
      </c>
      <c r="AS122" s="6" t="s">
        <v>49</v>
      </c>
      <c r="AT122" s="6" t="s">
        <v>49</v>
      </c>
      <c r="AU122" s="6" t="s">
        <v>49</v>
      </c>
      <c r="AV122" s="6" t="s">
        <v>49</v>
      </c>
    </row>
    <row r="123" spans="1:48" ht="14.4" customHeight="1">
      <c r="A123" s="6" t="s">
        <v>264</v>
      </c>
      <c r="B123" s="6" t="s">
        <v>38</v>
      </c>
      <c r="C123" s="6" t="s">
        <v>38</v>
      </c>
      <c r="D123" s="6" t="s">
        <v>265</v>
      </c>
      <c r="E123" s="6" t="s">
        <v>190</v>
      </c>
      <c r="F123" s="6">
        <v>2003</v>
      </c>
      <c r="G123" s="6" t="s">
        <v>266</v>
      </c>
      <c r="H123" s="6" t="s">
        <v>42</v>
      </c>
      <c r="I123" s="6" t="s">
        <v>43</v>
      </c>
      <c r="J123" s="6" t="str">
        <f t="shared" si="1"/>
        <v>Lobelia_siphilitica</v>
      </c>
      <c r="K123" s="6" t="s">
        <v>45</v>
      </c>
      <c r="L123" s="6" t="s">
        <v>46</v>
      </c>
      <c r="M123" s="6" t="s">
        <v>12</v>
      </c>
      <c r="N123" s="6" t="s">
        <v>76</v>
      </c>
      <c r="O123" s="6" t="s">
        <v>49</v>
      </c>
      <c r="P123" s="6" t="s">
        <v>49</v>
      </c>
      <c r="Q123" s="6" t="s">
        <v>49</v>
      </c>
      <c r="R123" s="6" t="s">
        <v>49</v>
      </c>
      <c r="S123" s="6" t="s">
        <v>77</v>
      </c>
      <c r="T123" s="6" t="s">
        <v>78</v>
      </c>
      <c r="U123" s="6" t="s">
        <v>251</v>
      </c>
      <c r="V123" s="6" t="s">
        <v>70</v>
      </c>
      <c r="W123" s="12">
        <v>41.704999999999998</v>
      </c>
      <c r="X123" s="12">
        <v>-92.786666999999994</v>
      </c>
      <c r="Y123" s="6" t="s">
        <v>141</v>
      </c>
      <c r="Z123" s="6" t="s">
        <v>271</v>
      </c>
      <c r="AA123" s="1" t="s">
        <v>49</v>
      </c>
      <c r="AB123" s="1" t="s">
        <v>49</v>
      </c>
      <c r="AC123" s="1" t="s">
        <v>49</v>
      </c>
      <c r="AD123" s="6" t="s">
        <v>68</v>
      </c>
      <c r="AE123" s="6" t="s">
        <v>65</v>
      </c>
      <c r="AF123" s="1" t="s">
        <v>49</v>
      </c>
      <c r="AG123" s="1" t="s">
        <v>49</v>
      </c>
      <c r="AH123" s="6" t="s">
        <v>49</v>
      </c>
      <c r="AI123" s="6" t="s">
        <v>272</v>
      </c>
      <c r="AJ123" s="6" t="s">
        <v>49</v>
      </c>
      <c r="AK123" s="6">
        <v>47</v>
      </c>
      <c r="AL123" s="6" t="s">
        <v>49</v>
      </c>
      <c r="AM123" s="6" t="s">
        <v>49</v>
      </c>
      <c r="AN123" s="6">
        <v>0.16200000000000001</v>
      </c>
      <c r="AO123" s="6" t="s">
        <v>49</v>
      </c>
      <c r="AP123" s="6">
        <v>0</v>
      </c>
      <c r="AQ123" s="6" t="s">
        <v>49</v>
      </c>
      <c r="AR123" s="6">
        <v>0.16200000000000001</v>
      </c>
      <c r="AS123" s="6" t="s">
        <v>49</v>
      </c>
      <c r="AT123" s="6" t="s">
        <v>49</v>
      </c>
      <c r="AU123" s="6" t="s">
        <v>49</v>
      </c>
      <c r="AV123" s="6" t="s">
        <v>49</v>
      </c>
    </row>
    <row r="124" spans="1:48" ht="14.4" customHeight="1">
      <c r="A124" s="6" t="s">
        <v>264</v>
      </c>
      <c r="B124" s="6" t="s">
        <v>38</v>
      </c>
      <c r="C124" s="6" t="s">
        <v>38</v>
      </c>
      <c r="D124" s="6" t="s">
        <v>265</v>
      </c>
      <c r="E124" s="6" t="s">
        <v>190</v>
      </c>
      <c r="F124" s="6">
        <v>2003</v>
      </c>
      <c r="G124" s="6" t="s">
        <v>266</v>
      </c>
      <c r="H124" s="6" t="s">
        <v>42</v>
      </c>
      <c r="I124" s="6" t="s">
        <v>43</v>
      </c>
      <c r="J124" s="6" t="str">
        <f t="shared" si="1"/>
        <v>Lobelia_siphilitica</v>
      </c>
      <c r="K124" s="6" t="s">
        <v>45</v>
      </c>
      <c r="L124" s="6" t="s">
        <v>46</v>
      </c>
      <c r="M124" s="6" t="s">
        <v>12</v>
      </c>
      <c r="N124" s="6" t="s">
        <v>76</v>
      </c>
      <c r="O124" s="6" t="s">
        <v>49</v>
      </c>
      <c r="P124" s="6" t="s">
        <v>49</v>
      </c>
      <c r="Q124" s="6" t="s">
        <v>49</v>
      </c>
      <c r="R124" s="6" t="s">
        <v>49</v>
      </c>
      <c r="S124" s="6" t="s">
        <v>77</v>
      </c>
      <c r="T124" s="6" t="s">
        <v>78</v>
      </c>
      <c r="U124" s="6" t="s">
        <v>251</v>
      </c>
      <c r="V124" s="6" t="s">
        <v>70</v>
      </c>
      <c r="W124" s="12">
        <v>41.704999999999998</v>
      </c>
      <c r="X124" s="12">
        <v>-92.786666999999994</v>
      </c>
      <c r="Y124" s="6" t="s">
        <v>141</v>
      </c>
      <c r="Z124" s="6" t="s">
        <v>271</v>
      </c>
      <c r="AA124" s="1" t="s">
        <v>49</v>
      </c>
      <c r="AB124" s="1" t="s">
        <v>49</v>
      </c>
      <c r="AC124" s="1" t="s">
        <v>49</v>
      </c>
      <c r="AD124" s="6" t="s">
        <v>68</v>
      </c>
      <c r="AE124" s="6" t="s">
        <v>59</v>
      </c>
      <c r="AF124" s="1" t="s">
        <v>49</v>
      </c>
      <c r="AG124" s="1" t="s">
        <v>49</v>
      </c>
      <c r="AH124" s="6" t="s">
        <v>49</v>
      </c>
      <c r="AI124" s="6" t="s">
        <v>272</v>
      </c>
      <c r="AJ124" s="6" t="s">
        <v>49</v>
      </c>
      <c r="AK124" s="6">
        <v>47</v>
      </c>
      <c r="AL124" s="6" t="s">
        <v>49</v>
      </c>
      <c r="AM124" s="6" t="s">
        <v>49</v>
      </c>
      <c r="AN124" s="6">
        <v>1.153</v>
      </c>
      <c r="AO124" s="6" t="s">
        <v>49</v>
      </c>
      <c r="AP124" s="6">
        <v>0</v>
      </c>
      <c r="AQ124" s="6" t="s">
        <v>49</v>
      </c>
      <c r="AR124" s="6">
        <v>1.153</v>
      </c>
      <c r="AS124" s="6" t="s">
        <v>49</v>
      </c>
      <c r="AT124" s="6" t="s">
        <v>49</v>
      </c>
      <c r="AU124" s="6" t="s">
        <v>49</v>
      </c>
      <c r="AV124" s="6" t="s">
        <v>49</v>
      </c>
    </row>
    <row r="125" spans="1:48" ht="14.4" customHeight="1">
      <c r="A125" s="6" t="s">
        <v>264</v>
      </c>
      <c r="B125" s="6" t="s">
        <v>38</v>
      </c>
      <c r="C125" s="6" t="s">
        <v>38</v>
      </c>
      <c r="D125" s="6" t="s">
        <v>265</v>
      </c>
      <c r="E125" s="6" t="s">
        <v>190</v>
      </c>
      <c r="F125" s="6">
        <v>2003</v>
      </c>
      <c r="G125" s="6" t="s">
        <v>266</v>
      </c>
      <c r="H125" s="6" t="s">
        <v>42</v>
      </c>
      <c r="I125" s="6" t="s">
        <v>43</v>
      </c>
      <c r="J125" s="6" t="str">
        <f t="shared" si="1"/>
        <v>Lobelia_siphilitica</v>
      </c>
      <c r="K125" s="6" t="s">
        <v>45</v>
      </c>
      <c r="L125" s="6" t="s">
        <v>46</v>
      </c>
      <c r="M125" s="6" t="s">
        <v>12</v>
      </c>
      <c r="N125" s="6" t="s">
        <v>76</v>
      </c>
      <c r="O125" s="6" t="s">
        <v>49</v>
      </c>
      <c r="P125" s="6" t="s">
        <v>49</v>
      </c>
      <c r="Q125" s="6" t="s">
        <v>49</v>
      </c>
      <c r="R125" s="6" t="s">
        <v>49</v>
      </c>
      <c r="S125" s="6" t="s">
        <v>77</v>
      </c>
      <c r="T125" s="6" t="s">
        <v>78</v>
      </c>
      <c r="U125" s="6" t="s">
        <v>251</v>
      </c>
      <c r="V125" s="6" t="s">
        <v>70</v>
      </c>
      <c r="W125" s="12">
        <v>41.704999999999998</v>
      </c>
      <c r="X125" s="12">
        <v>-92.786666999999994</v>
      </c>
      <c r="Y125" s="6" t="s">
        <v>141</v>
      </c>
      <c r="Z125" s="6" t="s">
        <v>271</v>
      </c>
      <c r="AA125" s="1" t="s">
        <v>49</v>
      </c>
      <c r="AB125" s="1" t="s">
        <v>49</v>
      </c>
      <c r="AC125" s="1" t="s">
        <v>49</v>
      </c>
      <c r="AD125" s="6" t="s">
        <v>68</v>
      </c>
      <c r="AE125" s="6" t="s">
        <v>273</v>
      </c>
      <c r="AF125" s="1" t="s">
        <v>49</v>
      </c>
      <c r="AG125" s="1" t="s">
        <v>49</v>
      </c>
      <c r="AH125" s="6" t="s">
        <v>49</v>
      </c>
      <c r="AI125" s="6" t="s">
        <v>272</v>
      </c>
      <c r="AJ125" s="6" t="s">
        <v>49</v>
      </c>
      <c r="AK125" s="6">
        <v>47</v>
      </c>
      <c r="AL125" s="6" t="s">
        <v>49</v>
      </c>
      <c r="AM125" s="6" t="s">
        <v>49</v>
      </c>
      <c r="AN125" s="6">
        <v>0.153</v>
      </c>
      <c r="AO125" s="6" t="s">
        <v>49</v>
      </c>
      <c r="AP125" s="6">
        <v>0</v>
      </c>
      <c r="AQ125" s="6" t="s">
        <v>49</v>
      </c>
      <c r="AR125" s="6">
        <v>0.153</v>
      </c>
      <c r="AS125" s="6" t="s">
        <v>49</v>
      </c>
      <c r="AT125" s="6" t="s">
        <v>49</v>
      </c>
      <c r="AU125" s="6" t="s">
        <v>49</v>
      </c>
      <c r="AV125" s="6" t="s">
        <v>49</v>
      </c>
    </row>
    <row r="126" spans="1:48" ht="14.4" customHeight="1">
      <c r="A126" s="6" t="s">
        <v>264</v>
      </c>
      <c r="B126" s="6" t="s">
        <v>38</v>
      </c>
      <c r="C126" s="6" t="s">
        <v>38</v>
      </c>
      <c r="D126" s="6" t="s">
        <v>265</v>
      </c>
      <c r="E126" s="6" t="s">
        <v>190</v>
      </c>
      <c r="F126" s="6">
        <v>2003</v>
      </c>
      <c r="G126" s="6" t="s">
        <v>266</v>
      </c>
      <c r="H126" s="6" t="s">
        <v>42</v>
      </c>
      <c r="I126" s="6" t="s">
        <v>43</v>
      </c>
      <c r="J126" s="6" t="str">
        <f t="shared" si="1"/>
        <v>Lobelia_siphilitica</v>
      </c>
      <c r="K126" s="6" t="s">
        <v>45</v>
      </c>
      <c r="L126" s="6" t="s">
        <v>46</v>
      </c>
      <c r="M126" s="6" t="s">
        <v>12</v>
      </c>
      <c r="N126" s="6" t="s">
        <v>76</v>
      </c>
      <c r="O126" s="6" t="s">
        <v>49</v>
      </c>
      <c r="P126" s="6" t="s">
        <v>49</v>
      </c>
      <c r="Q126" s="6" t="s">
        <v>49</v>
      </c>
      <c r="R126" s="6" t="s">
        <v>49</v>
      </c>
      <c r="S126" s="6" t="s">
        <v>77</v>
      </c>
      <c r="T126" s="6" t="s">
        <v>78</v>
      </c>
      <c r="U126" s="6" t="s">
        <v>251</v>
      </c>
      <c r="V126" s="6" t="s">
        <v>70</v>
      </c>
      <c r="W126" s="12">
        <v>41.704999999999998</v>
      </c>
      <c r="X126" s="12">
        <v>-92.786666999999994</v>
      </c>
      <c r="Y126" s="6" t="s">
        <v>141</v>
      </c>
      <c r="Z126" s="6" t="s">
        <v>271</v>
      </c>
      <c r="AA126" s="1" t="s">
        <v>49</v>
      </c>
      <c r="AB126" s="1" t="s">
        <v>49</v>
      </c>
      <c r="AC126" s="1" t="s">
        <v>49</v>
      </c>
      <c r="AD126" s="6" t="s">
        <v>68</v>
      </c>
      <c r="AE126" s="6" t="s">
        <v>52</v>
      </c>
      <c r="AF126" s="1" t="s">
        <v>49</v>
      </c>
      <c r="AG126" s="1" t="s">
        <v>49</v>
      </c>
      <c r="AH126" s="6" t="s">
        <v>49</v>
      </c>
      <c r="AI126" s="6" t="s">
        <v>272</v>
      </c>
      <c r="AJ126" s="6" t="s">
        <v>49</v>
      </c>
      <c r="AK126" s="6">
        <v>47</v>
      </c>
      <c r="AL126" s="6" t="s">
        <v>49</v>
      </c>
      <c r="AM126" s="6" t="s">
        <v>49</v>
      </c>
      <c r="AN126" s="6">
        <v>-3.4889999999999999</v>
      </c>
      <c r="AO126" s="6" t="s">
        <v>49</v>
      </c>
      <c r="AP126" s="6">
        <v>0</v>
      </c>
      <c r="AQ126" s="6" t="s">
        <v>49</v>
      </c>
      <c r="AR126" s="6">
        <v>-3.4889999999999999</v>
      </c>
      <c r="AS126" s="6" t="s">
        <v>49</v>
      </c>
      <c r="AT126" s="6" t="s">
        <v>49</v>
      </c>
      <c r="AU126" s="6" t="s">
        <v>49</v>
      </c>
      <c r="AV126" s="6" t="s">
        <v>49</v>
      </c>
    </row>
    <row r="127" spans="1:48" ht="14.4" customHeight="1">
      <c r="A127" s="6" t="s">
        <v>264</v>
      </c>
      <c r="B127" s="6" t="s">
        <v>38</v>
      </c>
      <c r="C127" s="6" t="s">
        <v>38</v>
      </c>
      <c r="D127" s="6" t="s">
        <v>265</v>
      </c>
      <c r="E127" s="6" t="s">
        <v>190</v>
      </c>
      <c r="F127" s="6">
        <v>2003</v>
      </c>
      <c r="G127" s="6" t="s">
        <v>266</v>
      </c>
      <c r="H127" s="6" t="s">
        <v>42</v>
      </c>
      <c r="I127" s="6" t="s">
        <v>43</v>
      </c>
      <c r="J127" s="6" t="str">
        <f t="shared" si="1"/>
        <v>Lobelia_siphilitica</v>
      </c>
      <c r="K127" s="6" t="s">
        <v>45</v>
      </c>
      <c r="L127" s="6" t="s">
        <v>46</v>
      </c>
      <c r="M127" s="6" t="s">
        <v>12</v>
      </c>
      <c r="N127" s="6" t="s">
        <v>76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77</v>
      </c>
      <c r="T127" s="6" t="s">
        <v>78</v>
      </c>
      <c r="U127" s="6" t="s">
        <v>251</v>
      </c>
      <c r="V127" s="6" t="s">
        <v>70</v>
      </c>
      <c r="W127" s="12">
        <v>41.704999999999998</v>
      </c>
      <c r="X127" s="12">
        <v>-92.786666999999994</v>
      </c>
      <c r="Y127" s="6" t="s">
        <v>141</v>
      </c>
      <c r="Z127" s="6" t="s">
        <v>271</v>
      </c>
      <c r="AA127" s="1" t="s">
        <v>49</v>
      </c>
      <c r="AB127" s="1" t="s">
        <v>49</v>
      </c>
      <c r="AC127" s="1" t="s">
        <v>49</v>
      </c>
      <c r="AD127" s="6" t="s">
        <v>69</v>
      </c>
      <c r="AE127" s="6" t="s">
        <v>63</v>
      </c>
      <c r="AF127" s="1" t="s">
        <v>49</v>
      </c>
      <c r="AG127" s="1" t="s">
        <v>49</v>
      </c>
      <c r="AH127" s="6" t="s">
        <v>49</v>
      </c>
      <c r="AI127" s="6" t="s">
        <v>272</v>
      </c>
      <c r="AJ127" s="6" t="s">
        <v>49</v>
      </c>
      <c r="AK127" s="6">
        <v>47</v>
      </c>
      <c r="AL127" s="6" t="s">
        <v>49</v>
      </c>
      <c r="AM127" s="6" t="s">
        <v>49</v>
      </c>
      <c r="AN127" s="6">
        <v>0.308</v>
      </c>
      <c r="AO127" s="6" t="s">
        <v>49</v>
      </c>
      <c r="AP127" s="6">
        <v>0</v>
      </c>
      <c r="AQ127" s="6" t="s">
        <v>49</v>
      </c>
      <c r="AR127" s="6">
        <v>0.308</v>
      </c>
      <c r="AS127" s="6" t="s">
        <v>49</v>
      </c>
      <c r="AT127" s="6" t="s">
        <v>49</v>
      </c>
      <c r="AU127" s="6" t="s">
        <v>49</v>
      </c>
      <c r="AV127" s="6" t="s">
        <v>49</v>
      </c>
    </row>
    <row r="128" spans="1:48" ht="14.4" customHeight="1">
      <c r="A128" s="6" t="s">
        <v>264</v>
      </c>
      <c r="B128" s="6" t="s">
        <v>38</v>
      </c>
      <c r="C128" s="6" t="s">
        <v>38</v>
      </c>
      <c r="D128" s="6" t="s">
        <v>265</v>
      </c>
      <c r="E128" s="6" t="s">
        <v>190</v>
      </c>
      <c r="F128" s="6">
        <v>2003</v>
      </c>
      <c r="G128" s="6" t="s">
        <v>266</v>
      </c>
      <c r="H128" s="6" t="s">
        <v>42</v>
      </c>
      <c r="I128" s="6" t="s">
        <v>43</v>
      </c>
      <c r="J128" s="6" t="str">
        <f t="shared" si="1"/>
        <v>Lobelia_siphilitica</v>
      </c>
      <c r="K128" s="6" t="s">
        <v>45</v>
      </c>
      <c r="L128" s="6" t="s">
        <v>46</v>
      </c>
      <c r="M128" s="6" t="s">
        <v>12</v>
      </c>
      <c r="N128" s="6" t="s">
        <v>76</v>
      </c>
      <c r="O128" s="6" t="s">
        <v>49</v>
      </c>
      <c r="P128" s="6" t="s">
        <v>49</v>
      </c>
      <c r="Q128" s="6" t="s">
        <v>49</v>
      </c>
      <c r="R128" s="6" t="s">
        <v>49</v>
      </c>
      <c r="S128" s="6" t="s">
        <v>77</v>
      </c>
      <c r="T128" s="6" t="s">
        <v>78</v>
      </c>
      <c r="U128" s="6" t="s">
        <v>251</v>
      </c>
      <c r="V128" s="6" t="s">
        <v>70</v>
      </c>
      <c r="W128" s="12">
        <v>41.704999999999998</v>
      </c>
      <c r="X128" s="12">
        <v>-92.786666999999994</v>
      </c>
      <c r="Y128" s="6" t="s">
        <v>141</v>
      </c>
      <c r="Z128" s="6" t="s">
        <v>271</v>
      </c>
      <c r="AA128" s="1" t="s">
        <v>49</v>
      </c>
      <c r="AB128" s="1" t="s">
        <v>49</v>
      </c>
      <c r="AC128" s="1" t="s">
        <v>49</v>
      </c>
      <c r="AD128" s="6" t="s">
        <v>69</v>
      </c>
      <c r="AE128" s="6" t="s">
        <v>65</v>
      </c>
      <c r="AF128" s="1" t="s">
        <v>49</v>
      </c>
      <c r="AG128" s="1" t="s">
        <v>49</v>
      </c>
      <c r="AH128" s="6" t="s">
        <v>49</v>
      </c>
      <c r="AI128" s="6" t="s">
        <v>272</v>
      </c>
      <c r="AJ128" s="6" t="s">
        <v>49</v>
      </c>
      <c r="AK128" s="6">
        <v>47</v>
      </c>
      <c r="AL128" s="6" t="s">
        <v>49</v>
      </c>
      <c r="AM128" s="6" t="s">
        <v>49</v>
      </c>
      <c r="AN128" s="6">
        <v>7.0999999999999994E-2</v>
      </c>
      <c r="AO128" s="6" t="s">
        <v>49</v>
      </c>
      <c r="AP128" s="6">
        <v>0</v>
      </c>
      <c r="AQ128" s="6" t="s">
        <v>49</v>
      </c>
      <c r="AR128" s="6">
        <v>7.0999999999999994E-2</v>
      </c>
      <c r="AS128" s="6" t="s">
        <v>49</v>
      </c>
      <c r="AT128" s="6" t="s">
        <v>49</v>
      </c>
      <c r="AU128" s="6" t="s">
        <v>49</v>
      </c>
      <c r="AV128" s="6" t="s">
        <v>49</v>
      </c>
    </row>
    <row r="129" spans="1:48" ht="14.4" customHeight="1">
      <c r="A129" s="6" t="s">
        <v>264</v>
      </c>
      <c r="B129" s="6" t="s">
        <v>38</v>
      </c>
      <c r="C129" s="6" t="s">
        <v>38</v>
      </c>
      <c r="D129" s="6" t="s">
        <v>265</v>
      </c>
      <c r="E129" s="6" t="s">
        <v>190</v>
      </c>
      <c r="F129" s="6">
        <v>2003</v>
      </c>
      <c r="G129" s="6" t="s">
        <v>266</v>
      </c>
      <c r="H129" s="6" t="s">
        <v>42</v>
      </c>
      <c r="I129" s="6" t="s">
        <v>43</v>
      </c>
      <c r="J129" s="6" t="str">
        <f t="shared" si="1"/>
        <v>Lobelia_siphilitica</v>
      </c>
      <c r="K129" s="6" t="s">
        <v>45</v>
      </c>
      <c r="L129" s="6" t="s">
        <v>46</v>
      </c>
      <c r="M129" s="6" t="s">
        <v>12</v>
      </c>
      <c r="N129" s="6" t="s">
        <v>76</v>
      </c>
      <c r="O129" s="6" t="s">
        <v>49</v>
      </c>
      <c r="P129" s="6" t="s">
        <v>49</v>
      </c>
      <c r="Q129" s="6" t="s">
        <v>49</v>
      </c>
      <c r="R129" s="6" t="s">
        <v>49</v>
      </c>
      <c r="S129" s="6" t="s">
        <v>77</v>
      </c>
      <c r="T129" s="6" t="s">
        <v>78</v>
      </c>
      <c r="U129" s="6" t="s">
        <v>251</v>
      </c>
      <c r="V129" s="6" t="s">
        <v>70</v>
      </c>
      <c r="W129" s="12">
        <v>41.704999999999998</v>
      </c>
      <c r="X129" s="12">
        <v>-92.786666999999994</v>
      </c>
      <c r="Y129" s="6" t="s">
        <v>141</v>
      </c>
      <c r="Z129" s="6" t="s">
        <v>271</v>
      </c>
      <c r="AA129" s="1" t="s">
        <v>49</v>
      </c>
      <c r="AB129" s="1" t="s">
        <v>49</v>
      </c>
      <c r="AC129" s="1" t="s">
        <v>49</v>
      </c>
      <c r="AD129" s="6" t="s">
        <v>69</v>
      </c>
      <c r="AE129" s="6" t="s">
        <v>59</v>
      </c>
      <c r="AF129" s="1" t="s">
        <v>49</v>
      </c>
      <c r="AG129" s="1" t="s">
        <v>49</v>
      </c>
      <c r="AH129" s="6" t="s">
        <v>49</v>
      </c>
      <c r="AI129" s="6" t="s">
        <v>272</v>
      </c>
      <c r="AJ129" s="6" t="s">
        <v>49</v>
      </c>
      <c r="AK129" s="6">
        <v>47</v>
      </c>
      <c r="AL129" s="6" t="s">
        <v>49</v>
      </c>
      <c r="AM129" s="6" t="s">
        <v>49</v>
      </c>
      <c r="AN129" s="6">
        <v>0.40899999999999997</v>
      </c>
      <c r="AO129" s="6" t="s">
        <v>49</v>
      </c>
      <c r="AP129" s="6">
        <v>0</v>
      </c>
      <c r="AQ129" s="6" t="s">
        <v>49</v>
      </c>
      <c r="AR129" s="6">
        <v>0.40899999999999997</v>
      </c>
      <c r="AS129" s="6" t="s">
        <v>49</v>
      </c>
      <c r="AT129" s="6" t="s">
        <v>49</v>
      </c>
      <c r="AU129" s="6" t="s">
        <v>49</v>
      </c>
      <c r="AV129" s="6" t="s">
        <v>49</v>
      </c>
    </row>
    <row r="130" spans="1:48" ht="14.4" customHeight="1">
      <c r="A130" s="6" t="s">
        <v>264</v>
      </c>
      <c r="B130" s="6" t="s">
        <v>38</v>
      </c>
      <c r="C130" s="6" t="s">
        <v>38</v>
      </c>
      <c r="D130" s="6" t="s">
        <v>265</v>
      </c>
      <c r="E130" s="6" t="s">
        <v>190</v>
      </c>
      <c r="F130" s="6">
        <v>2003</v>
      </c>
      <c r="G130" s="6" t="s">
        <v>266</v>
      </c>
      <c r="H130" s="6" t="s">
        <v>42</v>
      </c>
      <c r="I130" s="6" t="s">
        <v>43</v>
      </c>
      <c r="J130" s="6" t="str">
        <f t="shared" si="1"/>
        <v>Lobelia_siphilitica</v>
      </c>
      <c r="K130" s="6" t="s">
        <v>45</v>
      </c>
      <c r="L130" s="6" t="s">
        <v>46</v>
      </c>
      <c r="M130" s="6" t="s">
        <v>12</v>
      </c>
      <c r="N130" s="6" t="s">
        <v>76</v>
      </c>
      <c r="O130" s="6" t="s">
        <v>49</v>
      </c>
      <c r="P130" s="6" t="s">
        <v>49</v>
      </c>
      <c r="Q130" s="6" t="s">
        <v>49</v>
      </c>
      <c r="R130" s="6" t="s">
        <v>49</v>
      </c>
      <c r="S130" s="6" t="s">
        <v>77</v>
      </c>
      <c r="T130" s="6" t="s">
        <v>78</v>
      </c>
      <c r="U130" s="6" t="s">
        <v>251</v>
      </c>
      <c r="V130" s="6" t="s">
        <v>70</v>
      </c>
      <c r="W130" s="12">
        <v>41.704999999999998</v>
      </c>
      <c r="X130" s="12">
        <v>-92.786666999999994</v>
      </c>
      <c r="Y130" s="6" t="s">
        <v>141</v>
      </c>
      <c r="Z130" s="6" t="s">
        <v>271</v>
      </c>
      <c r="AA130" s="1" t="s">
        <v>49</v>
      </c>
      <c r="AB130" s="1" t="s">
        <v>49</v>
      </c>
      <c r="AC130" s="1" t="s">
        <v>49</v>
      </c>
      <c r="AD130" s="6" t="s">
        <v>69</v>
      </c>
      <c r="AE130" s="6" t="s">
        <v>273</v>
      </c>
      <c r="AF130" s="1" t="s">
        <v>49</v>
      </c>
      <c r="AG130" s="1" t="s">
        <v>49</v>
      </c>
      <c r="AH130" s="6" t="s">
        <v>49</v>
      </c>
      <c r="AI130" s="6" t="s">
        <v>272</v>
      </c>
      <c r="AJ130" s="6" t="s">
        <v>49</v>
      </c>
      <c r="AK130" s="6">
        <v>47</v>
      </c>
      <c r="AL130" s="6" t="s">
        <v>49</v>
      </c>
      <c r="AM130" s="6" t="s">
        <v>49</v>
      </c>
      <c r="AN130" s="6">
        <v>-5.1999999999999998E-2</v>
      </c>
      <c r="AO130" s="6" t="s">
        <v>49</v>
      </c>
      <c r="AP130" s="6">
        <v>0</v>
      </c>
      <c r="AQ130" s="6" t="s">
        <v>49</v>
      </c>
      <c r="AR130" s="6">
        <v>-5.1999999999999998E-2</v>
      </c>
      <c r="AS130" s="6" t="s">
        <v>49</v>
      </c>
      <c r="AT130" s="6" t="s">
        <v>49</v>
      </c>
      <c r="AU130" s="6" t="s">
        <v>49</v>
      </c>
      <c r="AV130" s="6" t="s">
        <v>49</v>
      </c>
    </row>
    <row r="131" spans="1:48" ht="14.4" customHeight="1">
      <c r="A131" s="6" t="s">
        <v>264</v>
      </c>
      <c r="B131" s="6" t="s">
        <v>38</v>
      </c>
      <c r="C131" s="6" t="s">
        <v>38</v>
      </c>
      <c r="D131" s="6" t="s">
        <v>265</v>
      </c>
      <c r="E131" s="6" t="s">
        <v>190</v>
      </c>
      <c r="F131" s="6">
        <v>2003</v>
      </c>
      <c r="G131" s="6" t="s">
        <v>266</v>
      </c>
      <c r="H131" s="6" t="s">
        <v>42</v>
      </c>
      <c r="I131" s="6" t="s">
        <v>43</v>
      </c>
      <c r="J131" s="6" t="str">
        <f t="shared" ref="J131:J194" si="2">H131&amp;"_"&amp;I131</f>
        <v>Lobelia_siphilitica</v>
      </c>
      <c r="K131" s="6" t="s">
        <v>45</v>
      </c>
      <c r="L131" s="6" t="s">
        <v>46</v>
      </c>
      <c r="M131" s="6" t="s">
        <v>12</v>
      </c>
      <c r="N131" s="6" t="s">
        <v>76</v>
      </c>
      <c r="O131" s="6" t="s">
        <v>49</v>
      </c>
      <c r="P131" s="6" t="s">
        <v>49</v>
      </c>
      <c r="Q131" s="6" t="s">
        <v>49</v>
      </c>
      <c r="R131" s="6" t="s">
        <v>49</v>
      </c>
      <c r="S131" s="6" t="s">
        <v>77</v>
      </c>
      <c r="T131" s="6" t="s">
        <v>78</v>
      </c>
      <c r="U131" s="6" t="s">
        <v>251</v>
      </c>
      <c r="V131" s="6" t="s">
        <v>70</v>
      </c>
      <c r="W131" s="12">
        <v>41.704999999999998</v>
      </c>
      <c r="X131" s="12">
        <v>-92.786666999999994</v>
      </c>
      <c r="Y131" s="6" t="s">
        <v>141</v>
      </c>
      <c r="Z131" s="6" t="s">
        <v>271</v>
      </c>
      <c r="AA131" s="1" t="s">
        <v>49</v>
      </c>
      <c r="AB131" s="1" t="s">
        <v>49</v>
      </c>
      <c r="AC131" s="1" t="s">
        <v>49</v>
      </c>
      <c r="AD131" s="6" t="s">
        <v>69</v>
      </c>
      <c r="AE131" s="6" t="s">
        <v>52</v>
      </c>
      <c r="AF131" s="1" t="s">
        <v>49</v>
      </c>
      <c r="AG131" s="1" t="s">
        <v>49</v>
      </c>
      <c r="AH131" s="6" t="s">
        <v>49</v>
      </c>
      <c r="AI131" s="6" t="s">
        <v>272</v>
      </c>
      <c r="AJ131" s="6" t="s">
        <v>49</v>
      </c>
      <c r="AK131" s="6">
        <v>47</v>
      </c>
      <c r="AL131" s="6" t="s">
        <v>49</v>
      </c>
      <c r="AM131" s="6" t="s">
        <v>49</v>
      </c>
      <c r="AN131" s="6">
        <v>-1.157</v>
      </c>
      <c r="AO131" s="6" t="s">
        <v>49</v>
      </c>
      <c r="AP131" s="6">
        <v>0</v>
      </c>
      <c r="AQ131" s="6" t="s">
        <v>49</v>
      </c>
      <c r="AR131" s="6">
        <v>-1.157</v>
      </c>
      <c r="AS131" s="6" t="s">
        <v>49</v>
      </c>
      <c r="AT131" s="6" t="s">
        <v>49</v>
      </c>
      <c r="AU131" s="6" t="s">
        <v>49</v>
      </c>
      <c r="AV131" s="6" t="s">
        <v>49</v>
      </c>
    </row>
    <row r="132" spans="1:48" ht="14.4" customHeight="1">
      <c r="A132" s="6" t="s">
        <v>264</v>
      </c>
      <c r="B132" s="6" t="s">
        <v>38</v>
      </c>
      <c r="C132" s="6" t="s">
        <v>38</v>
      </c>
      <c r="D132" s="6" t="s">
        <v>265</v>
      </c>
      <c r="E132" s="6" t="s">
        <v>190</v>
      </c>
      <c r="F132" s="6">
        <v>2003</v>
      </c>
      <c r="G132" s="6" t="s">
        <v>266</v>
      </c>
      <c r="H132" s="6" t="s">
        <v>42</v>
      </c>
      <c r="I132" s="6" t="s">
        <v>43</v>
      </c>
      <c r="J132" s="6" t="str">
        <f t="shared" si="2"/>
        <v>Lobelia_siphilitica</v>
      </c>
      <c r="K132" s="6" t="s">
        <v>45</v>
      </c>
      <c r="L132" s="6" t="s">
        <v>46</v>
      </c>
      <c r="M132" s="6" t="s">
        <v>12</v>
      </c>
      <c r="N132" s="6" t="s">
        <v>76</v>
      </c>
      <c r="O132" s="6" t="s">
        <v>49</v>
      </c>
      <c r="P132" s="6" t="s">
        <v>49</v>
      </c>
      <c r="Q132" s="6" t="s">
        <v>49</v>
      </c>
      <c r="R132" s="6" t="s">
        <v>49</v>
      </c>
      <c r="S132" s="6" t="s">
        <v>77</v>
      </c>
      <c r="T132" s="6" t="s">
        <v>78</v>
      </c>
      <c r="U132" s="6" t="s">
        <v>251</v>
      </c>
      <c r="V132" s="6" t="s">
        <v>70</v>
      </c>
      <c r="W132" s="12">
        <v>41.704999999999998</v>
      </c>
      <c r="X132" s="12">
        <v>-92.786666999999994</v>
      </c>
      <c r="Y132" s="6" t="s">
        <v>141</v>
      </c>
      <c r="Z132" s="6" t="s">
        <v>271</v>
      </c>
      <c r="AA132" s="1" t="s">
        <v>49</v>
      </c>
      <c r="AB132" s="1" t="s">
        <v>49</v>
      </c>
      <c r="AC132" s="1" t="s">
        <v>49</v>
      </c>
      <c r="AD132" s="6" t="s">
        <v>63</v>
      </c>
      <c r="AE132" s="6" t="s">
        <v>65</v>
      </c>
      <c r="AF132" s="1" t="s">
        <v>49</v>
      </c>
      <c r="AG132" s="1" t="s">
        <v>49</v>
      </c>
      <c r="AH132" s="6" t="s">
        <v>49</v>
      </c>
      <c r="AI132" s="6" t="s">
        <v>272</v>
      </c>
      <c r="AJ132" s="6" t="s">
        <v>49</v>
      </c>
      <c r="AK132" s="6">
        <v>47</v>
      </c>
      <c r="AL132" s="6" t="s">
        <v>49</v>
      </c>
      <c r="AM132" s="6" t="s">
        <v>49</v>
      </c>
      <c r="AN132" s="6">
        <v>0.127</v>
      </c>
      <c r="AO132" s="6" t="s">
        <v>49</v>
      </c>
      <c r="AP132" s="6">
        <v>0</v>
      </c>
      <c r="AQ132" s="6" t="s">
        <v>49</v>
      </c>
      <c r="AR132" s="6">
        <v>0.127</v>
      </c>
      <c r="AS132" s="6" t="s">
        <v>49</v>
      </c>
      <c r="AT132" s="6" t="s">
        <v>49</v>
      </c>
      <c r="AU132" s="6" t="s">
        <v>49</v>
      </c>
      <c r="AV132" s="6" t="s">
        <v>49</v>
      </c>
    </row>
    <row r="133" spans="1:48" ht="14.4" customHeight="1">
      <c r="A133" s="6" t="s">
        <v>264</v>
      </c>
      <c r="B133" s="6" t="s">
        <v>38</v>
      </c>
      <c r="C133" s="6" t="s">
        <v>38</v>
      </c>
      <c r="D133" s="6" t="s">
        <v>265</v>
      </c>
      <c r="E133" s="6" t="s">
        <v>190</v>
      </c>
      <c r="F133" s="6">
        <v>2003</v>
      </c>
      <c r="G133" s="6" t="s">
        <v>266</v>
      </c>
      <c r="H133" s="6" t="s">
        <v>42</v>
      </c>
      <c r="I133" s="6" t="s">
        <v>43</v>
      </c>
      <c r="J133" s="6" t="str">
        <f t="shared" si="2"/>
        <v>Lobelia_siphilitica</v>
      </c>
      <c r="K133" s="6" t="s">
        <v>45</v>
      </c>
      <c r="L133" s="6" t="s">
        <v>46</v>
      </c>
      <c r="M133" s="6" t="s">
        <v>12</v>
      </c>
      <c r="N133" s="6" t="s">
        <v>76</v>
      </c>
      <c r="O133" s="6" t="s">
        <v>49</v>
      </c>
      <c r="P133" s="6" t="s">
        <v>49</v>
      </c>
      <c r="Q133" s="6" t="s">
        <v>49</v>
      </c>
      <c r="R133" s="6" t="s">
        <v>49</v>
      </c>
      <c r="S133" s="6" t="s">
        <v>77</v>
      </c>
      <c r="T133" s="6" t="s">
        <v>78</v>
      </c>
      <c r="U133" s="6" t="s">
        <v>251</v>
      </c>
      <c r="V133" s="6" t="s">
        <v>70</v>
      </c>
      <c r="W133" s="12">
        <v>41.704999999999998</v>
      </c>
      <c r="X133" s="12">
        <v>-92.786666999999994</v>
      </c>
      <c r="Y133" s="6" t="s">
        <v>141</v>
      </c>
      <c r="Z133" s="6" t="s">
        <v>271</v>
      </c>
      <c r="AA133" s="1" t="s">
        <v>49</v>
      </c>
      <c r="AB133" s="1" t="s">
        <v>49</v>
      </c>
      <c r="AC133" s="1" t="s">
        <v>49</v>
      </c>
      <c r="AD133" s="6" t="s">
        <v>63</v>
      </c>
      <c r="AE133" s="6" t="s">
        <v>59</v>
      </c>
      <c r="AF133" s="1" t="s">
        <v>49</v>
      </c>
      <c r="AG133" s="1" t="s">
        <v>49</v>
      </c>
      <c r="AH133" s="6" t="s">
        <v>49</v>
      </c>
      <c r="AI133" s="6" t="s">
        <v>272</v>
      </c>
      <c r="AJ133" s="6" t="s">
        <v>49</v>
      </c>
      <c r="AK133" s="6">
        <v>47</v>
      </c>
      <c r="AL133" s="6" t="s">
        <v>49</v>
      </c>
      <c r="AM133" s="6" t="s">
        <v>49</v>
      </c>
      <c r="AN133" s="6">
        <v>0.94299999999999995</v>
      </c>
      <c r="AO133" s="6" t="s">
        <v>49</v>
      </c>
      <c r="AP133" s="6">
        <v>0</v>
      </c>
      <c r="AQ133" s="6" t="s">
        <v>49</v>
      </c>
      <c r="AR133" s="6">
        <v>0.94299999999999995</v>
      </c>
      <c r="AS133" s="6" t="s">
        <v>49</v>
      </c>
      <c r="AT133" s="6" t="s">
        <v>49</v>
      </c>
      <c r="AU133" s="6" t="s">
        <v>49</v>
      </c>
      <c r="AV133" s="6" t="s">
        <v>49</v>
      </c>
    </row>
    <row r="134" spans="1:48" ht="14.4" customHeight="1">
      <c r="A134" s="6" t="s">
        <v>264</v>
      </c>
      <c r="B134" s="6" t="s">
        <v>38</v>
      </c>
      <c r="C134" s="6" t="s">
        <v>38</v>
      </c>
      <c r="D134" s="6" t="s">
        <v>265</v>
      </c>
      <c r="E134" s="6" t="s">
        <v>190</v>
      </c>
      <c r="F134" s="6">
        <v>2003</v>
      </c>
      <c r="G134" s="6" t="s">
        <v>266</v>
      </c>
      <c r="H134" s="6" t="s">
        <v>42</v>
      </c>
      <c r="I134" s="6" t="s">
        <v>43</v>
      </c>
      <c r="J134" s="6" t="str">
        <f t="shared" si="2"/>
        <v>Lobelia_siphilitica</v>
      </c>
      <c r="K134" s="6" t="s">
        <v>45</v>
      </c>
      <c r="L134" s="6" t="s">
        <v>46</v>
      </c>
      <c r="M134" s="6" t="s">
        <v>12</v>
      </c>
      <c r="N134" s="6" t="s">
        <v>76</v>
      </c>
      <c r="O134" s="6" t="s">
        <v>49</v>
      </c>
      <c r="P134" s="6" t="s">
        <v>49</v>
      </c>
      <c r="Q134" s="6" t="s">
        <v>49</v>
      </c>
      <c r="R134" s="6" t="s">
        <v>49</v>
      </c>
      <c r="S134" s="6" t="s">
        <v>77</v>
      </c>
      <c r="T134" s="6" t="s">
        <v>78</v>
      </c>
      <c r="U134" s="6" t="s">
        <v>251</v>
      </c>
      <c r="V134" s="6" t="s">
        <v>70</v>
      </c>
      <c r="W134" s="12">
        <v>41.704999999999998</v>
      </c>
      <c r="X134" s="12">
        <v>-92.786666999999994</v>
      </c>
      <c r="Y134" s="6" t="s">
        <v>141</v>
      </c>
      <c r="Z134" s="6" t="s">
        <v>271</v>
      </c>
      <c r="AA134" s="1" t="s">
        <v>49</v>
      </c>
      <c r="AB134" s="1" t="s">
        <v>49</v>
      </c>
      <c r="AC134" s="1" t="s">
        <v>49</v>
      </c>
      <c r="AD134" s="6" t="s">
        <v>63</v>
      </c>
      <c r="AE134" s="6" t="s">
        <v>273</v>
      </c>
      <c r="AF134" s="1" t="s">
        <v>49</v>
      </c>
      <c r="AG134" s="1" t="s">
        <v>49</v>
      </c>
      <c r="AH134" s="6" t="s">
        <v>49</v>
      </c>
      <c r="AI134" s="6" t="s">
        <v>272</v>
      </c>
      <c r="AJ134" s="6" t="s">
        <v>49</v>
      </c>
      <c r="AK134" s="6">
        <v>47</v>
      </c>
      <c r="AL134" s="6" t="s">
        <v>49</v>
      </c>
      <c r="AM134" s="6" t="s">
        <v>49</v>
      </c>
      <c r="AN134" s="6">
        <v>-0.372</v>
      </c>
      <c r="AO134" s="6" t="s">
        <v>49</v>
      </c>
      <c r="AP134" s="6">
        <v>0</v>
      </c>
      <c r="AQ134" s="6" t="s">
        <v>49</v>
      </c>
      <c r="AR134" s="6">
        <v>-0.372</v>
      </c>
      <c r="AS134" s="6" t="s">
        <v>49</v>
      </c>
      <c r="AT134" s="6" t="s">
        <v>49</v>
      </c>
      <c r="AU134" s="6" t="s">
        <v>49</v>
      </c>
      <c r="AV134" s="6" t="s">
        <v>49</v>
      </c>
    </row>
    <row r="135" spans="1:48" ht="14.4" customHeight="1">
      <c r="A135" s="6" t="s">
        <v>264</v>
      </c>
      <c r="B135" s="6" t="s">
        <v>38</v>
      </c>
      <c r="C135" s="6" t="s">
        <v>38</v>
      </c>
      <c r="D135" s="6" t="s">
        <v>265</v>
      </c>
      <c r="E135" s="6" t="s">
        <v>190</v>
      </c>
      <c r="F135" s="6">
        <v>2003</v>
      </c>
      <c r="G135" s="6" t="s">
        <v>266</v>
      </c>
      <c r="H135" s="6" t="s">
        <v>42</v>
      </c>
      <c r="I135" s="6" t="s">
        <v>43</v>
      </c>
      <c r="J135" s="6" t="str">
        <f t="shared" si="2"/>
        <v>Lobelia_siphilitica</v>
      </c>
      <c r="K135" s="6" t="s">
        <v>45</v>
      </c>
      <c r="L135" s="6" t="s">
        <v>46</v>
      </c>
      <c r="M135" s="6" t="s">
        <v>12</v>
      </c>
      <c r="N135" s="6" t="s">
        <v>76</v>
      </c>
      <c r="O135" s="6" t="s">
        <v>49</v>
      </c>
      <c r="P135" s="6" t="s">
        <v>49</v>
      </c>
      <c r="Q135" s="6" t="s">
        <v>49</v>
      </c>
      <c r="R135" s="6" t="s">
        <v>49</v>
      </c>
      <c r="S135" s="6" t="s">
        <v>77</v>
      </c>
      <c r="T135" s="6" t="s">
        <v>78</v>
      </c>
      <c r="U135" s="6" t="s">
        <v>251</v>
      </c>
      <c r="V135" s="6" t="s">
        <v>70</v>
      </c>
      <c r="W135" s="12">
        <v>41.704999999999998</v>
      </c>
      <c r="X135" s="12">
        <v>-92.786666999999994</v>
      </c>
      <c r="Y135" s="6" t="s">
        <v>141</v>
      </c>
      <c r="Z135" s="6" t="s">
        <v>271</v>
      </c>
      <c r="AA135" s="1" t="s">
        <v>49</v>
      </c>
      <c r="AB135" s="1" t="s">
        <v>49</v>
      </c>
      <c r="AC135" s="1" t="s">
        <v>49</v>
      </c>
      <c r="AD135" s="6" t="s">
        <v>63</v>
      </c>
      <c r="AE135" s="6" t="s">
        <v>52</v>
      </c>
      <c r="AF135" s="1" t="s">
        <v>49</v>
      </c>
      <c r="AG135" s="1" t="s">
        <v>49</v>
      </c>
      <c r="AH135" s="6" t="s">
        <v>49</v>
      </c>
      <c r="AI135" s="6" t="s">
        <v>272</v>
      </c>
      <c r="AJ135" s="6" t="s">
        <v>49</v>
      </c>
      <c r="AK135" s="6">
        <v>47</v>
      </c>
      <c r="AL135" s="6" t="s">
        <v>49</v>
      </c>
      <c r="AM135" s="6" t="s">
        <v>49</v>
      </c>
      <c r="AN135" s="6">
        <v>0.33800000000000002</v>
      </c>
      <c r="AO135" s="6" t="s">
        <v>49</v>
      </c>
      <c r="AP135" s="6">
        <v>0</v>
      </c>
      <c r="AQ135" s="6" t="s">
        <v>49</v>
      </c>
      <c r="AR135" s="6">
        <v>0.33800000000000002</v>
      </c>
      <c r="AS135" s="6" t="s">
        <v>49</v>
      </c>
      <c r="AT135" s="6" t="s">
        <v>49</v>
      </c>
      <c r="AU135" s="6" t="s">
        <v>49</v>
      </c>
      <c r="AV135" s="6" t="s">
        <v>49</v>
      </c>
    </row>
    <row r="136" spans="1:48" ht="14.4" customHeight="1">
      <c r="A136" s="6" t="s">
        <v>264</v>
      </c>
      <c r="B136" s="6" t="s">
        <v>38</v>
      </c>
      <c r="C136" s="6" t="s">
        <v>38</v>
      </c>
      <c r="D136" s="6" t="s">
        <v>265</v>
      </c>
      <c r="E136" s="6" t="s">
        <v>190</v>
      </c>
      <c r="F136" s="6">
        <v>2003</v>
      </c>
      <c r="G136" s="6" t="s">
        <v>266</v>
      </c>
      <c r="H136" s="6" t="s">
        <v>42</v>
      </c>
      <c r="I136" s="6" t="s">
        <v>43</v>
      </c>
      <c r="J136" s="6" t="str">
        <f t="shared" si="2"/>
        <v>Lobelia_siphilitica</v>
      </c>
      <c r="K136" s="6" t="s">
        <v>45</v>
      </c>
      <c r="L136" s="6" t="s">
        <v>46</v>
      </c>
      <c r="M136" s="6" t="s">
        <v>12</v>
      </c>
      <c r="N136" s="6" t="s">
        <v>76</v>
      </c>
      <c r="O136" s="6" t="s">
        <v>49</v>
      </c>
      <c r="P136" s="6" t="s">
        <v>49</v>
      </c>
      <c r="Q136" s="6" t="s">
        <v>49</v>
      </c>
      <c r="R136" s="6" t="s">
        <v>49</v>
      </c>
      <c r="S136" s="6" t="s">
        <v>77</v>
      </c>
      <c r="T136" s="6" t="s">
        <v>78</v>
      </c>
      <c r="U136" s="6" t="s">
        <v>251</v>
      </c>
      <c r="V136" s="6" t="s">
        <v>70</v>
      </c>
      <c r="W136" s="12">
        <v>41.704999999999998</v>
      </c>
      <c r="X136" s="12">
        <v>-92.786666999999994</v>
      </c>
      <c r="Y136" s="6" t="s">
        <v>141</v>
      </c>
      <c r="Z136" s="6" t="s">
        <v>271</v>
      </c>
      <c r="AA136" s="1" t="s">
        <v>49</v>
      </c>
      <c r="AB136" s="1" t="s">
        <v>49</v>
      </c>
      <c r="AC136" s="1" t="s">
        <v>49</v>
      </c>
      <c r="AD136" s="6" t="s">
        <v>65</v>
      </c>
      <c r="AE136" s="6" t="s">
        <v>59</v>
      </c>
      <c r="AF136" s="1" t="s">
        <v>49</v>
      </c>
      <c r="AG136" s="1" t="s">
        <v>49</v>
      </c>
      <c r="AH136" s="6" t="s">
        <v>49</v>
      </c>
      <c r="AI136" s="6" t="s">
        <v>272</v>
      </c>
      <c r="AJ136" s="6" t="s">
        <v>49</v>
      </c>
      <c r="AK136" s="6">
        <v>47</v>
      </c>
      <c r="AL136" s="6" t="s">
        <v>49</v>
      </c>
      <c r="AM136" s="6" t="s">
        <v>49</v>
      </c>
      <c r="AN136" s="6">
        <v>0.19600000000000001</v>
      </c>
      <c r="AO136" s="6" t="s">
        <v>49</v>
      </c>
      <c r="AP136" s="6">
        <v>0</v>
      </c>
      <c r="AQ136" s="6" t="s">
        <v>49</v>
      </c>
      <c r="AR136" s="6">
        <v>0.19600000000000001</v>
      </c>
      <c r="AS136" s="6" t="s">
        <v>49</v>
      </c>
      <c r="AT136" s="6" t="s">
        <v>49</v>
      </c>
      <c r="AU136" s="6" t="s">
        <v>49</v>
      </c>
      <c r="AV136" s="6" t="s">
        <v>49</v>
      </c>
    </row>
    <row r="137" spans="1:48" ht="14.4" customHeight="1">
      <c r="A137" s="6" t="s">
        <v>264</v>
      </c>
      <c r="B137" s="6" t="s">
        <v>38</v>
      </c>
      <c r="C137" s="6" t="s">
        <v>38</v>
      </c>
      <c r="D137" s="6" t="s">
        <v>265</v>
      </c>
      <c r="E137" s="6" t="s">
        <v>190</v>
      </c>
      <c r="F137" s="6">
        <v>2003</v>
      </c>
      <c r="G137" s="6" t="s">
        <v>266</v>
      </c>
      <c r="H137" s="6" t="s">
        <v>42</v>
      </c>
      <c r="I137" s="6" t="s">
        <v>43</v>
      </c>
      <c r="J137" s="6" t="str">
        <f t="shared" si="2"/>
        <v>Lobelia_siphilitica</v>
      </c>
      <c r="K137" s="6" t="s">
        <v>45</v>
      </c>
      <c r="L137" s="6" t="s">
        <v>46</v>
      </c>
      <c r="M137" s="6" t="s">
        <v>12</v>
      </c>
      <c r="N137" s="6" t="s">
        <v>76</v>
      </c>
      <c r="O137" s="6" t="s">
        <v>49</v>
      </c>
      <c r="P137" s="6" t="s">
        <v>49</v>
      </c>
      <c r="Q137" s="6" t="s">
        <v>49</v>
      </c>
      <c r="R137" s="6" t="s">
        <v>49</v>
      </c>
      <c r="S137" s="6" t="s">
        <v>77</v>
      </c>
      <c r="T137" s="6" t="s">
        <v>78</v>
      </c>
      <c r="U137" s="6" t="s">
        <v>251</v>
      </c>
      <c r="V137" s="6" t="s">
        <v>70</v>
      </c>
      <c r="W137" s="12">
        <v>41.704999999999998</v>
      </c>
      <c r="X137" s="12">
        <v>-92.786666999999994</v>
      </c>
      <c r="Y137" s="6" t="s">
        <v>141</v>
      </c>
      <c r="Z137" s="6" t="s">
        <v>271</v>
      </c>
      <c r="AA137" s="1" t="s">
        <v>49</v>
      </c>
      <c r="AB137" s="1" t="s">
        <v>49</v>
      </c>
      <c r="AC137" s="1" t="s">
        <v>49</v>
      </c>
      <c r="AD137" s="6" t="s">
        <v>65</v>
      </c>
      <c r="AE137" s="6" t="s">
        <v>273</v>
      </c>
      <c r="AF137" s="1" t="s">
        <v>49</v>
      </c>
      <c r="AG137" s="1" t="s">
        <v>49</v>
      </c>
      <c r="AH137" s="6" t="s">
        <v>49</v>
      </c>
      <c r="AI137" s="6" t="s">
        <v>272</v>
      </c>
      <c r="AJ137" s="6" t="s">
        <v>49</v>
      </c>
      <c r="AK137" s="6">
        <v>47</v>
      </c>
      <c r="AL137" s="6" t="s">
        <v>49</v>
      </c>
      <c r="AM137" s="6" t="s">
        <v>49</v>
      </c>
      <c r="AN137" s="6">
        <v>1.9E-2</v>
      </c>
      <c r="AO137" s="6" t="s">
        <v>49</v>
      </c>
      <c r="AP137" s="6">
        <v>0</v>
      </c>
      <c r="AQ137" s="6" t="s">
        <v>49</v>
      </c>
      <c r="AR137" s="6">
        <v>1.9E-2</v>
      </c>
      <c r="AS137" s="6" t="s">
        <v>49</v>
      </c>
      <c r="AT137" s="6" t="s">
        <v>49</v>
      </c>
      <c r="AU137" s="6" t="s">
        <v>49</v>
      </c>
      <c r="AV137" s="6" t="s">
        <v>49</v>
      </c>
    </row>
    <row r="138" spans="1:48" ht="14.4" customHeight="1">
      <c r="A138" s="6" t="s">
        <v>264</v>
      </c>
      <c r="B138" s="6" t="s">
        <v>38</v>
      </c>
      <c r="C138" s="6" t="s">
        <v>38</v>
      </c>
      <c r="D138" s="6" t="s">
        <v>265</v>
      </c>
      <c r="E138" s="6" t="s">
        <v>190</v>
      </c>
      <c r="F138" s="6">
        <v>2003</v>
      </c>
      <c r="G138" s="6" t="s">
        <v>266</v>
      </c>
      <c r="H138" s="6" t="s">
        <v>42</v>
      </c>
      <c r="I138" s="6" t="s">
        <v>43</v>
      </c>
      <c r="J138" s="6" t="str">
        <f t="shared" si="2"/>
        <v>Lobelia_siphilitica</v>
      </c>
      <c r="K138" s="6" t="s">
        <v>45</v>
      </c>
      <c r="L138" s="6" t="s">
        <v>46</v>
      </c>
      <c r="M138" s="6" t="s">
        <v>12</v>
      </c>
      <c r="N138" s="6" t="s">
        <v>76</v>
      </c>
      <c r="O138" s="6" t="s">
        <v>49</v>
      </c>
      <c r="P138" s="6" t="s">
        <v>49</v>
      </c>
      <c r="Q138" s="6" t="s">
        <v>49</v>
      </c>
      <c r="R138" s="6" t="s">
        <v>49</v>
      </c>
      <c r="S138" s="6" t="s">
        <v>77</v>
      </c>
      <c r="T138" s="6" t="s">
        <v>78</v>
      </c>
      <c r="U138" s="6" t="s">
        <v>251</v>
      </c>
      <c r="V138" s="6" t="s">
        <v>70</v>
      </c>
      <c r="W138" s="12">
        <v>41.704999999999998</v>
      </c>
      <c r="X138" s="12">
        <v>-92.786666999999994</v>
      </c>
      <c r="Y138" s="6" t="s">
        <v>141</v>
      </c>
      <c r="Z138" s="6" t="s">
        <v>271</v>
      </c>
      <c r="AA138" s="1" t="s">
        <v>49</v>
      </c>
      <c r="AB138" s="1" t="s">
        <v>49</v>
      </c>
      <c r="AC138" s="1" t="s">
        <v>49</v>
      </c>
      <c r="AD138" s="6" t="s">
        <v>65</v>
      </c>
      <c r="AE138" s="6" t="s">
        <v>52</v>
      </c>
      <c r="AF138" s="1" t="s">
        <v>49</v>
      </c>
      <c r="AG138" s="1" t="s">
        <v>49</v>
      </c>
      <c r="AH138" s="6" t="s">
        <v>49</v>
      </c>
      <c r="AI138" s="6" t="s">
        <v>272</v>
      </c>
      <c r="AJ138" s="6" t="s">
        <v>49</v>
      </c>
      <c r="AK138" s="6">
        <v>47</v>
      </c>
      <c r="AL138" s="6" t="s">
        <v>49</v>
      </c>
      <c r="AM138" s="6" t="s">
        <v>49</v>
      </c>
      <c r="AN138" s="6">
        <v>1.121</v>
      </c>
      <c r="AO138" s="6" t="s">
        <v>49</v>
      </c>
      <c r="AP138" s="6">
        <v>0</v>
      </c>
      <c r="AQ138" s="6" t="s">
        <v>49</v>
      </c>
      <c r="AR138" s="6">
        <v>1.121</v>
      </c>
      <c r="AS138" s="6" t="s">
        <v>49</v>
      </c>
      <c r="AT138" s="6" t="s">
        <v>49</v>
      </c>
      <c r="AU138" s="6" t="s">
        <v>49</v>
      </c>
      <c r="AV138" s="6" t="s">
        <v>49</v>
      </c>
    </row>
    <row r="139" spans="1:48" ht="14.4" customHeight="1">
      <c r="A139" s="6" t="s">
        <v>264</v>
      </c>
      <c r="B139" s="6" t="s">
        <v>38</v>
      </c>
      <c r="C139" s="6" t="s">
        <v>38</v>
      </c>
      <c r="D139" s="6" t="s">
        <v>265</v>
      </c>
      <c r="E139" s="6" t="s">
        <v>190</v>
      </c>
      <c r="F139" s="6">
        <v>2003</v>
      </c>
      <c r="G139" s="6" t="s">
        <v>266</v>
      </c>
      <c r="H139" s="6" t="s">
        <v>42</v>
      </c>
      <c r="I139" s="6" t="s">
        <v>43</v>
      </c>
      <c r="J139" s="6" t="str">
        <f t="shared" si="2"/>
        <v>Lobelia_siphilitica</v>
      </c>
      <c r="K139" s="6" t="s">
        <v>45</v>
      </c>
      <c r="L139" s="6" t="s">
        <v>46</v>
      </c>
      <c r="M139" s="6" t="s">
        <v>12</v>
      </c>
      <c r="N139" s="6" t="s">
        <v>76</v>
      </c>
      <c r="O139" s="6" t="s">
        <v>49</v>
      </c>
      <c r="P139" s="6" t="s">
        <v>49</v>
      </c>
      <c r="Q139" s="6" t="s">
        <v>49</v>
      </c>
      <c r="R139" s="6" t="s">
        <v>49</v>
      </c>
      <c r="S139" s="6" t="s">
        <v>77</v>
      </c>
      <c r="T139" s="6" t="s">
        <v>78</v>
      </c>
      <c r="U139" s="6" t="s">
        <v>251</v>
      </c>
      <c r="V139" s="6" t="s">
        <v>70</v>
      </c>
      <c r="W139" s="12">
        <v>41.704999999999998</v>
      </c>
      <c r="X139" s="12">
        <v>-92.786666999999994</v>
      </c>
      <c r="Y139" s="6" t="s">
        <v>141</v>
      </c>
      <c r="Z139" s="6" t="s">
        <v>271</v>
      </c>
      <c r="AA139" s="1" t="s">
        <v>49</v>
      </c>
      <c r="AB139" s="1" t="s">
        <v>49</v>
      </c>
      <c r="AC139" s="1" t="s">
        <v>49</v>
      </c>
      <c r="AD139" s="6" t="s">
        <v>59</v>
      </c>
      <c r="AE139" s="6" t="s">
        <v>273</v>
      </c>
      <c r="AF139" s="1" t="s">
        <v>49</v>
      </c>
      <c r="AG139" s="1" t="s">
        <v>49</v>
      </c>
      <c r="AH139" s="6" t="s">
        <v>49</v>
      </c>
      <c r="AI139" s="6" t="s">
        <v>272</v>
      </c>
      <c r="AJ139" s="6" t="s">
        <v>49</v>
      </c>
      <c r="AK139" s="6">
        <v>47</v>
      </c>
      <c r="AL139" s="6" t="s">
        <v>49</v>
      </c>
      <c r="AM139" s="6" t="s">
        <v>49</v>
      </c>
      <c r="AN139" s="6">
        <v>0.34399999999999997</v>
      </c>
      <c r="AO139" s="6" t="s">
        <v>49</v>
      </c>
      <c r="AP139" s="6">
        <v>0</v>
      </c>
      <c r="AQ139" s="6" t="s">
        <v>49</v>
      </c>
      <c r="AR139" s="6">
        <v>0.34399999999999997</v>
      </c>
      <c r="AS139" s="6" t="s">
        <v>49</v>
      </c>
      <c r="AT139" s="6" t="s">
        <v>49</v>
      </c>
      <c r="AU139" s="6" t="s">
        <v>49</v>
      </c>
      <c r="AV139" s="6" t="s">
        <v>49</v>
      </c>
    </row>
    <row r="140" spans="1:48" ht="14.4" customHeight="1">
      <c r="A140" s="6" t="s">
        <v>264</v>
      </c>
      <c r="B140" s="6" t="s">
        <v>38</v>
      </c>
      <c r="C140" s="6" t="s">
        <v>38</v>
      </c>
      <c r="D140" s="6" t="s">
        <v>265</v>
      </c>
      <c r="E140" s="6" t="s">
        <v>190</v>
      </c>
      <c r="F140" s="6">
        <v>2003</v>
      </c>
      <c r="G140" s="6" t="s">
        <v>266</v>
      </c>
      <c r="H140" s="6" t="s">
        <v>42</v>
      </c>
      <c r="I140" s="6" t="s">
        <v>43</v>
      </c>
      <c r="J140" s="6" t="str">
        <f t="shared" si="2"/>
        <v>Lobelia_siphilitica</v>
      </c>
      <c r="K140" s="6" t="s">
        <v>45</v>
      </c>
      <c r="L140" s="6" t="s">
        <v>46</v>
      </c>
      <c r="M140" s="6" t="s">
        <v>12</v>
      </c>
      <c r="N140" s="6" t="s">
        <v>76</v>
      </c>
      <c r="O140" s="6" t="s">
        <v>49</v>
      </c>
      <c r="P140" s="6" t="s">
        <v>49</v>
      </c>
      <c r="Q140" s="6" t="s">
        <v>49</v>
      </c>
      <c r="R140" s="6" t="s">
        <v>49</v>
      </c>
      <c r="S140" s="6" t="s">
        <v>77</v>
      </c>
      <c r="T140" s="6" t="s">
        <v>78</v>
      </c>
      <c r="U140" s="6" t="s">
        <v>251</v>
      </c>
      <c r="V140" s="6" t="s">
        <v>70</v>
      </c>
      <c r="W140" s="12">
        <v>41.704999999999998</v>
      </c>
      <c r="X140" s="12">
        <v>-92.786666999999994</v>
      </c>
      <c r="Y140" s="6" t="s">
        <v>141</v>
      </c>
      <c r="Z140" s="6" t="s">
        <v>271</v>
      </c>
      <c r="AA140" s="1" t="s">
        <v>49</v>
      </c>
      <c r="AB140" s="1" t="s">
        <v>49</v>
      </c>
      <c r="AC140" s="1" t="s">
        <v>49</v>
      </c>
      <c r="AD140" s="6" t="s">
        <v>59</v>
      </c>
      <c r="AE140" s="6" t="s">
        <v>52</v>
      </c>
      <c r="AF140" s="1" t="s">
        <v>49</v>
      </c>
      <c r="AG140" s="1" t="s">
        <v>49</v>
      </c>
      <c r="AH140" s="6" t="s">
        <v>49</v>
      </c>
      <c r="AI140" s="6" t="s">
        <v>272</v>
      </c>
      <c r="AJ140" s="6" t="s">
        <v>49</v>
      </c>
      <c r="AK140" s="6">
        <v>47</v>
      </c>
      <c r="AL140" s="6" t="s">
        <v>49</v>
      </c>
      <c r="AM140" s="6" t="s">
        <v>49</v>
      </c>
      <c r="AN140" s="6">
        <v>1.137</v>
      </c>
      <c r="AO140" s="6" t="s">
        <v>49</v>
      </c>
      <c r="AP140" s="6">
        <v>0</v>
      </c>
      <c r="AQ140" s="6" t="s">
        <v>49</v>
      </c>
      <c r="AR140" s="6">
        <v>1.137</v>
      </c>
      <c r="AS140" s="6" t="s">
        <v>49</v>
      </c>
      <c r="AT140" s="6" t="s">
        <v>49</v>
      </c>
      <c r="AU140" s="6" t="s">
        <v>49</v>
      </c>
      <c r="AV140" s="6" t="s">
        <v>49</v>
      </c>
    </row>
    <row r="141" spans="1:48" ht="14.4" customHeight="1">
      <c r="A141" s="6" t="s">
        <v>264</v>
      </c>
      <c r="B141" s="6" t="s">
        <v>38</v>
      </c>
      <c r="C141" s="6" t="s">
        <v>38</v>
      </c>
      <c r="D141" s="6" t="s">
        <v>265</v>
      </c>
      <c r="E141" s="6" t="s">
        <v>190</v>
      </c>
      <c r="F141" s="6">
        <v>2003</v>
      </c>
      <c r="G141" s="6" t="s">
        <v>266</v>
      </c>
      <c r="H141" s="6" t="s">
        <v>42</v>
      </c>
      <c r="I141" s="6" t="s">
        <v>43</v>
      </c>
      <c r="J141" s="6" t="str">
        <f t="shared" si="2"/>
        <v>Lobelia_siphilitica</v>
      </c>
      <c r="K141" s="6" t="s">
        <v>45</v>
      </c>
      <c r="L141" s="6" t="s">
        <v>46</v>
      </c>
      <c r="M141" s="6" t="s">
        <v>12</v>
      </c>
      <c r="N141" s="6" t="s">
        <v>76</v>
      </c>
      <c r="O141" s="6" t="s">
        <v>49</v>
      </c>
      <c r="P141" s="6" t="s">
        <v>49</v>
      </c>
      <c r="Q141" s="6" t="s">
        <v>49</v>
      </c>
      <c r="R141" s="6" t="s">
        <v>49</v>
      </c>
      <c r="S141" s="6" t="s">
        <v>77</v>
      </c>
      <c r="T141" s="6" t="s">
        <v>78</v>
      </c>
      <c r="U141" s="6" t="s">
        <v>251</v>
      </c>
      <c r="V141" s="6" t="s">
        <v>70</v>
      </c>
      <c r="W141" s="12">
        <v>41.704999999999998</v>
      </c>
      <c r="X141" s="12">
        <v>-92.786666999999994</v>
      </c>
      <c r="Y141" s="6" t="s">
        <v>141</v>
      </c>
      <c r="Z141" s="6" t="s">
        <v>271</v>
      </c>
      <c r="AA141" s="1" t="s">
        <v>49</v>
      </c>
      <c r="AB141" s="1" t="s">
        <v>49</v>
      </c>
      <c r="AC141" s="1" t="s">
        <v>49</v>
      </c>
      <c r="AD141" s="6" t="s">
        <v>273</v>
      </c>
      <c r="AE141" s="6" t="s">
        <v>52</v>
      </c>
      <c r="AF141" s="1" t="s">
        <v>49</v>
      </c>
      <c r="AG141" s="1" t="s">
        <v>49</v>
      </c>
      <c r="AH141" s="6" t="s">
        <v>49</v>
      </c>
      <c r="AI141" s="6" t="s">
        <v>272</v>
      </c>
      <c r="AJ141" s="6" t="s">
        <v>49</v>
      </c>
      <c r="AK141" s="6">
        <v>47</v>
      </c>
      <c r="AL141" s="6" t="s">
        <v>49</v>
      </c>
      <c r="AM141" s="6" t="s">
        <v>49</v>
      </c>
      <c r="AN141" s="6">
        <v>2.0179999999999998</v>
      </c>
      <c r="AO141" s="6" t="s">
        <v>49</v>
      </c>
      <c r="AP141" s="6">
        <v>0</v>
      </c>
      <c r="AQ141" s="6" t="s">
        <v>49</v>
      </c>
      <c r="AR141" s="6">
        <v>2.0179999999999998</v>
      </c>
      <c r="AS141" s="6" t="s">
        <v>49</v>
      </c>
      <c r="AT141" s="6" t="s">
        <v>49</v>
      </c>
      <c r="AU141" s="6" t="s">
        <v>49</v>
      </c>
      <c r="AV141" s="6" t="s">
        <v>49</v>
      </c>
    </row>
    <row r="142" spans="1:48" ht="14.4" customHeight="1">
      <c r="A142" s="6" t="s">
        <v>264</v>
      </c>
      <c r="B142" s="6" t="s">
        <v>38</v>
      </c>
      <c r="C142" s="6" t="s">
        <v>38</v>
      </c>
      <c r="D142" s="6" t="s">
        <v>265</v>
      </c>
      <c r="E142" s="6" t="s">
        <v>190</v>
      </c>
      <c r="F142" s="6">
        <v>2003</v>
      </c>
      <c r="G142" s="6" t="s">
        <v>266</v>
      </c>
      <c r="H142" s="6" t="s">
        <v>42</v>
      </c>
      <c r="I142" s="6" t="s">
        <v>43</v>
      </c>
      <c r="J142" s="6" t="str">
        <f t="shared" si="2"/>
        <v>Lobelia_siphilitica</v>
      </c>
      <c r="K142" s="6" t="s">
        <v>45</v>
      </c>
      <c r="L142" s="6" t="s">
        <v>46</v>
      </c>
      <c r="M142" s="6" t="s">
        <v>12</v>
      </c>
      <c r="N142" s="6" t="s">
        <v>76</v>
      </c>
      <c r="O142" s="6" t="s">
        <v>49</v>
      </c>
      <c r="P142" s="6" t="s">
        <v>49</v>
      </c>
      <c r="Q142" s="6" t="s">
        <v>49</v>
      </c>
      <c r="R142" s="6" t="s">
        <v>49</v>
      </c>
      <c r="S142" s="6" t="s">
        <v>77</v>
      </c>
      <c r="T142" s="6" t="s">
        <v>78</v>
      </c>
      <c r="U142" s="6" t="s">
        <v>251</v>
      </c>
      <c r="V142" s="6" t="s">
        <v>298</v>
      </c>
      <c r="W142" s="12">
        <v>41.704999999999998</v>
      </c>
      <c r="X142" s="12">
        <v>-92.864999999999995</v>
      </c>
      <c r="Y142" s="6" t="s">
        <v>141</v>
      </c>
      <c r="Z142" s="6" t="s">
        <v>271</v>
      </c>
      <c r="AA142" s="1" t="s">
        <v>49</v>
      </c>
      <c r="AB142" s="1" t="s">
        <v>49</v>
      </c>
      <c r="AC142" s="1" t="s">
        <v>49</v>
      </c>
      <c r="AD142" s="6" t="s">
        <v>68</v>
      </c>
      <c r="AE142" s="6" t="s">
        <v>68</v>
      </c>
      <c r="AF142" s="1" t="s">
        <v>60</v>
      </c>
      <c r="AG142" s="1" t="s">
        <v>61</v>
      </c>
      <c r="AH142" s="6" t="s">
        <v>49</v>
      </c>
      <c r="AI142" s="6" t="s">
        <v>272</v>
      </c>
      <c r="AJ142" s="6" t="s">
        <v>49</v>
      </c>
      <c r="AK142" s="6">
        <v>81</v>
      </c>
      <c r="AL142" s="6" t="s">
        <v>49</v>
      </c>
      <c r="AM142" s="6">
        <v>10.5358</v>
      </c>
      <c r="AN142" s="6">
        <v>1.6220000000000001</v>
      </c>
      <c r="AO142" s="6" t="s">
        <v>49</v>
      </c>
      <c r="AP142" s="6">
        <v>0</v>
      </c>
      <c r="AQ142" s="6" t="s">
        <v>49</v>
      </c>
      <c r="AR142" s="6">
        <v>1.6220000000000001</v>
      </c>
      <c r="AS142" s="6" t="s">
        <v>49</v>
      </c>
      <c r="AT142" s="6" t="s">
        <v>49</v>
      </c>
      <c r="AU142" s="6" t="s">
        <v>49</v>
      </c>
      <c r="AV142" s="6" t="s">
        <v>49</v>
      </c>
    </row>
    <row r="143" spans="1:48" ht="14.4" customHeight="1">
      <c r="A143" s="6" t="s">
        <v>264</v>
      </c>
      <c r="B143" s="6" t="s">
        <v>38</v>
      </c>
      <c r="C143" s="6" t="s">
        <v>38</v>
      </c>
      <c r="D143" s="6" t="s">
        <v>265</v>
      </c>
      <c r="E143" s="6" t="s">
        <v>190</v>
      </c>
      <c r="F143" s="6">
        <v>2003</v>
      </c>
      <c r="G143" s="6" t="s">
        <v>266</v>
      </c>
      <c r="H143" s="6" t="s">
        <v>42</v>
      </c>
      <c r="I143" s="6" t="s">
        <v>43</v>
      </c>
      <c r="J143" s="6" t="str">
        <f t="shared" si="2"/>
        <v>Lobelia_siphilitica</v>
      </c>
      <c r="K143" s="6" t="s">
        <v>45</v>
      </c>
      <c r="L143" s="6" t="s">
        <v>46</v>
      </c>
      <c r="M143" s="6" t="s">
        <v>12</v>
      </c>
      <c r="N143" s="6" t="s">
        <v>76</v>
      </c>
      <c r="O143" s="6" t="s">
        <v>49</v>
      </c>
      <c r="P143" s="6" t="s">
        <v>49</v>
      </c>
      <c r="Q143" s="6" t="s">
        <v>49</v>
      </c>
      <c r="R143" s="6" t="s">
        <v>49</v>
      </c>
      <c r="S143" s="6" t="s">
        <v>77</v>
      </c>
      <c r="T143" s="6" t="s">
        <v>78</v>
      </c>
      <c r="U143" s="6" t="s">
        <v>251</v>
      </c>
      <c r="V143" s="6" t="s">
        <v>298</v>
      </c>
      <c r="W143" s="12">
        <v>41.704999999999998</v>
      </c>
      <c r="X143" s="12">
        <v>-92.864999999999995</v>
      </c>
      <c r="Y143" s="6" t="s">
        <v>141</v>
      </c>
      <c r="Z143" s="6" t="s">
        <v>271</v>
      </c>
      <c r="AA143" s="1" t="s">
        <v>49</v>
      </c>
      <c r="AB143" s="1" t="s">
        <v>49</v>
      </c>
      <c r="AC143" s="1" t="s">
        <v>49</v>
      </c>
      <c r="AD143" s="6" t="s">
        <v>69</v>
      </c>
      <c r="AE143" s="6" t="s">
        <v>69</v>
      </c>
      <c r="AF143" s="1" t="s">
        <v>60</v>
      </c>
      <c r="AG143" s="1" t="s">
        <v>61</v>
      </c>
      <c r="AH143" s="6" t="s">
        <v>49</v>
      </c>
      <c r="AI143" s="6" t="s">
        <v>272</v>
      </c>
      <c r="AJ143" s="6" t="s">
        <v>49</v>
      </c>
      <c r="AK143" s="6">
        <v>81</v>
      </c>
      <c r="AL143" s="6" t="s">
        <v>49</v>
      </c>
      <c r="AM143" s="6">
        <v>4.7706999999999997</v>
      </c>
      <c r="AN143" s="6">
        <v>0.17299999999999999</v>
      </c>
      <c r="AO143" s="6" t="s">
        <v>49</v>
      </c>
      <c r="AP143" s="6">
        <v>0</v>
      </c>
      <c r="AQ143" s="6" t="s">
        <v>49</v>
      </c>
      <c r="AR143" s="6">
        <v>0.17299999999999999</v>
      </c>
      <c r="AS143" s="6" t="s">
        <v>49</v>
      </c>
      <c r="AT143" s="6" t="s">
        <v>49</v>
      </c>
      <c r="AU143" s="6" t="s">
        <v>49</v>
      </c>
      <c r="AV143" s="6" t="s">
        <v>49</v>
      </c>
    </row>
    <row r="144" spans="1:48" ht="14.4" customHeight="1">
      <c r="A144" s="6" t="s">
        <v>264</v>
      </c>
      <c r="B144" s="6" t="s">
        <v>38</v>
      </c>
      <c r="C144" s="6" t="s">
        <v>38</v>
      </c>
      <c r="D144" s="6" t="s">
        <v>265</v>
      </c>
      <c r="E144" s="6" t="s">
        <v>190</v>
      </c>
      <c r="F144" s="6">
        <v>2003</v>
      </c>
      <c r="G144" s="6" t="s">
        <v>266</v>
      </c>
      <c r="H144" s="6" t="s">
        <v>42</v>
      </c>
      <c r="I144" s="6" t="s">
        <v>43</v>
      </c>
      <c r="J144" s="6" t="str">
        <f t="shared" si="2"/>
        <v>Lobelia_siphilitica</v>
      </c>
      <c r="K144" s="6" t="s">
        <v>45</v>
      </c>
      <c r="L144" s="6" t="s">
        <v>46</v>
      </c>
      <c r="M144" s="6" t="s">
        <v>12</v>
      </c>
      <c r="N144" s="6" t="s">
        <v>76</v>
      </c>
      <c r="O144" s="6" t="s">
        <v>49</v>
      </c>
      <c r="P144" s="6" t="s">
        <v>49</v>
      </c>
      <c r="Q144" s="6" t="s">
        <v>49</v>
      </c>
      <c r="R144" s="6" t="s">
        <v>49</v>
      </c>
      <c r="S144" s="6" t="s">
        <v>77</v>
      </c>
      <c r="T144" s="6" t="s">
        <v>78</v>
      </c>
      <c r="U144" s="6" t="s">
        <v>251</v>
      </c>
      <c r="V144" s="6" t="s">
        <v>298</v>
      </c>
      <c r="W144" s="12">
        <v>41.704999999999998</v>
      </c>
      <c r="X144" s="12">
        <v>-92.864999999999995</v>
      </c>
      <c r="Y144" s="6" t="s">
        <v>141</v>
      </c>
      <c r="Z144" s="6" t="s">
        <v>271</v>
      </c>
      <c r="AA144" s="1" t="s">
        <v>49</v>
      </c>
      <c r="AB144" s="1" t="s">
        <v>49</v>
      </c>
      <c r="AC144" s="1" t="s">
        <v>49</v>
      </c>
      <c r="AD144" s="6" t="s">
        <v>63</v>
      </c>
      <c r="AE144" s="6" t="s">
        <v>63</v>
      </c>
      <c r="AF144" s="1" t="s">
        <v>60</v>
      </c>
      <c r="AG144" s="1" t="s">
        <v>61</v>
      </c>
      <c r="AH144" s="6" t="s">
        <v>49</v>
      </c>
      <c r="AI144" s="6" t="s">
        <v>272</v>
      </c>
      <c r="AJ144" s="6" t="s">
        <v>49</v>
      </c>
      <c r="AK144" s="6">
        <v>81</v>
      </c>
      <c r="AL144" s="6" t="s">
        <v>49</v>
      </c>
      <c r="AM144" s="6">
        <v>15.875299999999999</v>
      </c>
      <c r="AN144" s="6">
        <v>0.9</v>
      </c>
      <c r="AO144" s="6" t="s">
        <v>49</v>
      </c>
      <c r="AP144" s="6">
        <v>0</v>
      </c>
      <c r="AQ144" s="6" t="s">
        <v>49</v>
      </c>
      <c r="AR144" s="6">
        <v>0.9</v>
      </c>
      <c r="AS144" s="6" t="s">
        <v>49</v>
      </c>
      <c r="AT144" s="6" t="s">
        <v>49</v>
      </c>
      <c r="AU144" s="6" t="s">
        <v>49</v>
      </c>
      <c r="AV144" s="6" t="s">
        <v>49</v>
      </c>
    </row>
    <row r="145" spans="1:48" ht="14.4" customHeight="1">
      <c r="A145" s="6" t="s">
        <v>264</v>
      </c>
      <c r="B145" s="6" t="s">
        <v>38</v>
      </c>
      <c r="C145" s="6" t="s">
        <v>38</v>
      </c>
      <c r="D145" s="6" t="s">
        <v>265</v>
      </c>
      <c r="E145" s="6" t="s">
        <v>190</v>
      </c>
      <c r="F145" s="6">
        <v>2003</v>
      </c>
      <c r="G145" s="6" t="s">
        <v>266</v>
      </c>
      <c r="H145" s="6" t="s">
        <v>42</v>
      </c>
      <c r="I145" s="6" t="s">
        <v>43</v>
      </c>
      <c r="J145" s="6" t="str">
        <f t="shared" si="2"/>
        <v>Lobelia_siphilitica</v>
      </c>
      <c r="K145" s="6" t="s">
        <v>45</v>
      </c>
      <c r="L145" s="6" t="s">
        <v>46</v>
      </c>
      <c r="M145" s="6" t="s">
        <v>12</v>
      </c>
      <c r="N145" s="6" t="s">
        <v>76</v>
      </c>
      <c r="O145" s="6" t="s">
        <v>49</v>
      </c>
      <c r="P145" s="6" t="s">
        <v>49</v>
      </c>
      <c r="Q145" s="6" t="s">
        <v>49</v>
      </c>
      <c r="R145" s="6" t="s">
        <v>49</v>
      </c>
      <c r="S145" s="6" t="s">
        <v>77</v>
      </c>
      <c r="T145" s="6" t="s">
        <v>78</v>
      </c>
      <c r="U145" s="6" t="s">
        <v>251</v>
      </c>
      <c r="V145" s="6" t="s">
        <v>298</v>
      </c>
      <c r="W145" s="12">
        <v>41.704999999999998</v>
      </c>
      <c r="X145" s="12">
        <v>-92.864999999999995</v>
      </c>
      <c r="Y145" s="6" t="s">
        <v>141</v>
      </c>
      <c r="Z145" s="6" t="s">
        <v>271</v>
      </c>
      <c r="AA145" s="1" t="s">
        <v>49</v>
      </c>
      <c r="AB145" s="1" t="s">
        <v>49</v>
      </c>
      <c r="AC145" s="1" t="s">
        <v>49</v>
      </c>
      <c r="AD145" s="6" t="s">
        <v>65</v>
      </c>
      <c r="AE145" s="6" t="s">
        <v>65</v>
      </c>
      <c r="AF145" s="1" t="s">
        <v>60</v>
      </c>
      <c r="AG145" s="1" t="s">
        <v>61</v>
      </c>
      <c r="AH145" s="6" t="s">
        <v>49</v>
      </c>
      <c r="AI145" s="6" t="s">
        <v>272</v>
      </c>
      <c r="AJ145" s="6" t="s">
        <v>49</v>
      </c>
      <c r="AK145" s="6">
        <v>81</v>
      </c>
      <c r="AL145" s="6" t="s">
        <v>49</v>
      </c>
      <c r="AM145" s="6">
        <v>5.1024000000000003</v>
      </c>
      <c r="AN145" s="6">
        <v>0.32100000000000001</v>
      </c>
      <c r="AO145" s="6" t="s">
        <v>49</v>
      </c>
      <c r="AP145" s="6">
        <v>0</v>
      </c>
      <c r="AQ145" s="6" t="s">
        <v>49</v>
      </c>
      <c r="AR145" s="6">
        <v>0.32100000000000001</v>
      </c>
      <c r="AS145" s="6" t="s">
        <v>49</v>
      </c>
      <c r="AT145" s="6" t="s">
        <v>49</v>
      </c>
      <c r="AU145" s="6" t="s">
        <v>49</v>
      </c>
      <c r="AV145" s="6" t="s">
        <v>49</v>
      </c>
    </row>
    <row r="146" spans="1:48" ht="14.4" customHeight="1">
      <c r="A146" s="6" t="s">
        <v>264</v>
      </c>
      <c r="B146" s="6" t="s">
        <v>38</v>
      </c>
      <c r="C146" s="6" t="s">
        <v>38</v>
      </c>
      <c r="D146" s="6" t="s">
        <v>265</v>
      </c>
      <c r="E146" s="6" t="s">
        <v>190</v>
      </c>
      <c r="F146" s="6">
        <v>2003</v>
      </c>
      <c r="G146" s="6" t="s">
        <v>266</v>
      </c>
      <c r="H146" s="6" t="s">
        <v>42</v>
      </c>
      <c r="I146" s="6" t="s">
        <v>43</v>
      </c>
      <c r="J146" s="6" t="str">
        <f t="shared" si="2"/>
        <v>Lobelia_siphilitica</v>
      </c>
      <c r="K146" s="6" t="s">
        <v>45</v>
      </c>
      <c r="L146" s="6" t="s">
        <v>46</v>
      </c>
      <c r="M146" s="6" t="s">
        <v>12</v>
      </c>
      <c r="N146" s="6" t="s">
        <v>76</v>
      </c>
      <c r="O146" s="6" t="s">
        <v>49</v>
      </c>
      <c r="P146" s="6" t="s">
        <v>49</v>
      </c>
      <c r="Q146" s="6" t="s">
        <v>49</v>
      </c>
      <c r="R146" s="6" t="s">
        <v>49</v>
      </c>
      <c r="S146" s="6" t="s">
        <v>77</v>
      </c>
      <c r="T146" s="6" t="s">
        <v>78</v>
      </c>
      <c r="U146" s="6" t="s">
        <v>251</v>
      </c>
      <c r="V146" s="6" t="s">
        <v>298</v>
      </c>
      <c r="W146" s="12">
        <v>41.704999999999998</v>
      </c>
      <c r="X146" s="12">
        <v>-92.864999999999995</v>
      </c>
      <c r="Y146" s="6" t="s">
        <v>141</v>
      </c>
      <c r="Z146" s="6" t="s">
        <v>271</v>
      </c>
      <c r="AA146" s="1" t="s">
        <v>49</v>
      </c>
      <c r="AB146" s="1" t="s">
        <v>49</v>
      </c>
      <c r="AC146" s="1" t="s">
        <v>49</v>
      </c>
      <c r="AD146" s="6" t="s">
        <v>59</v>
      </c>
      <c r="AE146" s="6" t="s">
        <v>59</v>
      </c>
      <c r="AF146" s="1" t="s">
        <v>60</v>
      </c>
      <c r="AG146" s="1" t="s">
        <v>61</v>
      </c>
      <c r="AH146" s="6" t="s">
        <v>49</v>
      </c>
      <c r="AI146" s="6" t="s">
        <v>272</v>
      </c>
      <c r="AJ146" s="6" t="s">
        <v>49</v>
      </c>
      <c r="AK146" s="6">
        <v>81</v>
      </c>
      <c r="AL146" s="6" t="s">
        <v>49</v>
      </c>
      <c r="AM146" s="6">
        <v>21.4375</v>
      </c>
      <c r="AN146" s="6">
        <v>1.5580000000000001</v>
      </c>
      <c r="AO146" s="6" t="s">
        <v>49</v>
      </c>
      <c r="AP146" s="6">
        <v>0</v>
      </c>
      <c r="AQ146" s="6" t="s">
        <v>49</v>
      </c>
      <c r="AR146" s="6">
        <v>1.5580000000000001</v>
      </c>
      <c r="AS146" s="6" t="s">
        <v>49</v>
      </c>
      <c r="AT146" s="6" t="s">
        <v>49</v>
      </c>
      <c r="AU146" s="6" t="s">
        <v>49</v>
      </c>
      <c r="AV146" s="6" t="s">
        <v>49</v>
      </c>
    </row>
    <row r="147" spans="1:48" ht="14.4" customHeight="1">
      <c r="A147" s="6" t="s">
        <v>264</v>
      </c>
      <c r="B147" s="6" t="s">
        <v>38</v>
      </c>
      <c r="C147" s="6" t="s">
        <v>38</v>
      </c>
      <c r="D147" s="6" t="s">
        <v>265</v>
      </c>
      <c r="E147" s="6" t="s">
        <v>190</v>
      </c>
      <c r="F147" s="6">
        <v>2003</v>
      </c>
      <c r="G147" s="6" t="s">
        <v>266</v>
      </c>
      <c r="H147" s="6" t="s">
        <v>42</v>
      </c>
      <c r="I147" s="6" t="s">
        <v>43</v>
      </c>
      <c r="J147" s="6" t="str">
        <f t="shared" si="2"/>
        <v>Lobelia_siphilitica</v>
      </c>
      <c r="K147" s="6" t="s">
        <v>45</v>
      </c>
      <c r="L147" s="6" t="s">
        <v>46</v>
      </c>
      <c r="M147" s="6" t="s">
        <v>12</v>
      </c>
      <c r="N147" s="6" t="s">
        <v>76</v>
      </c>
      <c r="O147" s="6" t="s">
        <v>49</v>
      </c>
      <c r="P147" s="6" t="s">
        <v>49</v>
      </c>
      <c r="Q147" s="6" t="s">
        <v>49</v>
      </c>
      <c r="R147" s="6" t="s">
        <v>49</v>
      </c>
      <c r="S147" s="6" t="s">
        <v>77</v>
      </c>
      <c r="T147" s="6" t="s">
        <v>78</v>
      </c>
      <c r="U147" s="6" t="s">
        <v>251</v>
      </c>
      <c r="V147" s="6" t="s">
        <v>298</v>
      </c>
      <c r="W147" s="12">
        <v>41.704999999999998</v>
      </c>
      <c r="X147" s="12">
        <v>-92.864999999999995</v>
      </c>
      <c r="Y147" s="6" t="s">
        <v>141</v>
      </c>
      <c r="Z147" s="6" t="s">
        <v>271</v>
      </c>
      <c r="AA147" s="1" t="s">
        <v>49</v>
      </c>
      <c r="AB147" s="1" t="s">
        <v>49</v>
      </c>
      <c r="AC147" s="1" t="s">
        <v>49</v>
      </c>
      <c r="AD147" s="6" t="s">
        <v>273</v>
      </c>
      <c r="AE147" s="6" t="s">
        <v>273</v>
      </c>
      <c r="AF147" s="1" t="s">
        <v>60</v>
      </c>
      <c r="AG147" s="1" t="s">
        <v>61</v>
      </c>
      <c r="AH147" s="6" t="s">
        <v>49</v>
      </c>
      <c r="AI147" s="6" t="s">
        <v>272</v>
      </c>
      <c r="AJ147" s="6" t="s">
        <v>49</v>
      </c>
      <c r="AK147" s="6">
        <v>81</v>
      </c>
      <c r="AL147" s="6" t="s">
        <v>49</v>
      </c>
      <c r="AM147" s="6">
        <v>5.4741</v>
      </c>
      <c r="AN147" s="6">
        <v>0.45500000000000002</v>
      </c>
      <c r="AO147" s="6" t="s">
        <v>49</v>
      </c>
      <c r="AP147" s="6">
        <v>0</v>
      </c>
      <c r="AQ147" s="6" t="s">
        <v>49</v>
      </c>
      <c r="AR147" s="6">
        <v>0.45500000000000002</v>
      </c>
      <c r="AS147" s="6" t="s">
        <v>49</v>
      </c>
      <c r="AT147" s="6" t="s">
        <v>49</v>
      </c>
      <c r="AU147" s="6" t="s">
        <v>49</v>
      </c>
      <c r="AV147" s="6" t="s">
        <v>49</v>
      </c>
    </row>
    <row r="148" spans="1:48" ht="14.4" customHeight="1">
      <c r="A148" s="6" t="s">
        <v>264</v>
      </c>
      <c r="B148" s="6" t="s">
        <v>38</v>
      </c>
      <c r="C148" s="6" t="s">
        <v>38</v>
      </c>
      <c r="D148" s="6" t="s">
        <v>265</v>
      </c>
      <c r="E148" s="6" t="s">
        <v>190</v>
      </c>
      <c r="F148" s="6">
        <v>2003</v>
      </c>
      <c r="G148" s="6" t="s">
        <v>266</v>
      </c>
      <c r="H148" s="6" t="s">
        <v>42</v>
      </c>
      <c r="I148" s="6" t="s">
        <v>43</v>
      </c>
      <c r="J148" s="6" t="str">
        <f t="shared" si="2"/>
        <v>Lobelia_siphilitica</v>
      </c>
      <c r="K148" s="6" t="s">
        <v>45</v>
      </c>
      <c r="L148" s="6" t="s">
        <v>46</v>
      </c>
      <c r="M148" s="6" t="s">
        <v>12</v>
      </c>
      <c r="N148" s="6" t="s">
        <v>76</v>
      </c>
      <c r="O148" s="6" t="s">
        <v>49</v>
      </c>
      <c r="P148" s="6" t="s">
        <v>49</v>
      </c>
      <c r="Q148" s="6" t="s">
        <v>49</v>
      </c>
      <c r="R148" s="6" t="s">
        <v>49</v>
      </c>
      <c r="S148" s="6" t="s">
        <v>77</v>
      </c>
      <c r="T148" s="6" t="s">
        <v>78</v>
      </c>
      <c r="U148" s="6" t="s">
        <v>251</v>
      </c>
      <c r="V148" s="6" t="s">
        <v>298</v>
      </c>
      <c r="W148" s="12">
        <v>41.704999999999998</v>
      </c>
      <c r="X148" s="12">
        <v>-92.864999999999995</v>
      </c>
      <c r="Y148" s="6" t="s">
        <v>141</v>
      </c>
      <c r="Z148" s="6" t="s">
        <v>271</v>
      </c>
      <c r="AA148" s="1" t="s">
        <v>49</v>
      </c>
      <c r="AB148" s="1" t="s">
        <v>49</v>
      </c>
      <c r="AC148" s="1" t="s">
        <v>49</v>
      </c>
      <c r="AD148" s="6" t="s">
        <v>52</v>
      </c>
      <c r="AE148" s="6" t="s">
        <v>52</v>
      </c>
      <c r="AF148" s="1" t="s">
        <v>60</v>
      </c>
      <c r="AG148" s="1" t="s">
        <v>53</v>
      </c>
      <c r="AH148" s="6" t="s">
        <v>49</v>
      </c>
      <c r="AI148" s="6" t="s">
        <v>272</v>
      </c>
      <c r="AJ148" s="6" t="s">
        <v>49</v>
      </c>
      <c r="AK148" s="6">
        <v>81</v>
      </c>
      <c r="AL148" s="6" t="s">
        <v>49</v>
      </c>
      <c r="AM148" s="6">
        <v>35</v>
      </c>
      <c r="AN148" s="6">
        <v>735.4</v>
      </c>
      <c r="AO148" s="6" t="s">
        <v>49</v>
      </c>
      <c r="AP148" s="6">
        <v>0</v>
      </c>
      <c r="AQ148" s="6" t="s">
        <v>49</v>
      </c>
      <c r="AR148" s="6">
        <v>735.4</v>
      </c>
      <c r="AS148" s="6" t="s">
        <v>49</v>
      </c>
      <c r="AT148" s="6" t="s">
        <v>49</v>
      </c>
      <c r="AU148" s="6" t="s">
        <v>49</v>
      </c>
      <c r="AV148" s="6" t="s">
        <v>49</v>
      </c>
    </row>
    <row r="149" spans="1:48" ht="14.4" customHeight="1">
      <c r="A149" s="6" t="s">
        <v>264</v>
      </c>
      <c r="B149" s="6" t="s">
        <v>38</v>
      </c>
      <c r="C149" s="6" t="s">
        <v>38</v>
      </c>
      <c r="D149" s="6" t="s">
        <v>265</v>
      </c>
      <c r="E149" s="6" t="s">
        <v>190</v>
      </c>
      <c r="F149" s="6">
        <v>2003</v>
      </c>
      <c r="G149" s="6" t="s">
        <v>266</v>
      </c>
      <c r="H149" s="6" t="s">
        <v>42</v>
      </c>
      <c r="I149" s="6" t="s">
        <v>43</v>
      </c>
      <c r="J149" s="6" t="str">
        <f t="shared" si="2"/>
        <v>Lobelia_siphilitica</v>
      </c>
      <c r="K149" s="6" t="s">
        <v>45</v>
      </c>
      <c r="L149" s="6" t="s">
        <v>46</v>
      </c>
      <c r="M149" s="6" t="s">
        <v>12</v>
      </c>
      <c r="N149" s="6" t="s">
        <v>76</v>
      </c>
      <c r="O149" s="6" t="s">
        <v>49</v>
      </c>
      <c r="P149" s="6" t="s">
        <v>49</v>
      </c>
      <c r="Q149" s="6" t="s">
        <v>49</v>
      </c>
      <c r="R149" s="6" t="s">
        <v>49</v>
      </c>
      <c r="S149" s="6" t="s">
        <v>77</v>
      </c>
      <c r="T149" s="6" t="s">
        <v>78</v>
      </c>
      <c r="U149" s="6" t="s">
        <v>251</v>
      </c>
      <c r="V149" s="6" t="s">
        <v>298</v>
      </c>
      <c r="W149" s="12">
        <v>41.704999999999998</v>
      </c>
      <c r="X149" s="12">
        <v>-92.864999999999995</v>
      </c>
      <c r="Y149" s="6" t="s">
        <v>141</v>
      </c>
      <c r="Z149" s="6" t="s">
        <v>271</v>
      </c>
      <c r="AA149" s="1" t="s">
        <v>49</v>
      </c>
      <c r="AB149" s="1" t="s">
        <v>49</v>
      </c>
      <c r="AC149" s="1" t="s">
        <v>49</v>
      </c>
      <c r="AD149" s="6" t="s">
        <v>68</v>
      </c>
      <c r="AE149" s="6" t="s">
        <v>69</v>
      </c>
      <c r="AF149" s="1" t="s">
        <v>49</v>
      </c>
      <c r="AG149" s="1" t="s">
        <v>49</v>
      </c>
      <c r="AH149" s="6" t="s">
        <v>49</v>
      </c>
      <c r="AI149" s="6" t="s">
        <v>272</v>
      </c>
      <c r="AJ149" s="6" t="s">
        <v>49</v>
      </c>
      <c r="AK149" s="6">
        <v>81</v>
      </c>
      <c r="AL149" s="6" t="s">
        <v>49</v>
      </c>
      <c r="AM149" s="6" t="s">
        <v>49</v>
      </c>
      <c r="AN149" s="6">
        <v>0.35099999999999998</v>
      </c>
      <c r="AO149" s="6" t="s">
        <v>49</v>
      </c>
      <c r="AP149" s="6">
        <v>0</v>
      </c>
      <c r="AQ149" s="6" t="s">
        <v>49</v>
      </c>
      <c r="AR149" s="6">
        <v>0.35099999999999998</v>
      </c>
      <c r="AS149" s="6" t="s">
        <v>49</v>
      </c>
      <c r="AT149" s="6" t="s">
        <v>49</v>
      </c>
      <c r="AU149" s="6" t="s">
        <v>49</v>
      </c>
      <c r="AV149" s="6" t="s">
        <v>49</v>
      </c>
    </row>
    <row r="150" spans="1:48" ht="14.4" customHeight="1">
      <c r="A150" s="6" t="s">
        <v>264</v>
      </c>
      <c r="B150" s="6" t="s">
        <v>38</v>
      </c>
      <c r="C150" s="6" t="s">
        <v>38</v>
      </c>
      <c r="D150" s="6" t="s">
        <v>265</v>
      </c>
      <c r="E150" s="6" t="s">
        <v>190</v>
      </c>
      <c r="F150" s="6">
        <v>2003</v>
      </c>
      <c r="G150" s="6" t="s">
        <v>266</v>
      </c>
      <c r="H150" s="6" t="s">
        <v>42</v>
      </c>
      <c r="I150" s="6" t="s">
        <v>43</v>
      </c>
      <c r="J150" s="6" t="str">
        <f t="shared" si="2"/>
        <v>Lobelia_siphilitica</v>
      </c>
      <c r="K150" s="6" t="s">
        <v>45</v>
      </c>
      <c r="L150" s="6" t="s">
        <v>46</v>
      </c>
      <c r="M150" s="6" t="s">
        <v>12</v>
      </c>
      <c r="N150" s="6" t="s">
        <v>76</v>
      </c>
      <c r="O150" s="6" t="s">
        <v>49</v>
      </c>
      <c r="P150" s="6" t="s">
        <v>49</v>
      </c>
      <c r="Q150" s="6" t="s">
        <v>49</v>
      </c>
      <c r="R150" s="6" t="s">
        <v>49</v>
      </c>
      <c r="S150" s="6" t="s">
        <v>77</v>
      </c>
      <c r="T150" s="6" t="s">
        <v>78</v>
      </c>
      <c r="U150" s="6" t="s">
        <v>251</v>
      </c>
      <c r="V150" s="6" t="s">
        <v>298</v>
      </c>
      <c r="W150" s="12">
        <v>41.704999999999998</v>
      </c>
      <c r="X150" s="12">
        <v>-92.864999999999995</v>
      </c>
      <c r="Y150" s="6" t="s">
        <v>141</v>
      </c>
      <c r="Z150" s="6" t="s">
        <v>271</v>
      </c>
      <c r="AA150" s="1" t="s">
        <v>49</v>
      </c>
      <c r="AB150" s="1" t="s">
        <v>49</v>
      </c>
      <c r="AC150" s="1" t="s">
        <v>49</v>
      </c>
      <c r="AD150" s="6" t="s">
        <v>68</v>
      </c>
      <c r="AE150" s="6" t="s">
        <v>63</v>
      </c>
      <c r="AF150" s="1" t="s">
        <v>49</v>
      </c>
      <c r="AG150" s="1" t="s">
        <v>49</v>
      </c>
      <c r="AH150" s="6" t="s">
        <v>49</v>
      </c>
      <c r="AI150" s="6" t="s">
        <v>272</v>
      </c>
      <c r="AJ150" s="6" t="s">
        <v>49</v>
      </c>
      <c r="AK150" s="6">
        <v>81</v>
      </c>
      <c r="AL150" s="6" t="s">
        <v>49</v>
      </c>
      <c r="AM150" s="6" t="s">
        <v>49</v>
      </c>
      <c r="AN150" s="6">
        <v>0.59699999999999998</v>
      </c>
      <c r="AO150" s="6" t="s">
        <v>49</v>
      </c>
      <c r="AP150" s="6">
        <v>0</v>
      </c>
      <c r="AQ150" s="6" t="s">
        <v>49</v>
      </c>
      <c r="AR150" s="6">
        <v>0.59699999999999998</v>
      </c>
      <c r="AS150" s="6" t="s">
        <v>49</v>
      </c>
      <c r="AT150" s="6" t="s">
        <v>49</v>
      </c>
      <c r="AU150" s="6" t="s">
        <v>49</v>
      </c>
      <c r="AV150" s="6" t="s">
        <v>49</v>
      </c>
    </row>
    <row r="151" spans="1:48" ht="14.4" customHeight="1">
      <c r="A151" s="6" t="s">
        <v>264</v>
      </c>
      <c r="B151" s="6" t="s">
        <v>38</v>
      </c>
      <c r="C151" s="6" t="s">
        <v>38</v>
      </c>
      <c r="D151" s="6" t="s">
        <v>265</v>
      </c>
      <c r="E151" s="6" t="s">
        <v>190</v>
      </c>
      <c r="F151" s="6">
        <v>2003</v>
      </c>
      <c r="G151" s="6" t="s">
        <v>266</v>
      </c>
      <c r="H151" s="6" t="s">
        <v>42</v>
      </c>
      <c r="I151" s="6" t="s">
        <v>43</v>
      </c>
      <c r="J151" s="6" t="str">
        <f t="shared" si="2"/>
        <v>Lobelia_siphilitica</v>
      </c>
      <c r="K151" s="6" t="s">
        <v>45</v>
      </c>
      <c r="L151" s="6" t="s">
        <v>46</v>
      </c>
      <c r="M151" s="6" t="s">
        <v>12</v>
      </c>
      <c r="N151" s="6" t="s">
        <v>76</v>
      </c>
      <c r="O151" s="6" t="s">
        <v>49</v>
      </c>
      <c r="P151" s="6" t="s">
        <v>49</v>
      </c>
      <c r="Q151" s="6" t="s">
        <v>49</v>
      </c>
      <c r="R151" s="6" t="s">
        <v>49</v>
      </c>
      <c r="S151" s="6" t="s">
        <v>77</v>
      </c>
      <c r="T151" s="6" t="s">
        <v>78</v>
      </c>
      <c r="U151" s="6" t="s">
        <v>251</v>
      </c>
      <c r="V151" s="6" t="s">
        <v>298</v>
      </c>
      <c r="W151" s="12">
        <v>41.704999999999998</v>
      </c>
      <c r="X151" s="12">
        <v>-92.864999999999995</v>
      </c>
      <c r="Y151" s="6" t="s">
        <v>141</v>
      </c>
      <c r="Z151" s="6" t="s">
        <v>271</v>
      </c>
      <c r="AA151" s="1" t="s">
        <v>49</v>
      </c>
      <c r="AB151" s="1" t="s">
        <v>49</v>
      </c>
      <c r="AC151" s="1" t="s">
        <v>49</v>
      </c>
      <c r="AD151" s="6" t="s">
        <v>68</v>
      </c>
      <c r="AE151" s="6" t="s">
        <v>65</v>
      </c>
      <c r="AF151" s="1" t="s">
        <v>49</v>
      </c>
      <c r="AG151" s="1" t="s">
        <v>49</v>
      </c>
      <c r="AH151" s="6" t="s">
        <v>49</v>
      </c>
      <c r="AI151" s="6" t="s">
        <v>272</v>
      </c>
      <c r="AJ151" s="6" t="s">
        <v>49</v>
      </c>
      <c r="AK151" s="6">
        <v>81</v>
      </c>
      <c r="AL151" s="6" t="s">
        <v>49</v>
      </c>
      <c r="AM151" s="6" t="s">
        <v>49</v>
      </c>
      <c r="AN151" s="6">
        <v>0.16700000000000001</v>
      </c>
      <c r="AO151" s="6" t="s">
        <v>49</v>
      </c>
      <c r="AP151" s="6">
        <v>0</v>
      </c>
      <c r="AQ151" s="6" t="s">
        <v>49</v>
      </c>
      <c r="AR151" s="6">
        <v>0.16700000000000001</v>
      </c>
      <c r="AS151" s="6" t="s">
        <v>49</v>
      </c>
      <c r="AT151" s="6" t="s">
        <v>49</v>
      </c>
      <c r="AU151" s="6" t="s">
        <v>49</v>
      </c>
      <c r="AV151" s="6" t="s">
        <v>49</v>
      </c>
    </row>
    <row r="152" spans="1:48" ht="14.4" customHeight="1">
      <c r="A152" s="6" t="s">
        <v>264</v>
      </c>
      <c r="B152" s="6" t="s">
        <v>38</v>
      </c>
      <c r="C152" s="6" t="s">
        <v>38</v>
      </c>
      <c r="D152" s="6" t="s">
        <v>265</v>
      </c>
      <c r="E152" s="6" t="s">
        <v>190</v>
      </c>
      <c r="F152" s="6">
        <v>2003</v>
      </c>
      <c r="G152" s="6" t="s">
        <v>266</v>
      </c>
      <c r="H152" s="6" t="s">
        <v>42</v>
      </c>
      <c r="I152" s="6" t="s">
        <v>43</v>
      </c>
      <c r="J152" s="6" t="str">
        <f t="shared" si="2"/>
        <v>Lobelia_siphilitica</v>
      </c>
      <c r="K152" s="6" t="s">
        <v>45</v>
      </c>
      <c r="L152" s="6" t="s">
        <v>46</v>
      </c>
      <c r="M152" s="6" t="s">
        <v>12</v>
      </c>
      <c r="N152" s="6" t="s">
        <v>76</v>
      </c>
      <c r="O152" s="6" t="s">
        <v>49</v>
      </c>
      <c r="P152" s="6" t="s">
        <v>49</v>
      </c>
      <c r="Q152" s="6" t="s">
        <v>49</v>
      </c>
      <c r="R152" s="6" t="s">
        <v>49</v>
      </c>
      <c r="S152" s="6" t="s">
        <v>77</v>
      </c>
      <c r="T152" s="6" t="s">
        <v>78</v>
      </c>
      <c r="U152" s="6" t="s">
        <v>251</v>
      </c>
      <c r="V152" s="6" t="s">
        <v>298</v>
      </c>
      <c r="W152" s="12">
        <v>41.704999999999998</v>
      </c>
      <c r="X152" s="12">
        <v>-92.864999999999995</v>
      </c>
      <c r="Y152" s="6" t="s">
        <v>141</v>
      </c>
      <c r="Z152" s="6" t="s">
        <v>271</v>
      </c>
      <c r="AA152" s="1" t="s">
        <v>49</v>
      </c>
      <c r="AB152" s="1" t="s">
        <v>49</v>
      </c>
      <c r="AC152" s="1" t="s">
        <v>49</v>
      </c>
      <c r="AD152" s="6" t="s">
        <v>68</v>
      </c>
      <c r="AE152" s="6" t="s">
        <v>59</v>
      </c>
      <c r="AF152" s="1" t="s">
        <v>49</v>
      </c>
      <c r="AG152" s="1" t="s">
        <v>49</v>
      </c>
      <c r="AH152" s="6" t="s">
        <v>49</v>
      </c>
      <c r="AI152" s="6" t="s">
        <v>272</v>
      </c>
      <c r="AJ152" s="6" t="s">
        <v>49</v>
      </c>
      <c r="AK152" s="6">
        <v>81</v>
      </c>
      <c r="AL152" s="6" t="s">
        <v>49</v>
      </c>
      <c r="AM152" s="6" t="s">
        <v>49</v>
      </c>
      <c r="AN152" s="6">
        <v>0.78500000000000003</v>
      </c>
      <c r="AO152" s="6" t="s">
        <v>49</v>
      </c>
      <c r="AP152" s="6">
        <v>0</v>
      </c>
      <c r="AQ152" s="6" t="s">
        <v>49</v>
      </c>
      <c r="AR152" s="6">
        <v>0.78500000000000003</v>
      </c>
      <c r="AS152" s="6" t="s">
        <v>49</v>
      </c>
      <c r="AT152" s="6" t="s">
        <v>49</v>
      </c>
      <c r="AU152" s="6" t="s">
        <v>49</v>
      </c>
      <c r="AV152" s="6" t="s">
        <v>49</v>
      </c>
    </row>
    <row r="153" spans="1:48" ht="14.4" customHeight="1">
      <c r="A153" s="6" t="s">
        <v>264</v>
      </c>
      <c r="B153" s="6" t="s">
        <v>38</v>
      </c>
      <c r="C153" s="6" t="s">
        <v>38</v>
      </c>
      <c r="D153" s="6" t="s">
        <v>265</v>
      </c>
      <c r="E153" s="6" t="s">
        <v>190</v>
      </c>
      <c r="F153" s="6">
        <v>2003</v>
      </c>
      <c r="G153" s="6" t="s">
        <v>266</v>
      </c>
      <c r="H153" s="6" t="s">
        <v>42</v>
      </c>
      <c r="I153" s="6" t="s">
        <v>43</v>
      </c>
      <c r="J153" s="6" t="str">
        <f t="shared" si="2"/>
        <v>Lobelia_siphilitica</v>
      </c>
      <c r="K153" s="6" t="s">
        <v>45</v>
      </c>
      <c r="L153" s="6" t="s">
        <v>46</v>
      </c>
      <c r="M153" s="6" t="s">
        <v>12</v>
      </c>
      <c r="N153" s="6" t="s">
        <v>76</v>
      </c>
      <c r="O153" s="6" t="s">
        <v>49</v>
      </c>
      <c r="P153" s="6" t="s">
        <v>49</v>
      </c>
      <c r="Q153" s="6" t="s">
        <v>49</v>
      </c>
      <c r="R153" s="6" t="s">
        <v>49</v>
      </c>
      <c r="S153" s="6" t="s">
        <v>77</v>
      </c>
      <c r="T153" s="6" t="s">
        <v>78</v>
      </c>
      <c r="U153" s="6" t="s">
        <v>251</v>
      </c>
      <c r="V153" s="6" t="s">
        <v>298</v>
      </c>
      <c r="W153" s="12">
        <v>41.704999999999998</v>
      </c>
      <c r="X153" s="12">
        <v>-92.864999999999995</v>
      </c>
      <c r="Y153" s="6" t="s">
        <v>141</v>
      </c>
      <c r="Z153" s="6" t="s">
        <v>271</v>
      </c>
      <c r="AA153" s="1" t="s">
        <v>49</v>
      </c>
      <c r="AB153" s="1" t="s">
        <v>49</v>
      </c>
      <c r="AC153" s="1" t="s">
        <v>49</v>
      </c>
      <c r="AD153" s="6" t="s">
        <v>68</v>
      </c>
      <c r="AE153" s="6" t="s">
        <v>273</v>
      </c>
      <c r="AF153" s="1" t="s">
        <v>49</v>
      </c>
      <c r="AG153" s="1" t="s">
        <v>49</v>
      </c>
      <c r="AH153" s="6" t="s">
        <v>49</v>
      </c>
      <c r="AI153" s="6" t="s">
        <v>272</v>
      </c>
      <c r="AJ153" s="6" t="s">
        <v>49</v>
      </c>
      <c r="AK153" s="6">
        <v>81</v>
      </c>
      <c r="AL153" s="6" t="s">
        <v>49</v>
      </c>
      <c r="AM153" s="6" t="s">
        <v>49</v>
      </c>
      <c r="AN153" s="6">
        <v>0.24099999999999999</v>
      </c>
      <c r="AO153" s="6" t="s">
        <v>49</v>
      </c>
      <c r="AP153" s="6">
        <v>0</v>
      </c>
      <c r="AQ153" s="6" t="s">
        <v>49</v>
      </c>
      <c r="AR153" s="6">
        <v>0.24099999999999999</v>
      </c>
      <c r="AS153" s="6" t="s">
        <v>49</v>
      </c>
      <c r="AT153" s="6" t="s">
        <v>49</v>
      </c>
      <c r="AU153" s="6" t="s">
        <v>49</v>
      </c>
      <c r="AV153" s="6" t="s">
        <v>49</v>
      </c>
    </row>
    <row r="154" spans="1:48" ht="14.4" customHeight="1">
      <c r="A154" s="6" t="s">
        <v>264</v>
      </c>
      <c r="B154" s="6" t="s">
        <v>38</v>
      </c>
      <c r="C154" s="6" t="s">
        <v>38</v>
      </c>
      <c r="D154" s="6" t="s">
        <v>265</v>
      </c>
      <c r="E154" s="6" t="s">
        <v>190</v>
      </c>
      <c r="F154" s="6">
        <v>2003</v>
      </c>
      <c r="G154" s="6" t="s">
        <v>266</v>
      </c>
      <c r="H154" s="6" t="s">
        <v>42</v>
      </c>
      <c r="I154" s="6" t="s">
        <v>43</v>
      </c>
      <c r="J154" s="6" t="str">
        <f t="shared" si="2"/>
        <v>Lobelia_siphilitica</v>
      </c>
      <c r="K154" s="6" t="s">
        <v>45</v>
      </c>
      <c r="L154" s="6" t="s">
        <v>46</v>
      </c>
      <c r="M154" s="6" t="s">
        <v>12</v>
      </c>
      <c r="N154" s="6" t="s">
        <v>76</v>
      </c>
      <c r="O154" s="6" t="s">
        <v>49</v>
      </c>
      <c r="P154" s="6" t="s">
        <v>49</v>
      </c>
      <c r="Q154" s="6" t="s">
        <v>49</v>
      </c>
      <c r="R154" s="6" t="s">
        <v>49</v>
      </c>
      <c r="S154" s="6" t="s">
        <v>77</v>
      </c>
      <c r="T154" s="6" t="s">
        <v>78</v>
      </c>
      <c r="U154" s="6" t="s">
        <v>251</v>
      </c>
      <c r="V154" s="6" t="s">
        <v>298</v>
      </c>
      <c r="W154" s="12">
        <v>41.704999999999998</v>
      </c>
      <c r="X154" s="12">
        <v>-92.864999999999995</v>
      </c>
      <c r="Y154" s="6" t="s">
        <v>141</v>
      </c>
      <c r="Z154" s="6" t="s">
        <v>271</v>
      </c>
      <c r="AA154" s="1" t="s">
        <v>49</v>
      </c>
      <c r="AB154" s="1" t="s">
        <v>49</v>
      </c>
      <c r="AC154" s="1" t="s">
        <v>49</v>
      </c>
      <c r="AD154" s="6" t="s">
        <v>68</v>
      </c>
      <c r="AE154" s="6" t="s">
        <v>52</v>
      </c>
      <c r="AF154" s="1" t="s">
        <v>49</v>
      </c>
      <c r="AG154" s="1" t="s">
        <v>49</v>
      </c>
      <c r="AH154" s="6" t="s">
        <v>49</v>
      </c>
      <c r="AI154" s="6" t="s">
        <v>272</v>
      </c>
      <c r="AJ154" s="6" t="s">
        <v>49</v>
      </c>
      <c r="AK154" s="6">
        <v>81</v>
      </c>
      <c r="AL154" s="6" t="s">
        <v>49</v>
      </c>
      <c r="AM154" s="6" t="s">
        <v>49</v>
      </c>
      <c r="AN154" s="6">
        <v>-0.86599999999999999</v>
      </c>
      <c r="AO154" s="6" t="s">
        <v>49</v>
      </c>
      <c r="AP154" s="6">
        <v>0</v>
      </c>
      <c r="AQ154" s="6" t="s">
        <v>49</v>
      </c>
      <c r="AR154" s="6">
        <v>-0.86599999999999999</v>
      </c>
      <c r="AS154" s="6" t="s">
        <v>49</v>
      </c>
      <c r="AT154" s="6" t="s">
        <v>49</v>
      </c>
      <c r="AU154" s="6" t="s">
        <v>49</v>
      </c>
      <c r="AV154" s="6" t="s">
        <v>49</v>
      </c>
    </row>
    <row r="155" spans="1:48" ht="14.4" customHeight="1">
      <c r="A155" s="6" t="s">
        <v>264</v>
      </c>
      <c r="B155" s="6" t="s">
        <v>38</v>
      </c>
      <c r="C155" s="6" t="s">
        <v>38</v>
      </c>
      <c r="D155" s="6" t="s">
        <v>265</v>
      </c>
      <c r="E155" s="6" t="s">
        <v>190</v>
      </c>
      <c r="F155" s="6">
        <v>2003</v>
      </c>
      <c r="G155" s="6" t="s">
        <v>266</v>
      </c>
      <c r="H155" s="6" t="s">
        <v>42</v>
      </c>
      <c r="I155" s="6" t="s">
        <v>43</v>
      </c>
      <c r="J155" s="6" t="str">
        <f t="shared" si="2"/>
        <v>Lobelia_siphilitica</v>
      </c>
      <c r="K155" s="6" t="s">
        <v>45</v>
      </c>
      <c r="L155" s="6" t="s">
        <v>46</v>
      </c>
      <c r="M155" s="6" t="s">
        <v>12</v>
      </c>
      <c r="N155" s="6" t="s">
        <v>76</v>
      </c>
      <c r="O155" s="6" t="s">
        <v>49</v>
      </c>
      <c r="P155" s="6" t="s">
        <v>49</v>
      </c>
      <c r="Q155" s="6" t="s">
        <v>49</v>
      </c>
      <c r="R155" s="6" t="s">
        <v>49</v>
      </c>
      <c r="S155" s="6" t="s">
        <v>77</v>
      </c>
      <c r="T155" s="6" t="s">
        <v>78</v>
      </c>
      <c r="U155" s="6" t="s">
        <v>251</v>
      </c>
      <c r="V155" s="6" t="s">
        <v>298</v>
      </c>
      <c r="W155" s="12">
        <v>41.704999999999998</v>
      </c>
      <c r="X155" s="12">
        <v>-92.864999999999995</v>
      </c>
      <c r="Y155" s="6" t="s">
        <v>141</v>
      </c>
      <c r="Z155" s="6" t="s">
        <v>271</v>
      </c>
      <c r="AA155" s="1" t="s">
        <v>49</v>
      </c>
      <c r="AB155" s="1" t="s">
        <v>49</v>
      </c>
      <c r="AC155" s="1" t="s">
        <v>49</v>
      </c>
      <c r="AD155" s="6" t="s">
        <v>69</v>
      </c>
      <c r="AE155" s="6" t="s">
        <v>63</v>
      </c>
      <c r="AF155" s="1" t="s">
        <v>49</v>
      </c>
      <c r="AG155" s="1" t="s">
        <v>49</v>
      </c>
      <c r="AH155" s="6" t="s">
        <v>49</v>
      </c>
      <c r="AI155" s="6" t="s">
        <v>272</v>
      </c>
      <c r="AJ155" s="6" t="s">
        <v>49</v>
      </c>
      <c r="AK155" s="6">
        <v>81</v>
      </c>
      <c r="AL155" s="6" t="s">
        <v>49</v>
      </c>
      <c r="AM155" s="6" t="s">
        <v>49</v>
      </c>
      <c r="AN155" s="6">
        <v>0.13900000000000001</v>
      </c>
      <c r="AO155" s="6" t="s">
        <v>49</v>
      </c>
      <c r="AP155" s="6">
        <v>0</v>
      </c>
      <c r="AQ155" s="6" t="s">
        <v>49</v>
      </c>
      <c r="AR155" s="6">
        <v>0.13900000000000001</v>
      </c>
      <c r="AS155" s="6" t="s">
        <v>49</v>
      </c>
      <c r="AT155" s="6" t="s">
        <v>49</v>
      </c>
      <c r="AU155" s="6" t="s">
        <v>49</v>
      </c>
      <c r="AV155" s="6" t="s">
        <v>49</v>
      </c>
    </row>
    <row r="156" spans="1:48" ht="14.4" customHeight="1">
      <c r="A156" s="6" t="s">
        <v>264</v>
      </c>
      <c r="B156" s="6" t="s">
        <v>38</v>
      </c>
      <c r="C156" s="6" t="s">
        <v>38</v>
      </c>
      <c r="D156" s="6" t="s">
        <v>265</v>
      </c>
      <c r="E156" s="6" t="s">
        <v>190</v>
      </c>
      <c r="F156" s="6">
        <v>2003</v>
      </c>
      <c r="G156" s="6" t="s">
        <v>266</v>
      </c>
      <c r="H156" s="6" t="s">
        <v>42</v>
      </c>
      <c r="I156" s="6" t="s">
        <v>43</v>
      </c>
      <c r="J156" s="6" t="str">
        <f t="shared" si="2"/>
        <v>Lobelia_siphilitica</v>
      </c>
      <c r="K156" s="6" t="s">
        <v>45</v>
      </c>
      <c r="L156" s="6" t="s">
        <v>46</v>
      </c>
      <c r="M156" s="6" t="s">
        <v>12</v>
      </c>
      <c r="N156" s="6" t="s">
        <v>76</v>
      </c>
      <c r="O156" s="6" t="s">
        <v>49</v>
      </c>
      <c r="P156" s="6" t="s">
        <v>49</v>
      </c>
      <c r="Q156" s="6" t="s">
        <v>49</v>
      </c>
      <c r="R156" s="6" t="s">
        <v>49</v>
      </c>
      <c r="S156" s="6" t="s">
        <v>77</v>
      </c>
      <c r="T156" s="6" t="s">
        <v>78</v>
      </c>
      <c r="U156" s="6" t="s">
        <v>251</v>
      </c>
      <c r="V156" s="6" t="s">
        <v>298</v>
      </c>
      <c r="W156" s="12">
        <v>41.704999999999998</v>
      </c>
      <c r="X156" s="12">
        <v>-92.864999999999995</v>
      </c>
      <c r="Y156" s="6" t="s">
        <v>141</v>
      </c>
      <c r="Z156" s="6" t="s">
        <v>271</v>
      </c>
      <c r="AA156" s="1" t="s">
        <v>49</v>
      </c>
      <c r="AB156" s="1" t="s">
        <v>49</v>
      </c>
      <c r="AC156" s="1" t="s">
        <v>49</v>
      </c>
      <c r="AD156" s="6" t="s">
        <v>69</v>
      </c>
      <c r="AE156" s="6" t="s">
        <v>65</v>
      </c>
      <c r="AF156" s="1" t="s">
        <v>49</v>
      </c>
      <c r="AG156" s="1" t="s">
        <v>49</v>
      </c>
      <c r="AH156" s="6" t="s">
        <v>49</v>
      </c>
      <c r="AI156" s="6" t="s">
        <v>272</v>
      </c>
      <c r="AJ156" s="6" t="s">
        <v>49</v>
      </c>
      <c r="AK156" s="6">
        <v>81</v>
      </c>
      <c r="AL156" s="6" t="s">
        <v>49</v>
      </c>
      <c r="AM156" s="6" t="s">
        <v>49</v>
      </c>
      <c r="AN156" s="6">
        <v>9.6000000000000002E-2</v>
      </c>
      <c r="AO156" s="6" t="s">
        <v>49</v>
      </c>
      <c r="AP156" s="6">
        <v>0</v>
      </c>
      <c r="AQ156" s="6" t="s">
        <v>49</v>
      </c>
      <c r="AR156" s="6">
        <v>9.6000000000000002E-2</v>
      </c>
      <c r="AS156" s="6" t="s">
        <v>49</v>
      </c>
      <c r="AT156" s="6" t="s">
        <v>49</v>
      </c>
      <c r="AU156" s="6" t="s">
        <v>49</v>
      </c>
      <c r="AV156" s="6" t="s">
        <v>49</v>
      </c>
    </row>
    <row r="157" spans="1:48" ht="14.4" customHeight="1">
      <c r="A157" s="6" t="s">
        <v>264</v>
      </c>
      <c r="B157" s="6" t="s">
        <v>38</v>
      </c>
      <c r="C157" s="6" t="s">
        <v>38</v>
      </c>
      <c r="D157" s="6" t="s">
        <v>265</v>
      </c>
      <c r="E157" s="6" t="s">
        <v>190</v>
      </c>
      <c r="F157" s="6">
        <v>2003</v>
      </c>
      <c r="G157" s="6" t="s">
        <v>266</v>
      </c>
      <c r="H157" s="6" t="s">
        <v>42</v>
      </c>
      <c r="I157" s="6" t="s">
        <v>43</v>
      </c>
      <c r="J157" s="6" t="str">
        <f t="shared" si="2"/>
        <v>Lobelia_siphilitica</v>
      </c>
      <c r="K157" s="6" t="s">
        <v>45</v>
      </c>
      <c r="L157" s="6" t="s">
        <v>46</v>
      </c>
      <c r="M157" s="6" t="s">
        <v>12</v>
      </c>
      <c r="N157" s="6" t="s">
        <v>76</v>
      </c>
      <c r="O157" s="6" t="s">
        <v>49</v>
      </c>
      <c r="P157" s="6" t="s">
        <v>49</v>
      </c>
      <c r="Q157" s="6" t="s">
        <v>49</v>
      </c>
      <c r="R157" s="6" t="s">
        <v>49</v>
      </c>
      <c r="S157" s="6" t="s">
        <v>77</v>
      </c>
      <c r="T157" s="6" t="s">
        <v>78</v>
      </c>
      <c r="U157" s="6" t="s">
        <v>251</v>
      </c>
      <c r="V157" s="6" t="s">
        <v>298</v>
      </c>
      <c r="W157" s="12">
        <v>41.704999999999998</v>
      </c>
      <c r="X157" s="12">
        <v>-92.864999999999995</v>
      </c>
      <c r="Y157" s="6" t="s">
        <v>141</v>
      </c>
      <c r="Z157" s="6" t="s">
        <v>271</v>
      </c>
      <c r="AA157" s="1" t="s">
        <v>49</v>
      </c>
      <c r="AB157" s="1" t="s">
        <v>49</v>
      </c>
      <c r="AC157" s="1" t="s">
        <v>49</v>
      </c>
      <c r="AD157" s="6" t="s">
        <v>69</v>
      </c>
      <c r="AE157" s="6" t="s">
        <v>59</v>
      </c>
      <c r="AF157" s="1" t="s">
        <v>49</v>
      </c>
      <c r="AG157" s="1" t="s">
        <v>49</v>
      </c>
      <c r="AH157" s="6" t="s">
        <v>49</v>
      </c>
      <c r="AI157" s="6" t="s">
        <v>272</v>
      </c>
      <c r="AJ157" s="6" t="s">
        <v>49</v>
      </c>
      <c r="AK157" s="6">
        <v>81</v>
      </c>
      <c r="AL157" s="6" t="s">
        <v>49</v>
      </c>
      <c r="AM157" s="6" t="s">
        <v>49</v>
      </c>
      <c r="AN157" s="6">
        <v>0.19</v>
      </c>
      <c r="AO157" s="6" t="s">
        <v>49</v>
      </c>
      <c r="AP157" s="6">
        <v>0</v>
      </c>
      <c r="AQ157" s="6" t="s">
        <v>49</v>
      </c>
      <c r="AR157" s="6">
        <v>0.19</v>
      </c>
      <c r="AS157" s="6" t="s">
        <v>49</v>
      </c>
      <c r="AT157" s="6" t="s">
        <v>49</v>
      </c>
      <c r="AU157" s="6" t="s">
        <v>49</v>
      </c>
      <c r="AV157" s="6" t="s">
        <v>49</v>
      </c>
    </row>
    <row r="158" spans="1:48" ht="14.4" customHeight="1">
      <c r="A158" s="6" t="s">
        <v>264</v>
      </c>
      <c r="B158" s="6" t="s">
        <v>38</v>
      </c>
      <c r="C158" s="6" t="s">
        <v>38</v>
      </c>
      <c r="D158" s="6" t="s">
        <v>265</v>
      </c>
      <c r="E158" s="6" t="s">
        <v>190</v>
      </c>
      <c r="F158" s="6">
        <v>2003</v>
      </c>
      <c r="G158" s="6" t="s">
        <v>266</v>
      </c>
      <c r="H158" s="6" t="s">
        <v>42</v>
      </c>
      <c r="I158" s="6" t="s">
        <v>43</v>
      </c>
      <c r="J158" s="6" t="str">
        <f t="shared" si="2"/>
        <v>Lobelia_siphilitica</v>
      </c>
      <c r="K158" s="6" t="s">
        <v>45</v>
      </c>
      <c r="L158" s="6" t="s">
        <v>46</v>
      </c>
      <c r="M158" s="6" t="s">
        <v>12</v>
      </c>
      <c r="N158" s="6" t="s">
        <v>76</v>
      </c>
      <c r="O158" s="6" t="s">
        <v>49</v>
      </c>
      <c r="P158" s="6" t="s">
        <v>49</v>
      </c>
      <c r="Q158" s="6" t="s">
        <v>49</v>
      </c>
      <c r="R158" s="6" t="s">
        <v>49</v>
      </c>
      <c r="S158" s="6" t="s">
        <v>77</v>
      </c>
      <c r="T158" s="6" t="s">
        <v>78</v>
      </c>
      <c r="U158" s="6" t="s">
        <v>251</v>
      </c>
      <c r="V158" s="6" t="s">
        <v>298</v>
      </c>
      <c r="W158" s="12">
        <v>41.704999999999998</v>
      </c>
      <c r="X158" s="12">
        <v>-92.864999999999995</v>
      </c>
      <c r="Y158" s="6" t="s">
        <v>141</v>
      </c>
      <c r="Z158" s="6" t="s">
        <v>271</v>
      </c>
      <c r="AA158" s="1" t="s">
        <v>49</v>
      </c>
      <c r="AB158" s="1" t="s">
        <v>49</v>
      </c>
      <c r="AC158" s="1" t="s">
        <v>49</v>
      </c>
      <c r="AD158" s="6" t="s">
        <v>69</v>
      </c>
      <c r="AE158" s="6" t="s">
        <v>273</v>
      </c>
      <c r="AF158" s="1" t="s">
        <v>49</v>
      </c>
      <c r="AG158" s="1" t="s">
        <v>49</v>
      </c>
      <c r="AH158" s="6" t="s">
        <v>49</v>
      </c>
      <c r="AI158" s="6" t="s">
        <v>272</v>
      </c>
      <c r="AJ158" s="6" t="s">
        <v>49</v>
      </c>
      <c r="AK158" s="6">
        <v>81</v>
      </c>
      <c r="AL158" s="6" t="s">
        <v>49</v>
      </c>
      <c r="AM158" s="6" t="s">
        <v>49</v>
      </c>
      <c r="AN158" s="6">
        <v>5.7000000000000002E-2</v>
      </c>
      <c r="AO158" s="6" t="s">
        <v>49</v>
      </c>
      <c r="AP158" s="6">
        <v>0</v>
      </c>
      <c r="AQ158" s="6" t="s">
        <v>49</v>
      </c>
      <c r="AR158" s="6">
        <v>5.7000000000000002E-2</v>
      </c>
      <c r="AS158" s="6" t="s">
        <v>49</v>
      </c>
      <c r="AT158" s="6" t="s">
        <v>49</v>
      </c>
      <c r="AU158" s="6" t="s">
        <v>49</v>
      </c>
      <c r="AV158" s="6" t="s">
        <v>49</v>
      </c>
    </row>
    <row r="159" spans="1:48" ht="14.4" customHeight="1">
      <c r="A159" s="6" t="s">
        <v>264</v>
      </c>
      <c r="B159" s="6" t="s">
        <v>38</v>
      </c>
      <c r="C159" s="6" t="s">
        <v>38</v>
      </c>
      <c r="D159" s="6" t="s">
        <v>265</v>
      </c>
      <c r="E159" s="6" t="s">
        <v>190</v>
      </c>
      <c r="F159" s="6">
        <v>2003</v>
      </c>
      <c r="G159" s="6" t="s">
        <v>266</v>
      </c>
      <c r="H159" s="6" t="s">
        <v>42</v>
      </c>
      <c r="I159" s="6" t="s">
        <v>43</v>
      </c>
      <c r="J159" s="6" t="str">
        <f t="shared" si="2"/>
        <v>Lobelia_siphilitica</v>
      </c>
      <c r="K159" s="6" t="s">
        <v>45</v>
      </c>
      <c r="L159" s="6" t="s">
        <v>46</v>
      </c>
      <c r="M159" s="6" t="s">
        <v>12</v>
      </c>
      <c r="N159" s="6" t="s">
        <v>76</v>
      </c>
      <c r="O159" s="6" t="s">
        <v>49</v>
      </c>
      <c r="P159" s="6" t="s">
        <v>49</v>
      </c>
      <c r="Q159" s="6" t="s">
        <v>49</v>
      </c>
      <c r="R159" s="6" t="s">
        <v>49</v>
      </c>
      <c r="S159" s="6" t="s">
        <v>77</v>
      </c>
      <c r="T159" s="6" t="s">
        <v>78</v>
      </c>
      <c r="U159" s="6" t="s">
        <v>251</v>
      </c>
      <c r="V159" s="6" t="s">
        <v>298</v>
      </c>
      <c r="W159" s="12">
        <v>41.704999999999998</v>
      </c>
      <c r="X159" s="12">
        <v>-92.864999999999995</v>
      </c>
      <c r="Y159" s="6" t="s">
        <v>141</v>
      </c>
      <c r="Z159" s="6" t="s">
        <v>271</v>
      </c>
      <c r="AA159" s="1" t="s">
        <v>49</v>
      </c>
      <c r="AB159" s="1" t="s">
        <v>49</v>
      </c>
      <c r="AC159" s="1" t="s">
        <v>49</v>
      </c>
      <c r="AD159" s="6" t="s">
        <v>69</v>
      </c>
      <c r="AE159" s="6" t="s">
        <v>52</v>
      </c>
      <c r="AF159" s="1" t="s">
        <v>49</v>
      </c>
      <c r="AG159" s="1" t="s">
        <v>49</v>
      </c>
      <c r="AH159" s="6" t="s">
        <v>49</v>
      </c>
      <c r="AI159" s="6" t="s">
        <v>272</v>
      </c>
      <c r="AJ159" s="6" t="s">
        <v>49</v>
      </c>
      <c r="AK159" s="6">
        <v>81</v>
      </c>
      <c r="AL159" s="6" t="s">
        <v>49</v>
      </c>
      <c r="AM159" s="6" t="s">
        <v>49</v>
      </c>
      <c r="AN159" s="6">
        <v>1.8069999999999999</v>
      </c>
      <c r="AO159" s="6" t="s">
        <v>49</v>
      </c>
      <c r="AP159" s="6">
        <v>0</v>
      </c>
      <c r="AQ159" s="6" t="s">
        <v>49</v>
      </c>
      <c r="AR159" s="6">
        <v>1.8069999999999999</v>
      </c>
      <c r="AS159" s="6" t="s">
        <v>49</v>
      </c>
      <c r="AT159" s="6" t="s">
        <v>49</v>
      </c>
      <c r="AU159" s="6" t="s">
        <v>49</v>
      </c>
      <c r="AV159" s="6" t="s">
        <v>49</v>
      </c>
    </row>
    <row r="160" spans="1:48" ht="14.4" customHeight="1">
      <c r="A160" s="6" t="s">
        <v>264</v>
      </c>
      <c r="B160" s="6" t="s">
        <v>38</v>
      </c>
      <c r="C160" s="6" t="s">
        <v>38</v>
      </c>
      <c r="D160" s="6" t="s">
        <v>265</v>
      </c>
      <c r="E160" s="6" t="s">
        <v>190</v>
      </c>
      <c r="F160" s="6">
        <v>2003</v>
      </c>
      <c r="G160" s="6" t="s">
        <v>266</v>
      </c>
      <c r="H160" s="6" t="s">
        <v>42</v>
      </c>
      <c r="I160" s="6" t="s">
        <v>43</v>
      </c>
      <c r="J160" s="6" t="str">
        <f t="shared" si="2"/>
        <v>Lobelia_siphilitica</v>
      </c>
      <c r="K160" s="6" t="s">
        <v>45</v>
      </c>
      <c r="L160" s="6" t="s">
        <v>46</v>
      </c>
      <c r="M160" s="6" t="s">
        <v>12</v>
      </c>
      <c r="N160" s="6" t="s">
        <v>76</v>
      </c>
      <c r="O160" s="6" t="s">
        <v>49</v>
      </c>
      <c r="P160" s="6" t="s">
        <v>49</v>
      </c>
      <c r="Q160" s="6" t="s">
        <v>49</v>
      </c>
      <c r="R160" s="6" t="s">
        <v>49</v>
      </c>
      <c r="S160" s="6" t="s">
        <v>77</v>
      </c>
      <c r="T160" s="6" t="s">
        <v>78</v>
      </c>
      <c r="U160" s="6" t="s">
        <v>251</v>
      </c>
      <c r="V160" s="6" t="s">
        <v>298</v>
      </c>
      <c r="W160" s="12">
        <v>41.704999999999998</v>
      </c>
      <c r="X160" s="12">
        <v>-92.864999999999995</v>
      </c>
      <c r="Y160" s="6" t="s">
        <v>141</v>
      </c>
      <c r="Z160" s="6" t="s">
        <v>271</v>
      </c>
      <c r="AA160" s="1" t="s">
        <v>49</v>
      </c>
      <c r="AB160" s="1" t="s">
        <v>49</v>
      </c>
      <c r="AC160" s="1" t="s">
        <v>49</v>
      </c>
      <c r="AD160" s="6" t="s">
        <v>63</v>
      </c>
      <c r="AE160" s="6" t="s">
        <v>65</v>
      </c>
      <c r="AF160" s="1" t="s">
        <v>49</v>
      </c>
      <c r="AG160" s="1" t="s">
        <v>49</v>
      </c>
      <c r="AH160" s="6" t="s">
        <v>49</v>
      </c>
      <c r="AI160" s="6" t="s">
        <v>272</v>
      </c>
      <c r="AJ160" s="6" t="s">
        <v>49</v>
      </c>
      <c r="AK160" s="6">
        <v>81</v>
      </c>
      <c r="AL160" s="6" t="s">
        <v>49</v>
      </c>
      <c r="AM160" s="6" t="s">
        <v>49</v>
      </c>
      <c r="AN160" s="6">
        <v>2.3E-2</v>
      </c>
      <c r="AO160" s="6" t="s">
        <v>49</v>
      </c>
      <c r="AP160" s="6">
        <v>0</v>
      </c>
      <c r="AQ160" s="6" t="s">
        <v>49</v>
      </c>
      <c r="AR160" s="6">
        <v>2.3E-2</v>
      </c>
      <c r="AS160" s="6" t="s">
        <v>49</v>
      </c>
      <c r="AT160" s="6" t="s">
        <v>49</v>
      </c>
      <c r="AU160" s="6" t="s">
        <v>49</v>
      </c>
      <c r="AV160" s="6" t="s">
        <v>49</v>
      </c>
    </row>
    <row r="161" spans="1:48" ht="14.4" customHeight="1">
      <c r="A161" s="6" t="s">
        <v>264</v>
      </c>
      <c r="B161" s="6" t="s">
        <v>38</v>
      </c>
      <c r="C161" s="6" t="s">
        <v>38</v>
      </c>
      <c r="D161" s="6" t="s">
        <v>265</v>
      </c>
      <c r="E161" s="6" t="s">
        <v>190</v>
      </c>
      <c r="F161" s="6">
        <v>2003</v>
      </c>
      <c r="G161" s="6" t="s">
        <v>266</v>
      </c>
      <c r="H161" s="6" t="s">
        <v>42</v>
      </c>
      <c r="I161" s="6" t="s">
        <v>43</v>
      </c>
      <c r="J161" s="6" t="str">
        <f t="shared" si="2"/>
        <v>Lobelia_siphilitica</v>
      </c>
      <c r="K161" s="6" t="s">
        <v>45</v>
      </c>
      <c r="L161" s="6" t="s">
        <v>46</v>
      </c>
      <c r="M161" s="6" t="s">
        <v>12</v>
      </c>
      <c r="N161" s="6" t="s">
        <v>76</v>
      </c>
      <c r="O161" s="6" t="s">
        <v>49</v>
      </c>
      <c r="P161" s="6" t="s">
        <v>49</v>
      </c>
      <c r="Q161" s="6" t="s">
        <v>49</v>
      </c>
      <c r="R161" s="6" t="s">
        <v>49</v>
      </c>
      <c r="S161" s="6" t="s">
        <v>77</v>
      </c>
      <c r="T161" s="6" t="s">
        <v>78</v>
      </c>
      <c r="U161" s="6" t="s">
        <v>251</v>
      </c>
      <c r="V161" s="6" t="s">
        <v>298</v>
      </c>
      <c r="W161" s="12">
        <v>41.704999999999998</v>
      </c>
      <c r="X161" s="12">
        <v>-92.864999999999995</v>
      </c>
      <c r="Y161" s="6" t="s">
        <v>141</v>
      </c>
      <c r="Z161" s="6" t="s">
        <v>271</v>
      </c>
      <c r="AA161" s="1" t="s">
        <v>49</v>
      </c>
      <c r="AB161" s="1" t="s">
        <v>49</v>
      </c>
      <c r="AC161" s="1" t="s">
        <v>49</v>
      </c>
      <c r="AD161" s="6" t="s">
        <v>63</v>
      </c>
      <c r="AE161" s="6" t="s">
        <v>59</v>
      </c>
      <c r="AF161" s="1" t="s">
        <v>49</v>
      </c>
      <c r="AG161" s="1" t="s">
        <v>49</v>
      </c>
      <c r="AH161" s="6" t="s">
        <v>49</v>
      </c>
      <c r="AI161" s="6" t="s">
        <v>272</v>
      </c>
      <c r="AJ161" s="6" t="s">
        <v>49</v>
      </c>
      <c r="AK161" s="6">
        <v>81</v>
      </c>
      <c r="AL161" s="6" t="s">
        <v>49</v>
      </c>
      <c r="AM161" s="6" t="s">
        <v>49</v>
      </c>
      <c r="AN161" s="6">
        <v>0.96299999999999997</v>
      </c>
      <c r="AO161" s="6" t="s">
        <v>49</v>
      </c>
      <c r="AP161" s="6">
        <v>0</v>
      </c>
      <c r="AQ161" s="6" t="s">
        <v>49</v>
      </c>
      <c r="AR161" s="6">
        <v>0.96299999999999997</v>
      </c>
      <c r="AS161" s="6" t="s">
        <v>49</v>
      </c>
      <c r="AT161" s="6" t="s">
        <v>49</v>
      </c>
      <c r="AU161" s="6" t="s">
        <v>49</v>
      </c>
      <c r="AV161" s="6" t="s">
        <v>49</v>
      </c>
    </row>
    <row r="162" spans="1:48" ht="14.4" customHeight="1">
      <c r="A162" s="6" t="s">
        <v>264</v>
      </c>
      <c r="B162" s="6" t="s">
        <v>38</v>
      </c>
      <c r="C162" s="6" t="s">
        <v>38</v>
      </c>
      <c r="D162" s="6" t="s">
        <v>265</v>
      </c>
      <c r="E162" s="6" t="s">
        <v>190</v>
      </c>
      <c r="F162" s="6">
        <v>2003</v>
      </c>
      <c r="G162" s="6" t="s">
        <v>266</v>
      </c>
      <c r="H162" s="6" t="s">
        <v>42</v>
      </c>
      <c r="I162" s="6" t="s">
        <v>43</v>
      </c>
      <c r="J162" s="6" t="str">
        <f t="shared" si="2"/>
        <v>Lobelia_siphilitica</v>
      </c>
      <c r="K162" s="6" t="s">
        <v>45</v>
      </c>
      <c r="L162" s="6" t="s">
        <v>46</v>
      </c>
      <c r="M162" s="6" t="s">
        <v>12</v>
      </c>
      <c r="N162" s="6" t="s">
        <v>76</v>
      </c>
      <c r="O162" s="6" t="s">
        <v>49</v>
      </c>
      <c r="P162" s="6" t="s">
        <v>49</v>
      </c>
      <c r="Q162" s="6" t="s">
        <v>49</v>
      </c>
      <c r="R162" s="6" t="s">
        <v>49</v>
      </c>
      <c r="S162" s="6" t="s">
        <v>77</v>
      </c>
      <c r="T162" s="6" t="s">
        <v>78</v>
      </c>
      <c r="U162" s="6" t="s">
        <v>251</v>
      </c>
      <c r="V162" s="6" t="s">
        <v>298</v>
      </c>
      <c r="W162" s="12">
        <v>41.704999999999998</v>
      </c>
      <c r="X162" s="12">
        <v>-92.864999999999995</v>
      </c>
      <c r="Y162" s="6" t="s">
        <v>141</v>
      </c>
      <c r="Z162" s="6" t="s">
        <v>271</v>
      </c>
      <c r="AA162" s="1" t="s">
        <v>49</v>
      </c>
      <c r="AB162" s="1" t="s">
        <v>49</v>
      </c>
      <c r="AC162" s="1" t="s">
        <v>49</v>
      </c>
      <c r="AD162" s="6" t="s">
        <v>63</v>
      </c>
      <c r="AE162" s="6" t="s">
        <v>273</v>
      </c>
      <c r="AF162" s="1" t="s">
        <v>49</v>
      </c>
      <c r="AG162" s="1" t="s">
        <v>49</v>
      </c>
      <c r="AH162" s="6" t="s">
        <v>49</v>
      </c>
      <c r="AI162" s="6" t="s">
        <v>272</v>
      </c>
      <c r="AJ162" s="6" t="s">
        <v>49</v>
      </c>
      <c r="AK162" s="6">
        <v>81</v>
      </c>
      <c r="AL162" s="6" t="s">
        <v>49</v>
      </c>
      <c r="AM162" s="6" t="s">
        <v>49</v>
      </c>
      <c r="AN162" s="6">
        <v>5.8000000000000003E-2</v>
      </c>
      <c r="AO162" s="6" t="s">
        <v>49</v>
      </c>
      <c r="AP162" s="6">
        <v>0</v>
      </c>
      <c r="AQ162" s="6" t="s">
        <v>49</v>
      </c>
      <c r="AR162" s="6">
        <v>5.8000000000000003E-2</v>
      </c>
      <c r="AS162" s="6" t="s">
        <v>49</v>
      </c>
      <c r="AT162" s="6" t="s">
        <v>49</v>
      </c>
      <c r="AU162" s="6" t="s">
        <v>49</v>
      </c>
      <c r="AV162" s="6" t="s">
        <v>49</v>
      </c>
    </row>
    <row r="163" spans="1:48" ht="14.4" customHeight="1">
      <c r="A163" s="6" t="s">
        <v>264</v>
      </c>
      <c r="B163" s="6" t="s">
        <v>38</v>
      </c>
      <c r="C163" s="6" t="s">
        <v>38</v>
      </c>
      <c r="D163" s="6" t="s">
        <v>265</v>
      </c>
      <c r="E163" s="6" t="s">
        <v>190</v>
      </c>
      <c r="F163" s="6">
        <v>2003</v>
      </c>
      <c r="G163" s="6" t="s">
        <v>266</v>
      </c>
      <c r="H163" s="6" t="s">
        <v>42</v>
      </c>
      <c r="I163" s="6" t="s">
        <v>43</v>
      </c>
      <c r="J163" s="6" t="str">
        <f t="shared" si="2"/>
        <v>Lobelia_siphilitica</v>
      </c>
      <c r="K163" s="6" t="s">
        <v>45</v>
      </c>
      <c r="L163" s="6" t="s">
        <v>46</v>
      </c>
      <c r="M163" s="6" t="s">
        <v>12</v>
      </c>
      <c r="N163" s="6" t="s">
        <v>76</v>
      </c>
      <c r="O163" s="6" t="s">
        <v>49</v>
      </c>
      <c r="P163" s="6" t="s">
        <v>49</v>
      </c>
      <c r="Q163" s="6" t="s">
        <v>49</v>
      </c>
      <c r="R163" s="6" t="s">
        <v>49</v>
      </c>
      <c r="S163" s="6" t="s">
        <v>77</v>
      </c>
      <c r="T163" s="6" t="s">
        <v>78</v>
      </c>
      <c r="U163" s="6" t="s">
        <v>251</v>
      </c>
      <c r="V163" s="6" t="s">
        <v>298</v>
      </c>
      <c r="W163" s="12">
        <v>41.704999999999998</v>
      </c>
      <c r="X163" s="12">
        <v>-92.864999999999995</v>
      </c>
      <c r="Y163" s="6" t="s">
        <v>141</v>
      </c>
      <c r="Z163" s="6" t="s">
        <v>271</v>
      </c>
      <c r="AA163" s="1" t="s">
        <v>49</v>
      </c>
      <c r="AB163" s="1" t="s">
        <v>49</v>
      </c>
      <c r="AC163" s="1" t="s">
        <v>49</v>
      </c>
      <c r="AD163" s="6" t="s">
        <v>63</v>
      </c>
      <c r="AE163" s="6" t="s">
        <v>52</v>
      </c>
      <c r="AF163" s="1" t="s">
        <v>49</v>
      </c>
      <c r="AG163" s="1" t="s">
        <v>49</v>
      </c>
      <c r="AH163" s="6" t="s">
        <v>49</v>
      </c>
      <c r="AI163" s="6" t="s">
        <v>272</v>
      </c>
      <c r="AJ163" s="6" t="s">
        <v>49</v>
      </c>
      <c r="AK163" s="6">
        <v>81</v>
      </c>
      <c r="AL163" s="6" t="s">
        <v>49</v>
      </c>
      <c r="AM163" s="6" t="s">
        <v>49</v>
      </c>
      <c r="AN163" s="6">
        <v>-3.8069999999999999</v>
      </c>
      <c r="AO163" s="6" t="s">
        <v>49</v>
      </c>
      <c r="AP163" s="6">
        <v>0</v>
      </c>
      <c r="AQ163" s="6" t="s">
        <v>49</v>
      </c>
      <c r="AR163" s="6">
        <v>-3.8069999999999999</v>
      </c>
      <c r="AS163" s="6" t="s">
        <v>49</v>
      </c>
      <c r="AT163" s="6" t="s">
        <v>49</v>
      </c>
      <c r="AU163" s="6" t="s">
        <v>49</v>
      </c>
      <c r="AV163" s="6" t="s">
        <v>49</v>
      </c>
    </row>
    <row r="164" spans="1:48" ht="14.4" customHeight="1">
      <c r="A164" s="6" t="s">
        <v>264</v>
      </c>
      <c r="B164" s="6" t="s">
        <v>38</v>
      </c>
      <c r="C164" s="6" t="s">
        <v>38</v>
      </c>
      <c r="D164" s="6" t="s">
        <v>265</v>
      </c>
      <c r="E164" s="6" t="s">
        <v>190</v>
      </c>
      <c r="F164" s="6">
        <v>2003</v>
      </c>
      <c r="G164" s="6" t="s">
        <v>266</v>
      </c>
      <c r="H164" s="6" t="s">
        <v>42</v>
      </c>
      <c r="I164" s="6" t="s">
        <v>43</v>
      </c>
      <c r="J164" s="6" t="str">
        <f t="shared" si="2"/>
        <v>Lobelia_siphilitica</v>
      </c>
      <c r="K164" s="6" t="s">
        <v>45</v>
      </c>
      <c r="L164" s="6" t="s">
        <v>46</v>
      </c>
      <c r="M164" s="6" t="s">
        <v>12</v>
      </c>
      <c r="N164" s="6" t="s">
        <v>76</v>
      </c>
      <c r="O164" s="6" t="s">
        <v>49</v>
      </c>
      <c r="P164" s="6" t="s">
        <v>49</v>
      </c>
      <c r="Q164" s="6" t="s">
        <v>49</v>
      </c>
      <c r="R164" s="6" t="s">
        <v>49</v>
      </c>
      <c r="S164" s="6" t="s">
        <v>77</v>
      </c>
      <c r="T164" s="6" t="s">
        <v>78</v>
      </c>
      <c r="U164" s="6" t="s">
        <v>251</v>
      </c>
      <c r="V164" s="6" t="s">
        <v>298</v>
      </c>
      <c r="W164" s="12">
        <v>41.704999999999998</v>
      </c>
      <c r="X164" s="12">
        <v>-92.864999999999995</v>
      </c>
      <c r="Y164" s="6" t="s">
        <v>141</v>
      </c>
      <c r="Z164" s="6" t="s">
        <v>271</v>
      </c>
      <c r="AA164" s="1" t="s">
        <v>49</v>
      </c>
      <c r="AB164" s="1" t="s">
        <v>49</v>
      </c>
      <c r="AC164" s="1" t="s">
        <v>49</v>
      </c>
      <c r="AD164" s="6" t="s">
        <v>65</v>
      </c>
      <c r="AE164" s="6" t="s">
        <v>59</v>
      </c>
      <c r="AF164" s="1" t="s">
        <v>49</v>
      </c>
      <c r="AG164" s="1" t="s">
        <v>49</v>
      </c>
      <c r="AH164" s="6" t="s">
        <v>49</v>
      </c>
      <c r="AI164" s="6" t="s">
        <v>272</v>
      </c>
      <c r="AJ164" s="6" t="s">
        <v>49</v>
      </c>
      <c r="AK164" s="6">
        <v>81</v>
      </c>
      <c r="AL164" s="6" t="s">
        <v>49</v>
      </c>
      <c r="AM164" s="6" t="s">
        <v>49</v>
      </c>
      <c r="AN164" s="6">
        <v>-5.0000000000000001E-3</v>
      </c>
      <c r="AO164" s="6" t="s">
        <v>49</v>
      </c>
      <c r="AP164" s="6">
        <v>0</v>
      </c>
      <c r="AQ164" s="6" t="s">
        <v>49</v>
      </c>
      <c r="AR164" s="6">
        <v>-5.0000000000000001E-3</v>
      </c>
      <c r="AS164" s="6" t="s">
        <v>49</v>
      </c>
      <c r="AT164" s="6" t="s">
        <v>49</v>
      </c>
      <c r="AU164" s="6" t="s">
        <v>49</v>
      </c>
      <c r="AV164" s="6" t="s">
        <v>49</v>
      </c>
    </row>
    <row r="165" spans="1:48" ht="14.4" customHeight="1">
      <c r="A165" s="6" t="s">
        <v>264</v>
      </c>
      <c r="B165" s="6" t="s">
        <v>38</v>
      </c>
      <c r="C165" s="6" t="s">
        <v>38</v>
      </c>
      <c r="D165" s="6" t="s">
        <v>265</v>
      </c>
      <c r="E165" s="6" t="s">
        <v>190</v>
      </c>
      <c r="F165" s="6">
        <v>2003</v>
      </c>
      <c r="G165" s="6" t="s">
        <v>266</v>
      </c>
      <c r="H165" s="6" t="s">
        <v>42</v>
      </c>
      <c r="I165" s="6" t="s">
        <v>43</v>
      </c>
      <c r="J165" s="6" t="str">
        <f t="shared" si="2"/>
        <v>Lobelia_siphilitica</v>
      </c>
      <c r="K165" s="6" t="s">
        <v>45</v>
      </c>
      <c r="L165" s="6" t="s">
        <v>46</v>
      </c>
      <c r="M165" s="6" t="s">
        <v>12</v>
      </c>
      <c r="N165" s="6" t="s">
        <v>76</v>
      </c>
      <c r="O165" s="6" t="s">
        <v>49</v>
      </c>
      <c r="P165" s="6" t="s">
        <v>49</v>
      </c>
      <c r="Q165" s="6" t="s">
        <v>49</v>
      </c>
      <c r="R165" s="6" t="s">
        <v>49</v>
      </c>
      <c r="S165" s="6" t="s">
        <v>77</v>
      </c>
      <c r="T165" s="6" t="s">
        <v>78</v>
      </c>
      <c r="U165" s="6" t="s">
        <v>251</v>
      </c>
      <c r="V165" s="6" t="s">
        <v>298</v>
      </c>
      <c r="W165" s="12">
        <v>41.704999999999998</v>
      </c>
      <c r="X165" s="12">
        <v>-92.864999999999995</v>
      </c>
      <c r="Y165" s="6" t="s">
        <v>141</v>
      </c>
      <c r="Z165" s="6" t="s">
        <v>271</v>
      </c>
      <c r="AA165" s="1" t="s">
        <v>49</v>
      </c>
      <c r="AB165" s="1" t="s">
        <v>49</v>
      </c>
      <c r="AC165" s="1" t="s">
        <v>49</v>
      </c>
      <c r="AD165" s="6" t="s">
        <v>65</v>
      </c>
      <c r="AE165" s="6" t="s">
        <v>273</v>
      </c>
      <c r="AF165" s="1" t="s">
        <v>49</v>
      </c>
      <c r="AG165" s="1" t="s">
        <v>49</v>
      </c>
      <c r="AH165" s="6" t="s">
        <v>49</v>
      </c>
      <c r="AI165" s="6" t="s">
        <v>272</v>
      </c>
      <c r="AJ165" s="6" t="s">
        <v>49</v>
      </c>
      <c r="AK165" s="6">
        <v>81</v>
      </c>
      <c r="AL165" s="6" t="s">
        <v>49</v>
      </c>
      <c r="AM165" s="6" t="s">
        <v>49</v>
      </c>
      <c r="AN165" s="6">
        <v>-6.0000000000000001E-3</v>
      </c>
      <c r="AO165" s="6" t="s">
        <v>49</v>
      </c>
      <c r="AP165" s="6">
        <v>0</v>
      </c>
      <c r="AQ165" s="6" t="s">
        <v>49</v>
      </c>
      <c r="AR165" s="6">
        <v>-6.0000000000000001E-3</v>
      </c>
      <c r="AS165" s="6" t="s">
        <v>49</v>
      </c>
      <c r="AT165" s="6" t="s">
        <v>49</v>
      </c>
      <c r="AU165" s="6" t="s">
        <v>49</v>
      </c>
      <c r="AV165" s="6" t="s">
        <v>49</v>
      </c>
    </row>
    <row r="166" spans="1:48" ht="14.4" customHeight="1">
      <c r="A166" s="6" t="s">
        <v>264</v>
      </c>
      <c r="B166" s="6" t="s">
        <v>38</v>
      </c>
      <c r="C166" s="6" t="s">
        <v>38</v>
      </c>
      <c r="D166" s="6" t="s">
        <v>265</v>
      </c>
      <c r="E166" s="6" t="s">
        <v>190</v>
      </c>
      <c r="F166" s="6">
        <v>2003</v>
      </c>
      <c r="G166" s="6" t="s">
        <v>266</v>
      </c>
      <c r="H166" s="6" t="s">
        <v>42</v>
      </c>
      <c r="I166" s="6" t="s">
        <v>43</v>
      </c>
      <c r="J166" s="6" t="str">
        <f t="shared" si="2"/>
        <v>Lobelia_siphilitica</v>
      </c>
      <c r="K166" s="6" t="s">
        <v>45</v>
      </c>
      <c r="L166" s="6" t="s">
        <v>46</v>
      </c>
      <c r="M166" s="6" t="s">
        <v>12</v>
      </c>
      <c r="N166" s="6" t="s">
        <v>76</v>
      </c>
      <c r="O166" s="6" t="s">
        <v>49</v>
      </c>
      <c r="P166" s="6" t="s">
        <v>49</v>
      </c>
      <c r="Q166" s="6" t="s">
        <v>49</v>
      </c>
      <c r="R166" s="6" t="s">
        <v>49</v>
      </c>
      <c r="S166" s="6" t="s">
        <v>77</v>
      </c>
      <c r="T166" s="6" t="s">
        <v>78</v>
      </c>
      <c r="U166" s="6" t="s">
        <v>251</v>
      </c>
      <c r="V166" s="6" t="s">
        <v>298</v>
      </c>
      <c r="W166" s="12">
        <v>41.704999999999998</v>
      </c>
      <c r="X166" s="12">
        <v>-92.864999999999995</v>
      </c>
      <c r="Y166" s="6" t="s">
        <v>141</v>
      </c>
      <c r="Z166" s="6" t="s">
        <v>271</v>
      </c>
      <c r="AA166" s="1" t="s">
        <v>49</v>
      </c>
      <c r="AB166" s="1" t="s">
        <v>49</v>
      </c>
      <c r="AC166" s="1" t="s">
        <v>49</v>
      </c>
      <c r="AD166" s="6" t="s">
        <v>65</v>
      </c>
      <c r="AE166" s="6" t="s">
        <v>52</v>
      </c>
      <c r="AF166" s="1" t="s">
        <v>49</v>
      </c>
      <c r="AG166" s="1" t="s">
        <v>49</v>
      </c>
      <c r="AH166" s="6" t="s">
        <v>49</v>
      </c>
      <c r="AI166" s="6" t="s">
        <v>272</v>
      </c>
      <c r="AJ166" s="6" t="s">
        <v>49</v>
      </c>
      <c r="AK166" s="6">
        <v>81</v>
      </c>
      <c r="AL166" s="6" t="s">
        <v>49</v>
      </c>
      <c r="AM166" s="6" t="s">
        <v>49</v>
      </c>
      <c r="AN166" s="6">
        <v>1.141</v>
      </c>
      <c r="AO166" s="6" t="s">
        <v>49</v>
      </c>
      <c r="AP166" s="6">
        <v>0</v>
      </c>
      <c r="AQ166" s="6" t="s">
        <v>49</v>
      </c>
      <c r="AR166" s="6">
        <v>1.141</v>
      </c>
      <c r="AS166" s="6" t="s">
        <v>49</v>
      </c>
      <c r="AT166" s="6" t="s">
        <v>49</v>
      </c>
      <c r="AU166" s="6" t="s">
        <v>49</v>
      </c>
      <c r="AV166" s="6" t="s">
        <v>49</v>
      </c>
    </row>
    <row r="167" spans="1:48" ht="14.4" customHeight="1">
      <c r="A167" s="6" t="s">
        <v>264</v>
      </c>
      <c r="B167" s="6" t="s">
        <v>38</v>
      </c>
      <c r="C167" s="6" t="s">
        <v>38</v>
      </c>
      <c r="D167" s="6" t="s">
        <v>265</v>
      </c>
      <c r="E167" s="6" t="s">
        <v>190</v>
      </c>
      <c r="F167" s="6">
        <v>2003</v>
      </c>
      <c r="G167" s="6" t="s">
        <v>266</v>
      </c>
      <c r="H167" s="6" t="s">
        <v>42</v>
      </c>
      <c r="I167" s="6" t="s">
        <v>43</v>
      </c>
      <c r="J167" s="6" t="str">
        <f t="shared" si="2"/>
        <v>Lobelia_siphilitica</v>
      </c>
      <c r="K167" s="6" t="s">
        <v>45</v>
      </c>
      <c r="L167" s="6" t="s">
        <v>46</v>
      </c>
      <c r="M167" s="6" t="s">
        <v>12</v>
      </c>
      <c r="N167" s="6" t="s">
        <v>76</v>
      </c>
      <c r="O167" s="6" t="s">
        <v>49</v>
      </c>
      <c r="P167" s="6" t="s">
        <v>49</v>
      </c>
      <c r="Q167" s="6" t="s">
        <v>49</v>
      </c>
      <c r="R167" s="6" t="s">
        <v>49</v>
      </c>
      <c r="S167" s="6" t="s">
        <v>77</v>
      </c>
      <c r="T167" s="6" t="s">
        <v>78</v>
      </c>
      <c r="U167" s="6" t="s">
        <v>251</v>
      </c>
      <c r="V167" s="6" t="s">
        <v>298</v>
      </c>
      <c r="W167" s="12">
        <v>41.704999999999998</v>
      </c>
      <c r="X167" s="12">
        <v>-92.864999999999995</v>
      </c>
      <c r="Y167" s="6" t="s">
        <v>141</v>
      </c>
      <c r="Z167" s="6" t="s">
        <v>271</v>
      </c>
      <c r="AA167" s="1" t="s">
        <v>49</v>
      </c>
      <c r="AB167" s="1" t="s">
        <v>49</v>
      </c>
      <c r="AC167" s="1" t="s">
        <v>49</v>
      </c>
      <c r="AD167" s="6" t="s">
        <v>59</v>
      </c>
      <c r="AE167" s="6" t="s">
        <v>273</v>
      </c>
      <c r="AF167" s="1" t="s">
        <v>49</v>
      </c>
      <c r="AG167" s="1" t="s">
        <v>49</v>
      </c>
      <c r="AH167" s="6" t="s">
        <v>49</v>
      </c>
      <c r="AI167" s="6" t="s">
        <v>272</v>
      </c>
      <c r="AJ167" s="6" t="s">
        <v>49</v>
      </c>
      <c r="AK167" s="6">
        <v>81</v>
      </c>
      <c r="AL167" s="6" t="s">
        <v>49</v>
      </c>
      <c r="AM167" s="6" t="s">
        <v>49</v>
      </c>
      <c r="AN167" s="6">
        <v>0.46700000000000003</v>
      </c>
      <c r="AO167" s="6" t="s">
        <v>49</v>
      </c>
      <c r="AP167" s="6">
        <v>0</v>
      </c>
      <c r="AQ167" s="6" t="s">
        <v>49</v>
      </c>
      <c r="AR167" s="6">
        <v>0.46700000000000003</v>
      </c>
      <c r="AS167" s="6" t="s">
        <v>49</v>
      </c>
      <c r="AT167" s="6" t="s">
        <v>49</v>
      </c>
      <c r="AU167" s="6" t="s">
        <v>49</v>
      </c>
      <c r="AV167" s="6" t="s">
        <v>49</v>
      </c>
    </row>
    <row r="168" spans="1:48" ht="14.4" customHeight="1">
      <c r="A168" s="6" t="s">
        <v>264</v>
      </c>
      <c r="B168" s="6" t="s">
        <v>38</v>
      </c>
      <c r="C168" s="6" t="s">
        <v>38</v>
      </c>
      <c r="D168" s="6" t="s">
        <v>265</v>
      </c>
      <c r="E168" s="6" t="s">
        <v>190</v>
      </c>
      <c r="F168" s="6">
        <v>2003</v>
      </c>
      <c r="G168" s="6" t="s">
        <v>266</v>
      </c>
      <c r="H168" s="6" t="s">
        <v>42</v>
      </c>
      <c r="I168" s="6" t="s">
        <v>43</v>
      </c>
      <c r="J168" s="6" t="str">
        <f t="shared" si="2"/>
        <v>Lobelia_siphilitica</v>
      </c>
      <c r="K168" s="6" t="s">
        <v>45</v>
      </c>
      <c r="L168" s="6" t="s">
        <v>46</v>
      </c>
      <c r="M168" s="6" t="s">
        <v>12</v>
      </c>
      <c r="N168" s="6" t="s">
        <v>76</v>
      </c>
      <c r="O168" s="6" t="s">
        <v>49</v>
      </c>
      <c r="P168" s="6" t="s">
        <v>49</v>
      </c>
      <c r="Q168" s="6" t="s">
        <v>49</v>
      </c>
      <c r="R168" s="6" t="s">
        <v>49</v>
      </c>
      <c r="S168" s="6" t="s">
        <v>77</v>
      </c>
      <c r="T168" s="6" t="s">
        <v>78</v>
      </c>
      <c r="U168" s="6" t="s">
        <v>251</v>
      </c>
      <c r="V168" s="6" t="s">
        <v>298</v>
      </c>
      <c r="W168" s="12">
        <v>41.704999999999998</v>
      </c>
      <c r="X168" s="12">
        <v>-92.864999999999995</v>
      </c>
      <c r="Y168" s="6" t="s">
        <v>141</v>
      </c>
      <c r="Z168" s="6" t="s">
        <v>271</v>
      </c>
      <c r="AA168" s="1" t="s">
        <v>49</v>
      </c>
      <c r="AB168" s="1" t="s">
        <v>49</v>
      </c>
      <c r="AC168" s="1" t="s">
        <v>49</v>
      </c>
      <c r="AD168" s="6" t="s">
        <v>59</v>
      </c>
      <c r="AE168" s="6" t="s">
        <v>52</v>
      </c>
      <c r="AF168" s="1" t="s">
        <v>49</v>
      </c>
      <c r="AG168" s="1" t="s">
        <v>49</v>
      </c>
      <c r="AH168" s="6" t="s">
        <v>49</v>
      </c>
      <c r="AI168" s="6" t="s">
        <v>272</v>
      </c>
      <c r="AJ168" s="6" t="s">
        <v>49</v>
      </c>
      <c r="AK168" s="6">
        <v>81</v>
      </c>
      <c r="AL168" s="6" t="s">
        <v>49</v>
      </c>
      <c r="AM168" s="6" t="s">
        <v>49</v>
      </c>
      <c r="AN168" s="6">
        <v>-2.835</v>
      </c>
      <c r="AO168" s="6" t="s">
        <v>49</v>
      </c>
      <c r="AP168" s="6">
        <v>0</v>
      </c>
      <c r="AQ168" s="6" t="s">
        <v>49</v>
      </c>
      <c r="AR168" s="6">
        <v>-2.835</v>
      </c>
      <c r="AS168" s="6" t="s">
        <v>49</v>
      </c>
      <c r="AT168" s="6" t="s">
        <v>49</v>
      </c>
      <c r="AU168" s="6" t="s">
        <v>49</v>
      </c>
      <c r="AV168" s="6" t="s">
        <v>49</v>
      </c>
    </row>
    <row r="169" spans="1:48" ht="14.4" customHeight="1">
      <c r="A169" s="6" t="s">
        <v>264</v>
      </c>
      <c r="B169" s="6" t="s">
        <v>38</v>
      </c>
      <c r="C169" s="6" t="s">
        <v>38</v>
      </c>
      <c r="D169" s="6" t="s">
        <v>265</v>
      </c>
      <c r="E169" s="6" t="s">
        <v>190</v>
      </c>
      <c r="F169" s="6">
        <v>2003</v>
      </c>
      <c r="G169" s="6" t="s">
        <v>266</v>
      </c>
      <c r="H169" s="6" t="s">
        <v>42</v>
      </c>
      <c r="I169" s="6" t="s">
        <v>43</v>
      </c>
      <c r="J169" s="6" t="str">
        <f t="shared" si="2"/>
        <v>Lobelia_siphilitica</v>
      </c>
      <c r="K169" s="6" t="s">
        <v>45</v>
      </c>
      <c r="L169" s="6" t="s">
        <v>46</v>
      </c>
      <c r="M169" s="6" t="s">
        <v>12</v>
      </c>
      <c r="N169" s="6" t="s">
        <v>76</v>
      </c>
      <c r="O169" s="6" t="s">
        <v>49</v>
      </c>
      <c r="P169" s="6" t="s">
        <v>49</v>
      </c>
      <c r="Q169" s="6" t="s">
        <v>49</v>
      </c>
      <c r="R169" s="6" t="s">
        <v>49</v>
      </c>
      <c r="S169" s="6" t="s">
        <v>77</v>
      </c>
      <c r="T169" s="6" t="s">
        <v>78</v>
      </c>
      <c r="U169" s="6" t="s">
        <v>251</v>
      </c>
      <c r="V169" s="6" t="s">
        <v>298</v>
      </c>
      <c r="W169" s="12">
        <v>41.704999999999998</v>
      </c>
      <c r="X169" s="12">
        <v>-92.864999999999995</v>
      </c>
      <c r="Y169" s="6" t="s">
        <v>141</v>
      </c>
      <c r="Z169" s="6" t="s">
        <v>271</v>
      </c>
      <c r="AA169" s="1" t="s">
        <v>49</v>
      </c>
      <c r="AB169" s="1" t="s">
        <v>49</v>
      </c>
      <c r="AC169" s="1" t="s">
        <v>49</v>
      </c>
      <c r="AD169" s="6" t="s">
        <v>273</v>
      </c>
      <c r="AE169" s="6" t="s">
        <v>52</v>
      </c>
      <c r="AF169" s="1" t="s">
        <v>49</v>
      </c>
      <c r="AG169" s="1" t="s">
        <v>49</v>
      </c>
      <c r="AH169" s="6" t="s">
        <v>49</v>
      </c>
      <c r="AI169" s="6" t="s">
        <v>272</v>
      </c>
      <c r="AJ169" s="6" t="s">
        <v>49</v>
      </c>
      <c r="AK169" s="6">
        <v>81</v>
      </c>
      <c r="AL169" s="6" t="s">
        <v>49</v>
      </c>
      <c r="AM169" s="6" t="s">
        <v>49</v>
      </c>
      <c r="AN169" s="6">
        <v>3.206</v>
      </c>
      <c r="AO169" s="6" t="s">
        <v>49</v>
      </c>
      <c r="AP169" s="6">
        <v>0</v>
      </c>
      <c r="AQ169" s="6" t="s">
        <v>49</v>
      </c>
      <c r="AR169" s="6">
        <v>3.206</v>
      </c>
      <c r="AS169" s="6" t="s">
        <v>49</v>
      </c>
      <c r="AT169" s="6" t="s">
        <v>49</v>
      </c>
      <c r="AU169" s="6" t="s">
        <v>49</v>
      </c>
      <c r="AV169" s="6" t="s">
        <v>49</v>
      </c>
    </row>
    <row r="170" spans="1:48" ht="14.4" customHeight="1">
      <c r="A170" s="6" t="s">
        <v>680</v>
      </c>
      <c r="B170" s="6" t="s">
        <v>38</v>
      </c>
      <c r="C170" s="6" t="s">
        <v>38</v>
      </c>
      <c r="D170" s="1" t="s">
        <v>681</v>
      </c>
      <c r="E170" s="1" t="s">
        <v>40</v>
      </c>
      <c r="F170" s="6">
        <v>2000</v>
      </c>
      <c r="G170" s="1" t="s">
        <v>177</v>
      </c>
      <c r="H170" s="6" t="s">
        <v>178</v>
      </c>
      <c r="I170" s="6" t="s">
        <v>179</v>
      </c>
      <c r="J170" s="1" t="str">
        <f t="shared" si="2"/>
        <v>Ipomopsis_aggregata</v>
      </c>
      <c r="K170" s="6" t="s">
        <v>45</v>
      </c>
      <c r="L170" s="6" t="s">
        <v>46</v>
      </c>
      <c r="M170" s="6" t="s">
        <v>115</v>
      </c>
      <c r="N170" s="6" t="s">
        <v>116</v>
      </c>
      <c r="O170" s="6" t="s">
        <v>49</v>
      </c>
      <c r="P170" s="6" t="s">
        <v>49</v>
      </c>
      <c r="Q170" s="6" t="s">
        <v>49</v>
      </c>
      <c r="R170" s="6" t="s">
        <v>49</v>
      </c>
      <c r="S170" s="6" t="s">
        <v>268</v>
      </c>
      <c r="T170" s="6" t="s">
        <v>269</v>
      </c>
      <c r="U170" s="6" t="s">
        <v>251</v>
      </c>
      <c r="V170" s="6" t="s">
        <v>682</v>
      </c>
      <c r="W170" s="12">
        <v>38.955444</v>
      </c>
      <c r="X170" s="12">
        <v>-106.99119399999999</v>
      </c>
      <c r="Y170" s="6" t="s">
        <v>141</v>
      </c>
      <c r="Z170" s="6" t="s">
        <v>271</v>
      </c>
      <c r="AA170" s="1" t="s">
        <v>50</v>
      </c>
      <c r="AB170" s="1" t="s">
        <v>51</v>
      </c>
      <c r="AC170" s="1" t="s">
        <v>52</v>
      </c>
      <c r="AD170" s="6" t="s">
        <v>122</v>
      </c>
      <c r="AE170" s="6" t="s">
        <v>122</v>
      </c>
      <c r="AF170" s="1" t="s">
        <v>53</v>
      </c>
      <c r="AG170" s="1" t="s">
        <v>53</v>
      </c>
      <c r="AH170" s="6" t="s">
        <v>49</v>
      </c>
      <c r="AI170" s="6" t="s">
        <v>272</v>
      </c>
      <c r="AJ170" s="6" t="s">
        <v>49</v>
      </c>
      <c r="AK170" s="6">
        <v>46</v>
      </c>
      <c r="AL170" s="6" t="s">
        <v>49</v>
      </c>
      <c r="AM170" s="6">
        <v>70.456500000000005</v>
      </c>
      <c r="AN170" s="6">
        <v>4231.4089999999997</v>
      </c>
      <c r="AO170" s="6" t="s">
        <v>49</v>
      </c>
      <c r="AP170" s="6">
        <v>0</v>
      </c>
      <c r="AQ170" s="6" t="s">
        <v>49</v>
      </c>
      <c r="AR170" s="6">
        <v>4231.4089999999997</v>
      </c>
      <c r="AS170" s="6" t="s">
        <v>49</v>
      </c>
      <c r="AT170" s="6" t="s">
        <v>49</v>
      </c>
      <c r="AU170" s="6" t="s">
        <v>49</v>
      </c>
      <c r="AV170" s="6" t="s">
        <v>49</v>
      </c>
    </row>
    <row r="171" spans="1:48" ht="14.4" customHeight="1">
      <c r="A171" s="6" t="s">
        <v>680</v>
      </c>
      <c r="B171" s="6" t="s">
        <v>38</v>
      </c>
      <c r="C171" s="6" t="s">
        <v>38</v>
      </c>
      <c r="D171" s="1" t="s">
        <v>681</v>
      </c>
      <c r="E171" s="1" t="s">
        <v>40</v>
      </c>
      <c r="F171" s="6">
        <v>2000</v>
      </c>
      <c r="G171" s="1" t="s">
        <v>177</v>
      </c>
      <c r="H171" s="6" t="s">
        <v>178</v>
      </c>
      <c r="I171" s="6" t="s">
        <v>179</v>
      </c>
      <c r="J171" s="1" t="str">
        <f t="shared" si="2"/>
        <v>Ipomopsis_aggregata</v>
      </c>
      <c r="K171" s="6" t="s">
        <v>45</v>
      </c>
      <c r="L171" s="6" t="s">
        <v>46</v>
      </c>
      <c r="M171" s="6" t="s">
        <v>115</v>
      </c>
      <c r="N171" s="6" t="s">
        <v>116</v>
      </c>
      <c r="O171" s="6" t="s">
        <v>49</v>
      </c>
      <c r="P171" s="6" t="s">
        <v>49</v>
      </c>
      <c r="Q171" s="6" t="s">
        <v>49</v>
      </c>
      <c r="R171" s="6" t="s">
        <v>49</v>
      </c>
      <c r="S171" s="6" t="s">
        <v>268</v>
      </c>
      <c r="T171" s="6" t="s">
        <v>269</v>
      </c>
      <c r="U171" s="6" t="s">
        <v>251</v>
      </c>
      <c r="V171" s="6" t="s">
        <v>682</v>
      </c>
      <c r="W171" s="12">
        <v>38.955444</v>
      </c>
      <c r="X171" s="12">
        <v>-106.99119399999999</v>
      </c>
      <c r="Y171" s="6" t="s">
        <v>141</v>
      </c>
      <c r="Z171" s="6" t="s">
        <v>271</v>
      </c>
      <c r="AA171" s="1" t="s">
        <v>50</v>
      </c>
      <c r="AB171" s="1" t="s">
        <v>66</v>
      </c>
      <c r="AC171" s="1" t="s">
        <v>67</v>
      </c>
      <c r="AD171" s="1" t="s">
        <v>90</v>
      </c>
      <c r="AE171" s="1" t="s">
        <v>90</v>
      </c>
      <c r="AF171" s="1" t="s">
        <v>60</v>
      </c>
      <c r="AG171" s="1" t="s">
        <v>61</v>
      </c>
      <c r="AH171" s="6" t="s">
        <v>49</v>
      </c>
      <c r="AI171" s="6" t="s">
        <v>272</v>
      </c>
      <c r="AJ171" s="6" t="s">
        <v>49</v>
      </c>
      <c r="AK171" s="6">
        <v>46</v>
      </c>
      <c r="AL171" s="6" t="s">
        <v>49</v>
      </c>
      <c r="AM171" s="6">
        <v>22.804500000000001</v>
      </c>
      <c r="AN171" s="6">
        <v>15.568</v>
      </c>
      <c r="AO171" s="6" t="s">
        <v>49</v>
      </c>
      <c r="AP171" s="6">
        <v>0</v>
      </c>
      <c r="AQ171" s="6" t="s">
        <v>49</v>
      </c>
      <c r="AR171" s="6">
        <v>15.568</v>
      </c>
      <c r="AS171" s="6" t="s">
        <v>49</v>
      </c>
      <c r="AT171" s="6" t="s">
        <v>49</v>
      </c>
      <c r="AU171" s="6" t="s">
        <v>49</v>
      </c>
      <c r="AV171" s="6" t="s">
        <v>49</v>
      </c>
    </row>
    <row r="172" spans="1:48" ht="14.4" customHeight="1">
      <c r="A172" s="6" t="s">
        <v>680</v>
      </c>
      <c r="B172" s="6" t="s">
        <v>38</v>
      </c>
      <c r="C172" s="6" t="s">
        <v>38</v>
      </c>
      <c r="D172" s="1" t="s">
        <v>681</v>
      </c>
      <c r="E172" s="1" t="s">
        <v>40</v>
      </c>
      <c r="F172" s="6">
        <v>2000</v>
      </c>
      <c r="G172" s="1" t="s">
        <v>177</v>
      </c>
      <c r="H172" s="6" t="s">
        <v>178</v>
      </c>
      <c r="I172" s="6" t="s">
        <v>179</v>
      </c>
      <c r="J172" s="1" t="str">
        <f t="shared" si="2"/>
        <v>Ipomopsis_aggregata</v>
      </c>
      <c r="K172" s="6" t="s">
        <v>45</v>
      </c>
      <c r="L172" s="6" t="s">
        <v>46</v>
      </c>
      <c r="M172" s="6" t="s">
        <v>115</v>
      </c>
      <c r="N172" s="6" t="s">
        <v>116</v>
      </c>
      <c r="O172" s="6" t="s">
        <v>49</v>
      </c>
      <c r="P172" s="6" t="s">
        <v>49</v>
      </c>
      <c r="Q172" s="6" t="s">
        <v>49</v>
      </c>
      <c r="R172" s="6" t="s">
        <v>49</v>
      </c>
      <c r="S172" s="6" t="s">
        <v>268</v>
      </c>
      <c r="T172" s="6" t="s">
        <v>269</v>
      </c>
      <c r="U172" s="6" t="s">
        <v>251</v>
      </c>
      <c r="V172" s="6" t="s">
        <v>682</v>
      </c>
      <c r="W172" s="12">
        <v>38.955444</v>
      </c>
      <c r="X172" s="12">
        <v>-106.99119399999999</v>
      </c>
      <c r="Y172" s="6" t="s">
        <v>141</v>
      </c>
      <c r="Z172" s="6" t="s">
        <v>271</v>
      </c>
      <c r="AA172" s="1" t="s">
        <v>50</v>
      </c>
      <c r="AB172" s="1" t="s">
        <v>66</v>
      </c>
      <c r="AC172" s="1" t="s">
        <v>67</v>
      </c>
      <c r="AD172" s="1" t="s">
        <v>89</v>
      </c>
      <c r="AE172" s="1" t="s">
        <v>89</v>
      </c>
      <c r="AF172" s="1" t="s">
        <v>60</v>
      </c>
      <c r="AG172" s="1" t="s">
        <v>61</v>
      </c>
      <c r="AH172" s="6" t="s">
        <v>49</v>
      </c>
      <c r="AI172" s="6" t="s">
        <v>272</v>
      </c>
      <c r="AJ172" s="6" t="s">
        <v>49</v>
      </c>
      <c r="AK172" s="6">
        <v>46</v>
      </c>
      <c r="AL172" s="6" t="s">
        <v>49</v>
      </c>
      <c r="AM172" s="6">
        <v>2.6674000000000002</v>
      </c>
      <c r="AN172" s="6">
        <v>0.11899999999999999</v>
      </c>
      <c r="AO172" s="6" t="s">
        <v>49</v>
      </c>
      <c r="AP172" s="6">
        <v>0</v>
      </c>
      <c r="AQ172" s="6" t="s">
        <v>49</v>
      </c>
      <c r="AR172" s="6">
        <v>0.11899999999999999</v>
      </c>
      <c r="AS172" s="6" t="s">
        <v>49</v>
      </c>
      <c r="AT172" s="6" t="s">
        <v>49</v>
      </c>
      <c r="AU172" s="6" t="s">
        <v>49</v>
      </c>
      <c r="AV172" s="6" t="s">
        <v>49</v>
      </c>
    </row>
    <row r="173" spans="1:48" ht="14.4" customHeight="1">
      <c r="A173" s="6" t="s">
        <v>680</v>
      </c>
      <c r="B173" s="6" t="s">
        <v>38</v>
      </c>
      <c r="C173" s="6" t="s">
        <v>38</v>
      </c>
      <c r="D173" s="1" t="s">
        <v>681</v>
      </c>
      <c r="E173" s="1" t="s">
        <v>40</v>
      </c>
      <c r="F173" s="6">
        <v>2000</v>
      </c>
      <c r="G173" s="1" t="s">
        <v>177</v>
      </c>
      <c r="H173" s="6" t="s">
        <v>178</v>
      </c>
      <c r="I173" s="6" t="s">
        <v>179</v>
      </c>
      <c r="J173" s="1" t="str">
        <f t="shared" si="2"/>
        <v>Ipomopsis_aggregata</v>
      </c>
      <c r="K173" s="6" t="s">
        <v>45</v>
      </c>
      <c r="L173" s="6" t="s">
        <v>46</v>
      </c>
      <c r="M173" s="6" t="s">
        <v>115</v>
      </c>
      <c r="N173" s="6" t="s">
        <v>116</v>
      </c>
      <c r="O173" s="6" t="s">
        <v>49</v>
      </c>
      <c r="P173" s="6" t="s">
        <v>49</v>
      </c>
      <c r="Q173" s="6" t="s">
        <v>49</v>
      </c>
      <c r="R173" s="6" t="s">
        <v>49</v>
      </c>
      <c r="S173" s="6" t="s">
        <v>268</v>
      </c>
      <c r="T173" s="6" t="s">
        <v>269</v>
      </c>
      <c r="U173" s="6" t="s">
        <v>251</v>
      </c>
      <c r="V173" s="6" t="s">
        <v>682</v>
      </c>
      <c r="W173" s="12">
        <v>38.955444</v>
      </c>
      <c r="X173" s="12">
        <v>-106.99119399999999</v>
      </c>
      <c r="Y173" s="6" t="s">
        <v>141</v>
      </c>
      <c r="Z173" s="6" t="s">
        <v>271</v>
      </c>
      <c r="AA173" s="1" t="s">
        <v>50</v>
      </c>
      <c r="AB173" s="1" t="s">
        <v>185</v>
      </c>
      <c r="AC173" s="1" t="s">
        <v>186</v>
      </c>
      <c r="AD173" s="6" t="s">
        <v>187</v>
      </c>
      <c r="AE173" s="6" t="s">
        <v>187</v>
      </c>
      <c r="AF173" s="1" t="s">
        <v>60</v>
      </c>
      <c r="AG173" s="1" t="s">
        <v>173</v>
      </c>
      <c r="AH173" s="6" t="s">
        <v>49</v>
      </c>
      <c r="AI173" s="6" t="s">
        <v>272</v>
      </c>
      <c r="AJ173" s="6" t="s">
        <v>49</v>
      </c>
      <c r="AK173" s="6">
        <v>46</v>
      </c>
      <c r="AL173" s="6" t="s">
        <v>49</v>
      </c>
      <c r="AM173" s="6">
        <v>3.3908</v>
      </c>
      <c r="AN173" s="6">
        <v>2.5609999999999999</v>
      </c>
      <c r="AO173" s="6" t="s">
        <v>49</v>
      </c>
      <c r="AP173" s="6">
        <v>0</v>
      </c>
      <c r="AQ173" s="6" t="s">
        <v>49</v>
      </c>
      <c r="AR173" s="6">
        <v>2.5609999999999999</v>
      </c>
      <c r="AS173" s="6" t="s">
        <v>49</v>
      </c>
      <c r="AT173" s="6" t="s">
        <v>49</v>
      </c>
      <c r="AU173" s="6" t="s">
        <v>49</v>
      </c>
      <c r="AV173" s="6" t="s">
        <v>49</v>
      </c>
    </row>
    <row r="174" spans="1:48" ht="14.4" customHeight="1">
      <c r="A174" s="6" t="s">
        <v>680</v>
      </c>
      <c r="B174" s="6" t="s">
        <v>38</v>
      </c>
      <c r="C174" s="6" t="s">
        <v>38</v>
      </c>
      <c r="D174" s="1" t="s">
        <v>681</v>
      </c>
      <c r="E174" s="1" t="s">
        <v>40</v>
      </c>
      <c r="F174" s="6">
        <v>2000</v>
      </c>
      <c r="G174" s="1" t="s">
        <v>177</v>
      </c>
      <c r="H174" s="6" t="s">
        <v>178</v>
      </c>
      <c r="I174" s="6" t="s">
        <v>179</v>
      </c>
      <c r="J174" s="1" t="str">
        <f t="shared" si="2"/>
        <v>Ipomopsis_aggregata</v>
      </c>
      <c r="K174" s="6" t="s">
        <v>45</v>
      </c>
      <c r="L174" s="6" t="s">
        <v>46</v>
      </c>
      <c r="M174" s="6" t="s">
        <v>115</v>
      </c>
      <c r="N174" s="6" t="s">
        <v>116</v>
      </c>
      <c r="O174" s="6" t="s">
        <v>49</v>
      </c>
      <c r="P174" s="6" t="s">
        <v>49</v>
      </c>
      <c r="Q174" s="6" t="s">
        <v>49</v>
      </c>
      <c r="R174" s="6" t="s">
        <v>49</v>
      </c>
      <c r="S174" s="6" t="s">
        <v>268</v>
      </c>
      <c r="T174" s="6" t="s">
        <v>269</v>
      </c>
      <c r="U174" s="6" t="s">
        <v>251</v>
      </c>
      <c r="V174" s="6" t="s">
        <v>682</v>
      </c>
      <c r="W174" s="12">
        <v>38.955444</v>
      </c>
      <c r="X174" s="12">
        <v>-106.99119399999999</v>
      </c>
      <c r="Y174" s="6" t="s">
        <v>141</v>
      </c>
      <c r="Z174" s="6" t="s">
        <v>271</v>
      </c>
      <c r="AA174" s="1" t="s">
        <v>50</v>
      </c>
      <c r="AB174" s="1" t="s">
        <v>96</v>
      </c>
      <c r="AC174" s="1" t="s">
        <v>299</v>
      </c>
      <c r="AD174" s="1" t="s">
        <v>300</v>
      </c>
      <c r="AE174" s="1" t="s">
        <v>300</v>
      </c>
      <c r="AF174" s="1" t="s">
        <v>60</v>
      </c>
      <c r="AG174" s="1" t="s">
        <v>543</v>
      </c>
      <c r="AH174" s="6" t="s">
        <v>49</v>
      </c>
      <c r="AI174" s="6" t="s">
        <v>272</v>
      </c>
      <c r="AJ174" s="6" t="s">
        <v>49</v>
      </c>
      <c r="AK174" s="6">
        <v>46</v>
      </c>
      <c r="AL174" s="6" t="s">
        <v>49</v>
      </c>
      <c r="AM174" s="6">
        <v>0.66369999999999996</v>
      </c>
      <c r="AN174" s="6">
        <v>3.9E-2</v>
      </c>
      <c r="AO174" s="6" t="s">
        <v>49</v>
      </c>
      <c r="AP174" s="6">
        <v>0</v>
      </c>
      <c r="AQ174" s="6" t="s">
        <v>49</v>
      </c>
      <c r="AR174" s="6">
        <v>3.9E-2</v>
      </c>
      <c r="AS174" s="6" t="s">
        <v>49</v>
      </c>
      <c r="AT174" s="6" t="s">
        <v>49</v>
      </c>
      <c r="AU174" s="6" t="s">
        <v>49</v>
      </c>
      <c r="AV174" s="6" t="s">
        <v>49</v>
      </c>
    </row>
    <row r="175" spans="1:48" ht="14.4" customHeight="1">
      <c r="A175" s="6" t="s">
        <v>680</v>
      </c>
      <c r="B175" s="6" t="s">
        <v>38</v>
      </c>
      <c r="C175" s="6" t="s">
        <v>38</v>
      </c>
      <c r="D175" s="1" t="s">
        <v>681</v>
      </c>
      <c r="E175" s="1" t="s">
        <v>40</v>
      </c>
      <c r="F175" s="6">
        <v>2000</v>
      </c>
      <c r="G175" s="1" t="s">
        <v>177</v>
      </c>
      <c r="H175" s="6" t="s">
        <v>178</v>
      </c>
      <c r="I175" s="6" t="s">
        <v>179</v>
      </c>
      <c r="J175" s="1" t="str">
        <f t="shared" si="2"/>
        <v>Ipomopsis_aggregata</v>
      </c>
      <c r="K175" s="6" t="s">
        <v>45</v>
      </c>
      <c r="L175" s="6" t="s">
        <v>46</v>
      </c>
      <c r="M175" s="6" t="s">
        <v>115</v>
      </c>
      <c r="N175" s="6" t="s">
        <v>116</v>
      </c>
      <c r="O175" s="6" t="s">
        <v>49</v>
      </c>
      <c r="P175" s="6" t="s">
        <v>49</v>
      </c>
      <c r="Q175" s="6" t="s">
        <v>49</v>
      </c>
      <c r="R175" s="6" t="s">
        <v>49</v>
      </c>
      <c r="S175" s="6" t="s">
        <v>268</v>
      </c>
      <c r="T175" s="6" t="s">
        <v>269</v>
      </c>
      <c r="U175" s="6" t="s">
        <v>251</v>
      </c>
      <c r="V175" s="6" t="s">
        <v>682</v>
      </c>
      <c r="W175" s="12">
        <v>38.955444</v>
      </c>
      <c r="X175" s="12">
        <v>-106.99119399999999</v>
      </c>
      <c r="Y175" s="6" t="s">
        <v>141</v>
      </c>
      <c r="Z175" s="6" t="s">
        <v>271</v>
      </c>
      <c r="AA175" s="1" t="s">
        <v>49</v>
      </c>
      <c r="AB175" s="1" t="s">
        <v>49</v>
      </c>
      <c r="AC175" s="1" t="s">
        <v>49</v>
      </c>
      <c r="AD175" s="6" t="s">
        <v>122</v>
      </c>
      <c r="AE175" s="1" t="s">
        <v>90</v>
      </c>
      <c r="AF175" s="1" t="s">
        <v>49</v>
      </c>
      <c r="AG175" s="1" t="s">
        <v>49</v>
      </c>
      <c r="AH175" s="6" t="s">
        <v>49</v>
      </c>
      <c r="AI175" s="6" t="s">
        <v>272</v>
      </c>
      <c r="AJ175" s="6" t="s">
        <v>49</v>
      </c>
      <c r="AK175" s="6">
        <v>46</v>
      </c>
      <c r="AL175" s="6" t="s">
        <v>49</v>
      </c>
      <c r="AM175" s="6" t="s">
        <v>49</v>
      </c>
      <c r="AN175" s="6">
        <v>43.533000000000001</v>
      </c>
      <c r="AO175" s="6" t="s">
        <v>49</v>
      </c>
      <c r="AP175" s="6">
        <v>0</v>
      </c>
      <c r="AQ175" s="6" t="s">
        <v>49</v>
      </c>
      <c r="AR175" s="6">
        <v>43.533000000000001</v>
      </c>
      <c r="AS175" s="6" t="s">
        <v>49</v>
      </c>
      <c r="AT175" s="6" t="s">
        <v>49</v>
      </c>
      <c r="AU175" s="6" t="s">
        <v>49</v>
      </c>
      <c r="AV175" s="6" t="s">
        <v>49</v>
      </c>
    </row>
    <row r="176" spans="1:48" ht="14.4" customHeight="1">
      <c r="A176" s="6" t="s">
        <v>680</v>
      </c>
      <c r="B176" s="6" t="s">
        <v>38</v>
      </c>
      <c r="C176" s="6" t="s">
        <v>38</v>
      </c>
      <c r="D176" s="1" t="s">
        <v>681</v>
      </c>
      <c r="E176" s="1" t="s">
        <v>40</v>
      </c>
      <c r="F176" s="6">
        <v>2000</v>
      </c>
      <c r="G176" s="1" t="s">
        <v>177</v>
      </c>
      <c r="H176" s="6" t="s">
        <v>178</v>
      </c>
      <c r="I176" s="6" t="s">
        <v>179</v>
      </c>
      <c r="J176" s="1" t="str">
        <f t="shared" si="2"/>
        <v>Ipomopsis_aggregata</v>
      </c>
      <c r="K176" s="6" t="s">
        <v>45</v>
      </c>
      <c r="L176" s="6" t="s">
        <v>46</v>
      </c>
      <c r="M176" s="6" t="s">
        <v>115</v>
      </c>
      <c r="N176" s="6" t="s">
        <v>116</v>
      </c>
      <c r="O176" s="6" t="s">
        <v>49</v>
      </c>
      <c r="P176" s="6" t="s">
        <v>49</v>
      </c>
      <c r="Q176" s="6" t="s">
        <v>49</v>
      </c>
      <c r="R176" s="6" t="s">
        <v>49</v>
      </c>
      <c r="S176" s="6" t="s">
        <v>268</v>
      </c>
      <c r="T176" s="6" t="s">
        <v>269</v>
      </c>
      <c r="U176" s="6" t="s">
        <v>251</v>
      </c>
      <c r="V176" s="6" t="s">
        <v>682</v>
      </c>
      <c r="W176" s="12">
        <v>38.955444</v>
      </c>
      <c r="X176" s="12">
        <v>-106.99119399999999</v>
      </c>
      <c r="Y176" s="6" t="s">
        <v>141</v>
      </c>
      <c r="Z176" s="6" t="s">
        <v>271</v>
      </c>
      <c r="AA176" s="1" t="s">
        <v>49</v>
      </c>
      <c r="AB176" s="1" t="s">
        <v>49</v>
      </c>
      <c r="AC176" s="1" t="s">
        <v>49</v>
      </c>
      <c r="AD176" s="6" t="s">
        <v>122</v>
      </c>
      <c r="AE176" s="1" t="s">
        <v>89</v>
      </c>
      <c r="AF176" s="1" t="s">
        <v>49</v>
      </c>
      <c r="AG176" s="1" t="s">
        <v>49</v>
      </c>
      <c r="AH176" s="6" t="s">
        <v>49</v>
      </c>
      <c r="AI176" s="6" t="s">
        <v>272</v>
      </c>
      <c r="AJ176" s="6" t="s">
        <v>49</v>
      </c>
      <c r="AK176" s="6">
        <v>46</v>
      </c>
      <c r="AL176" s="6" t="s">
        <v>49</v>
      </c>
      <c r="AM176" s="6" t="s">
        <v>49</v>
      </c>
      <c r="AN176" s="6">
        <v>4.91</v>
      </c>
      <c r="AO176" s="6" t="s">
        <v>49</v>
      </c>
      <c r="AP176" s="6">
        <v>0</v>
      </c>
      <c r="AQ176" s="6" t="s">
        <v>49</v>
      </c>
      <c r="AR176" s="6">
        <v>4.91</v>
      </c>
      <c r="AS176" s="6" t="s">
        <v>49</v>
      </c>
      <c r="AT176" s="6" t="s">
        <v>49</v>
      </c>
      <c r="AU176" s="6" t="s">
        <v>49</v>
      </c>
      <c r="AV176" s="6" t="s">
        <v>49</v>
      </c>
    </row>
    <row r="177" spans="1:48" ht="14.4" customHeight="1">
      <c r="A177" s="6" t="s">
        <v>680</v>
      </c>
      <c r="B177" s="6" t="s">
        <v>38</v>
      </c>
      <c r="C177" s="6" t="s">
        <v>38</v>
      </c>
      <c r="D177" s="1" t="s">
        <v>681</v>
      </c>
      <c r="E177" s="1" t="s">
        <v>40</v>
      </c>
      <c r="F177" s="6">
        <v>2000</v>
      </c>
      <c r="G177" s="1" t="s">
        <v>177</v>
      </c>
      <c r="H177" s="6" t="s">
        <v>178</v>
      </c>
      <c r="I177" s="6" t="s">
        <v>179</v>
      </c>
      <c r="J177" s="1" t="str">
        <f t="shared" si="2"/>
        <v>Ipomopsis_aggregata</v>
      </c>
      <c r="K177" s="6" t="s">
        <v>45</v>
      </c>
      <c r="L177" s="6" t="s">
        <v>46</v>
      </c>
      <c r="M177" s="6" t="s">
        <v>115</v>
      </c>
      <c r="N177" s="6" t="s">
        <v>116</v>
      </c>
      <c r="O177" s="6" t="s">
        <v>49</v>
      </c>
      <c r="P177" s="6" t="s">
        <v>49</v>
      </c>
      <c r="Q177" s="6" t="s">
        <v>49</v>
      </c>
      <c r="R177" s="6" t="s">
        <v>49</v>
      </c>
      <c r="S177" s="6" t="s">
        <v>268</v>
      </c>
      <c r="T177" s="6" t="s">
        <v>269</v>
      </c>
      <c r="U177" s="6" t="s">
        <v>251</v>
      </c>
      <c r="V177" s="6" t="s">
        <v>682</v>
      </c>
      <c r="W177" s="12">
        <v>38.955444</v>
      </c>
      <c r="X177" s="12">
        <v>-106.99119399999999</v>
      </c>
      <c r="Y177" s="6" t="s">
        <v>141</v>
      </c>
      <c r="Z177" s="6" t="s">
        <v>271</v>
      </c>
      <c r="AA177" s="1" t="s">
        <v>49</v>
      </c>
      <c r="AB177" s="1" t="s">
        <v>49</v>
      </c>
      <c r="AC177" s="1" t="s">
        <v>49</v>
      </c>
      <c r="AD177" s="6" t="s">
        <v>122</v>
      </c>
      <c r="AE177" s="6" t="s">
        <v>187</v>
      </c>
      <c r="AF177" s="1" t="s">
        <v>49</v>
      </c>
      <c r="AG177" s="1" t="s">
        <v>49</v>
      </c>
      <c r="AH177" s="6" t="s">
        <v>49</v>
      </c>
      <c r="AI177" s="6" t="s">
        <v>272</v>
      </c>
      <c r="AJ177" s="6" t="s">
        <v>49</v>
      </c>
      <c r="AK177" s="6">
        <v>46</v>
      </c>
      <c r="AL177" s="6" t="s">
        <v>49</v>
      </c>
      <c r="AM177" s="6" t="s">
        <v>49</v>
      </c>
      <c r="AN177" s="6">
        <v>-14.067</v>
      </c>
      <c r="AO177" s="6" t="s">
        <v>49</v>
      </c>
      <c r="AP177" s="6">
        <v>0</v>
      </c>
      <c r="AQ177" s="6" t="s">
        <v>49</v>
      </c>
      <c r="AR177" s="6">
        <v>-14.067</v>
      </c>
      <c r="AS177" s="6" t="s">
        <v>49</v>
      </c>
      <c r="AT177" s="6" t="s">
        <v>49</v>
      </c>
      <c r="AU177" s="6" t="s">
        <v>49</v>
      </c>
      <c r="AV177" s="6" t="s">
        <v>49</v>
      </c>
    </row>
    <row r="178" spans="1:48" ht="14.4" customHeight="1">
      <c r="A178" s="6" t="s">
        <v>680</v>
      </c>
      <c r="B178" s="6" t="s">
        <v>38</v>
      </c>
      <c r="C178" s="6" t="s">
        <v>38</v>
      </c>
      <c r="D178" s="1" t="s">
        <v>681</v>
      </c>
      <c r="E178" s="1" t="s">
        <v>40</v>
      </c>
      <c r="F178" s="6">
        <v>2000</v>
      </c>
      <c r="G178" s="1" t="s">
        <v>177</v>
      </c>
      <c r="H178" s="6" t="s">
        <v>178</v>
      </c>
      <c r="I178" s="6" t="s">
        <v>179</v>
      </c>
      <c r="J178" s="1" t="str">
        <f t="shared" si="2"/>
        <v>Ipomopsis_aggregata</v>
      </c>
      <c r="K178" s="6" t="s">
        <v>45</v>
      </c>
      <c r="L178" s="6" t="s">
        <v>46</v>
      </c>
      <c r="M178" s="6" t="s">
        <v>115</v>
      </c>
      <c r="N178" s="6" t="s">
        <v>116</v>
      </c>
      <c r="O178" s="6" t="s">
        <v>49</v>
      </c>
      <c r="P178" s="6" t="s">
        <v>49</v>
      </c>
      <c r="Q178" s="6" t="s">
        <v>49</v>
      </c>
      <c r="R178" s="6" t="s">
        <v>49</v>
      </c>
      <c r="S178" s="6" t="s">
        <v>268</v>
      </c>
      <c r="T178" s="6" t="s">
        <v>269</v>
      </c>
      <c r="U178" s="6" t="s">
        <v>251</v>
      </c>
      <c r="V178" s="6" t="s">
        <v>682</v>
      </c>
      <c r="W178" s="12">
        <v>38.955444</v>
      </c>
      <c r="X178" s="12">
        <v>-106.99119399999999</v>
      </c>
      <c r="Y178" s="6" t="s">
        <v>141</v>
      </c>
      <c r="Z178" s="6" t="s">
        <v>271</v>
      </c>
      <c r="AA178" s="1" t="s">
        <v>49</v>
      </c>
      <c r="AB178" s="1" t="s">
        <v>49</v>
      </c>
      <c r="AC178" s="1" t="s">
        <v>49</v>
      </c>
      <c r="AD178" s="6" t="s">
        <v>122</v>
      </c>
      <c r="AE178" s="1" t="s">
        <v>300</v>
      </c>
      <c r="AF178" s="1" t="s">
        <v>49</v>
      </c>
      <c r="AG178" s="1" t="s">
        <v>49</v>
      </c>
      <c r="AH178" s="6" t="s">
        <v>49</v>
      </c>
      <c r="AI178" s="6" t="s">
        <v>272</v>
      </c>
      <c r="AJ178" s="6" t="s">
        <v>49</v>
      </c>
      <c r="AK178" s="6">
        <v>46</v>
      </c>
      <c r="AL178" s="6" t="s">
        <v>49</v>
      </c>
      <c r="AM178" s="6" t="s">
        <v>49</v>
      </c>
      <c r="AN178" s="6">
        <v>-1.2669999999999999</v>
      </c>
      <c r="AO178" s="6" t="s">
        <v>49</v>
      </c>
      <c r="AP178" s="6">
        <v>0</v>
      </c>
      <c r="AQ178" s="6" t="s">
        <v>49</v>
      </c>
      <c r="AR178" s="6">
        <v>-1.2669999999999999</v>
      </c>
      <c r="AS178" s="6" t="s">
        <v>49</v>
      </c>
      <c r="AT178" s="6" t="s">
        <v>49</v>
      </c>
      <c r="AU178" s="6" t="s">
        <v>49</v>
      </c>
      <c r="AV178" s="6" t="s">
        <v>49</v>
      </c>
    </row>
    <row r="179" spans="1:48" ht="14.4" customHeight="1">
      <c r="A179" s="6" t="s">
        <v>680</v>
      </c>
      <c r="B179" s="6" t="s">
        <v>38</v>
      </c>
      <c r="C179" s="6" t="s">
        <v>38</v>
      </c>
      <c r="D179" s="1" t="s">
        <v>681</v>
      </c>
      <c r="E179" s="1" t="s">
        <v>40</v>
      </c>
      <c r="F179" s="6">
        <v>2000</v>
      </c>
      <c r="G179" s="1" t="s">
        <v>177</v>
      </c>
      <c r="H179" s="6" t="s">
        <v>178</v>
      </c>
      <c r="I179" s="6" t="s">
        <v>179</v>
      </c>
      <c r="J179" s="1" t="str">
        <f t="shared" si="2"/>
        <v>Ipomopsis_aggregata</v>
      </c>
      <c r="K179" s="6" t="s">
        <v>45</v>
      </c>
      <c r="L179" s="6" t="s">
        <v>46</v>
      </c>
      <c r="M179" s="6" t="s">
        <v>115</v>
      </c>
      <c r="N179" s="6" t="s">
        <v>116</v>
      </c>
      <c r="O179" s="6" t="s">
        <v>49</v>
      </c>
      <c r="P179" s="6" t="s">
        <v>49</v>
      </c>
      <c r="Q179" s="6" t="s">
        <v>49</v>
      </c>
      <c r="R179" s="6" t="s">
        <v>49</v>
      </c>
      <c r="S179" s="6" t="s">
        <v>268</v>
      </c>
      <c r="T179" s="6" t="s">
        <v>269</v>
      </c>
      <c r="U179" s="6" t="s">
        <v>251</v>
      </c>
      <c r="V179" s="6" t="s">
        <v>682</v>
      </c>
      <c r="W179" s="12">
        <v>38.955444</v>
      </c>
      <c r="X179" s="12">
        <v>-106.99119399999999</v>
      </c>
      <c r="Y179" s="6" t="s">
        <v>141</v>
      </c>
      <c r="Z179" s="6" t="s">
        <v>271</v>
      </c>
      <c r="AA179" s="1" t="s">
        <v>49</v>
      </c>
      <c r="AB179" s="1" t="s">
        <v>49</v>
      </c>
      <c r="AC179" s="1" t="s">
        <v>49</v>
      </c>
      <c r="AD179" s="1" t="s">
        <v>90</v>
      </c>
      <c r="AE179" s="1" t="s">
        <v>89</v>
      </c>
      <c r="AF179" s="1" t="s">
        <v>49</v>
      </c>
      <c r="AG179" s="1" t="s">
        <v>49</v>
      </c>
      <c r="AH179" s="6" t="s">
        <v>49</v>
      </c>
      <c r="AI179" s="6" t="s">
        <v>272</v>
      </c>
      <c r="AJ179" s="6" t="s">
        <v>49</v>
      </c>
      <c r="AK179" s="6">
        <v>46</v>
      </c>
      <c r="AL179" s="6" t="s">
        <v>49</v>
      </c>
      <c r="AM179" s="6" t="s">
        <v>49</v>
      </c>
      <c r="AN179" s="6">
        <v>0.65200000000000002</v>
      </c>
      <c r="AO179" s="6" t="s">
        <v>49</v>
      </c>
      <c r="AP179" s="6">
        <v>0</v>
      </c>
      <c r="AQ179" s="6" t="s">
        <v>49</v>
      </c>
      <c r="AR179" s="6">
        <v>0.65200000000000002</v>
      </c>
      <c r="AS179" s="6" t="s">
        <v>49</v>
      </c>
      <c r="AT179" s="6" t="s">
        <v>49</v>
      </c>
      <c r="AU179" s="6" t="s">
        <v>49</v>
      </c>
      <c r="AV179" s="6" t="s">
        <v>49</v>
      </c>
    </row>
    <row r="180" spans="1:48" ht="14.4" customHeight="1">
      <c r="A180" s="6" t="s">
        <v>680</v>
      </c>
      <c r="B180" s="6" t="s">
        <v>38</v>
      </c>
      <c r="C180" s="6" t="s">
        <v>38</v>
      </c>
      <c r="D180" s="1" t="s">
        <v>681</v>
      </c>
      <c r="E180" s="1" t="s">
        <v>40</v>
      </c>
      <c r="F180" s="6">
        <v>2000</v>
      </c>
      <c r="G180" s="1" t="s">
        <v>177</v>
      </c>
      <c r="H180" s="6" t="s">
        <v>178</v>
      </c>
      <c r="I180" s="6" t="s">
        <v>179</v>
      </c>
      <c r="J180" s="1" t="str">
        <f t="shared" si="2"/>
        <v>Ipomopsis_aggregata</v>
      </c>
      <c r="K180" s="6" t="s">
        <v>45</v>
      </c>
      <c r="L180" s="6" t="s">
        <v>46</v>
      </c>
      <c r="M180" s="6" t="s">
        <v>115</v>
      </c>
      <c r="N180" s="6" t="s">
        <v>116</v>
      </c>
      <c r="O180" s="6" t="s">
        <v>49</v>
      </c>
      <c r="P180" s="6" t="s">
        <v>49</v>
      </c>
      <c r="Q180" s="6" t="s">
        <v>49</v>
      </c>
      <c r="R180" s="6" t="s">
        <v>49</v>
      </c>
      <c r="S180" s="6" t="s">
        <v>268</v>
      </c>
      <c r="T180" s="6" t="s">
        <v>269</v>
      </c>
      <c r="U180" s="6" t="s">
        <v>251</v>
      </c>
      <c r="V180" s="6" t="s">
        <v>682</v>
      </c>
      <c r="W180" s="12">
        <v>38.955444</v>
      </c>
      <c r="X180" s="12">
        <v>-106.99119399999999</v>
      </c>
      <c r="Y180" s="6" t="s">
        <v>141</v>
      </c>
      <c r="Z180" s="6" t="s">
        <v>271</v>
      </c>
      <c r="AA180" s="1" t="s">
        <v>49</v>
      </c>
      <c r="AB180" s="1" t="s">
        <v>49</v>
      </c>
      <c r="AC180" s="1" t="s">
        <v>49</v>
      </c>
      <c r="AD180" s="1" t="s">
        <v>90</v>
      </c>
      <c r="AE180" s="6" t="s">
        <v>187</v>
      </c>
      <c r="AF180" s="1" t="s">
        <v>49</v>
      </c>
      <c r="AG180" s="1" t="s">
        <v>49</v>
      </c>
      <c r="AH180" s="6" t="s">
        <v>49</v>
      </c>
      <c r="AI180" s="6" t="s">
        <v>272</v>
      </c>
      <c r="AJ180" s="6" t="s">
        <v>49</v>
      </c>
      <c r="AK180" s="6">
        <v>46</v>
      </c>
      <c r="AL180" s="6" t="s">
        <v>49</v>
      </c>
      <c r="AM180" s="6" t="s">
        <v>49</v>
      </c>
      <c r="AN180" s="6">
        <v>0.72199999999999998</v>
      </c>
      <c r="AO180" s="6" t="s">
        <v>49</v>
      </c>
      <c r="AP180" s="6">
        <v>0</v>
      </c>
      <c r="AQ180" s="6" t="s">
        <v>49</v>
      </c>
      <c r="AR180" s="6">
        <v>0.72199999999999998</v>
      </c>
      <c r="AS180" s="6" t="s">
        <v>49</v>
      </c>
      <c r="AT180" s="6" t="s">
        <v>49</v>
      </c>
      <c r="AU180" s="6" t="s">
        <v>49</v>
      </c>
      <c r="AV180" s="6" t="s">
        <v>49</v>
      </c>
    </row>
    <row r="181" spans="1:48" ht="14.4" customHeight="1">
      <c r="A181" s="6" t="s">
        <v>680</v>
      </c>
      <c r="B181" s="6" t="s">
        <v>38</v>
      </c>
      <c r="C181" s="6" t="s">
        <v>38</v>
      </c>
      <c r="D181" s="1" t="s">
        <v>681</v>
      </c>
      <c r="E181" s="1" t="s">
        <v>40</v>
      </c>
      <c r="F181" s="6">
        <v>2000</v>
      </c>
      <c r="G181" s="1" t="s">
        <v>177</v>
      </c>
      <c r="H181" s="6" t="s">
        <v>178</v>
      </c>
      <c r="I181" s="6" t="s">
        <v>179</v>
      </c>
      <c r="J181" s="1" t="str">
        <f t="shared" si="2"/>
        <v>Ipomopsis_aggregata</v>
      </c>
      <c r="K181" s="6" t="s">
        <v>45</v>
      </c>
      <c r="L181" s="6" t="s">
        <v>46</v>
      </c>
      <c r="M181" s="6" t="s">
        <v>115</v>
      </c>
      <c r="N181" s="6" t="s">
        <v>116</v>
      </c>
      <c r="O181" s="6" t="s">
        <v>49</v>
      </c>
      <c r="P181" s="6" t="s">
        <v>49</v>
      </c>
      <c r="Q181" s="6" t="s">
        <v>49</v>
      </c>
      <c r="R181" s="6" t="s">
        <v>49</v>
      </c>
      <c r="S181" s="6" t="s">
        <v>268</v>
      </c>
      <c r="T181" s="6" t="s">
        <v>269</v>
      </c>
      <c r="U181" s="6" t="s">
        <v>251</v>
      </c>
      <c r="V181" s="6" t="s">
        <v>682</v>
      </c>
      <c r="W181" s="12">
        <v>38.955444</v>
      </c>
      <c r="X181" s="12">
        <v>-106.99119399999999</v>
      </c>
      <c r="Y181" s="6" t="s">
        <v>141</v>
      </c>
      <c r="Z181" s="6" t="s">
        <v>271</v>
      </c>
      <c r="AA181" s="1" t="s">
        <v>49</v>
      </c>
      <c r="AB181" s="1" t="s">
        <v>49</v>
      </c>
      <c r="AC181" s="1" t="s">
        <v>49</v>
      </c>
      <c r="AD181" s="1" t="s">
        <v>90</v>
      </c>
      <c r="AE181" s="1" t="s">
        <v>300</v>
      </c>
      <c r="AF181" s="1" t="s">
        <v>49</v>
      </c>
      <c r="AG181" s="1" t="s">
        <v>49</v>
      </c>
      <c r="AH181" s="6" t="s">
        <v>49</v>
      </c>
      <c r="AI181" s="6" t="s">
        <v>272</v>
      </c>
      <c r="AJ181" s="6" t="s">
        <v>49</v>
      </c>
      <c r="AK181" s="6">
        <v>46</v>
      </c>
      <c r="AL181" s="6" t="s">
        <v>49</v>
      </c>
      <c r="AM181" s="6" t="s">
        <v>49</v>
      </c>
      <c r="AN181" s="6">
        <v>8.0000000000000002E-3</v>
      </c>
      <c r="AO181" s="6" t="s">
        <v>49</v>
      </c>
      <c r="AP181" s="6">
        <v>0</v>
      </c>
      <c r="AQ181" s="6" t="s">
        <v>49</v>
      </c>
      <c r="AR181" s="6">
        <v>8.0000000000000002E-3</v>
      </c>
      <c r="AS181" s="6" t="s">
        <v>49</v>
      </c>
      <c r="AT181" s="6" t="s">
        <v>49</v>
      </c>
      <c r="AU181" s="6" t="s">
        <v>49</v>
      </c>
      <c r="AV181" s="6" t="s">
        <v>49</v>
      </c>
    </row>
    <row r="182" spans="1:48" ht="14.4" customHeight="1">
      <c r="A182" s="6" t="s">
        <v>680</v>
      </c>
      <c r="B182" s="6" t="s">
        <v>38</v>
      </c>
      <c r="C182" s="6" t="s">
        <v>38</v>
      </c>
      <c r="D182" s="1" t="s">
        <v>681</v>
      </c>
      <c r="E182" s="1" t="s">
        <v>40</v>
      </c>
      <c r="F182" s="6">
        <v>2000</v>
      </c>
      <c r="G182" s="1" t="s">
        <v>177</v>
      </c>
      <c r="H182" s="6" t="s">
        <v>178</v>
      </c>
      <c r="I182" s="6" t="s">
        <v>179</v>
      </c>
      <c r="J182" s="1" t="str">
        <f t="shared" si="2"/>
        <v>Ipomopsis_aggregata</v>
      </c>
      <c r="K182" s="6" t="s">
        <v>45</v>
      </c>
      <c r="L182" s="6" t="s">
        <v>46</v>
      </c>
      <c r="M182" s="6" t="s">
        <v>115</v>
      </c>
      <c r="N182" s="6" t="s">
        <v>116</v>
      </c>
      <c r="O182" s="6" t="s">
        <v>49</v>
      </c>
      <c r="P182" s="6" t="s">
        <v>49</v>
      </c>
      <c r="Q182" s="6" t="s">
        <v>49</v>
      </c>
      <c r="R182" s="6" t="s">
        <v>49</v>
      </c>
      <c r="S182" s="6" t="s">
        <v>268</v>
      </c>
      <c r="T182" s="6" t="s">
        <v>269</v>
      </c>
      <c r="U182" s="6" t="s">
        <v>251</v>
      </c>
      <c r="V182" s="6" t="s">
        <v>682</v>
      </c>
      <c r="W182" s="12">
        <v>38.955444</v>
      </c>
      <c r="X182" s="12">
        <v>-106.99119399999999</v>
      </c>
      <c r="Y182" s="6" t="s">
        <v>141</v>
      </c>
      <c r="Z182" s="6" t="s">
        <v>271</v>
      </c>
      <c r="AA182" s="1" t="s">
        <v>49</v>
      </c>
      <c r="AB182" s="1" t="s">
        <v>49</v>
      </c>
      <c r="AC182" s="1" t="s">
        <v>49</v>
      </c>
      <c r="AD182" s="1" t="s">
        <v>89</v>
      </c>
      <c r="AE182" s="6" t="s">
        <v>187</v>
      </c>
      <c r="AF182" s="1" t="s">
        <v>49</v>
      </c>
      <c r="AG182" s="1" t="s">
        <v>49</v>
      </c>
      <c r="AH182" s="6" t="s">
        <v>49</v>
      </c>
      <c r="AI182" s="6" t="s">
        <v>272</v>
      </c>
      <c r="AJ182" s="6" t="s">
        <v>49</v>
      </c>
      <c r="AK182" s="6">
        <v>46</v>
      </c>
      <c r="AL182" s="6" t="s">
        <v>49</v>
      </c>
      <c r="AM182" s="6" t="s">
        <v>49</v>
      </c>
      <c r="AN182" s="6">
        <v>-4.5999999999999999E-2</v>
      </c>
      <c r="AO182" s="6" t="s">
        <v>49</v>
      </c>
      <c r="AP182" s="6">
        <v>0</v>
      </c>
      <c r="AQ182" s="6" t="s">
        <v>49</v>
      </c>
      <c r="AR182" s="6">
        <v>-4.5999999999999999E-2</v>
      </c>
      <c r="AS182" s="6" t="s">
        <v>49</v>
      </c>
      <c r="AT182" s="6" t="s">
        <v>49</v>
      </c>
      <c r="AU182" s="6" t="s">
        <v>49</v>
      </c>
      <c r="AV182" s="6" t="s">
        <v>49</v>
      </c>
    </row>
    <row r="183" spans="1:48" ht="14.4" customHeight="1">
      <c r="A183" s="6" t="s">
        <v>680</v>
      </c>
      <c r="B183" s="6" t="s">
        <v>38</v>
      </c>
      <c r="C183" s="6" t="s">
        <v>38</v>
      </c>
      <c r="D183" s="1" t="s">
        <v>681</v>
      </c>
      <c r="E183" s="1" t="s">
        <v>40</v>
      </c>
      <c r="F183" s="6">
        <v>2000</v>
      </c>
      <c r="G183" s="1" t="s">
        <v>177</v>
      </c>
      <c r="H183" s="6" t="s">
        <v>178</v>
      </c>
      <c r="I183" s="6" t="s">
        <v>179</v>
      </c>
      <c r="J183" s="1" t="str">
        <f t="shared" si="2"/>
        <v>Ipomopsis_aggregata</v>
      </c>
      <c r="K183" s="6" t="s">
        <v>45</v>
      </c>
      <c r="L183" s="6" t="s">
        <v>46</v>
      </c>
      <c r="M183" s="6" t="s">
        <v>115</v>
      </c>
      <c r="N183" s="6" t="s">
        <v>116</v>
      </c>
      <c r="O183" s="6" t="s">
        <v>49</v>
      </c>
      <c r="P183" s="6" t="s">
        <v>49</v>
      </c>
      <c r="Q183" s="6" t="s">
        <v>49</v>
      </c>
      <c r="R183" s="6" t="s">
        <v>49</v>
      </c>
      <c r="S183" s="6" t="s">
        <v>268</v>
      </c>
      <c r="T183" s="6" t="s">
        <v>269</v>
      </c>
      <c r="U183" s="6" t="s">
        <v>251</v>
      </c>
      <c r="V183" s="6" t="s">
        <v>682</v>
      </c>
      <c r="W183" s="12">
        <v>38.955444</v>
      </c>
      <c r="X183" s="12">
        <v>-106.99119399999999</v>
      </c>
      <c r="Y183" s="6" t="s">
        <v>141</v>
      </c>
      <c r="Z183" s="6" t="s">
        <v>271</v>
      </c>
      <c r="AA183" s="1" t="s">
        <v>49</v>
      </c>
      <c r="AB183" s="1" t="s">
        <v>49</v>
      </c>
      <c r="AC183" s="1" t="s">
        <v>49</v>
      </c>
      <c r="AD183" s="1" t="s">
        <v>89</v>
      </c>
      <c r="AE183" s="1" t="s">
        <v>300</v>
      </c>
      <c r="AF183" s="1" t="s">
        <v>49</v>
      </c>
      <c r="AG183" s="1" t="s">
        <v>49</v>
      </c>
      <c r="AH183" s="6" t="s">
        <v>49</v>
      </c>
      <c r="AI183" s="6" t="s">
        <v>272</v>
      </c>
      <c r="AJ183" s="6" t="s">
        <v>49</v>
      </c>
      <c r="AK183" s="6">
        <v>46</v>
      </c>
      <c r="AL183" s="6" t="s">
        <v>49</v>
      </c>
      <c r="AM183" s="6" t="s">
        <v>49</v>
      </c>
      <c r="AN183" s="6">
        <v>5.0000000000000001E-3</v>
      </c>
      <c r="AO183" s="6" t="s">
        <v>49</v>
      </c>
      <c r="AP183" s="6">
        <v>0</v>
      </c>
      <c r="AQ183" s="6" t="s">
        <v>49</v>
      </c>
      <c r="AR183" s="6">
        <v>5.0000000000000001E-3</v>
      </c>
      <c r="AS183" s="6" t="s">
        <v>49</v>
      </c>
      <c r="AT183" s="6" t="s">
        <v>49</v>
      </c>
      <c r="AU183" s="6" t="s">
        <v>49</v>
      </c>
      <c r="AV183" s="6" t="s">
        <v>49</v>
      </c>
    </row>
    <row r="184" spans="1:48" ht="14.4" customHeight="1">
      <c r="A184" s="6" t="s">
        <v>680</v>
      </c>
      <c r="B184" s="6" t="s">
        <v>38</v>
      </c>
      <c r="C184" s="6" t="s">
        <v>38</v>
      </c>
      <c r="D184" s="1" t="s">
        <v>681</v>
      </c>
      <c r="E184" s="1" t="s">
        <v>40</v>
      </c>
      <c r="F184" s="6">
        <v>2000</v>
      </c>
      <c r="G184" s="1" t="s">
        <v>177</v>
      </c>
      <c r="H184" s="6" t="s">
        <v>178</v>
      </c>
      <c r="I184" s="6" t="s">
        <v>179</v>
      </c>
      <c r="J184" s="1" t="str">
        <f t="shared" si="2"/>
        <v>Ipomopsis_aggregata</v>
      </c>
      <c r="K184" s="6" t="s">
        <v>45</v>
      </c>
      <c r="L184" s="6" t="s">
        <v>46</v>
      </c>
      <c r="M184" s="6" t="s">
        <v>115</v>
      </c>
      <c r="N184" s="6" t="s">
        <v>116</v>
      </c>
      <c r="O184" s="6" t="s">
        <v>49</v>
      </c>
      <c r="P184" s="6" t="s">
        <v>49</v>
      </c>
      <c r="Q184" s="6" t="s">
        <v>49</v>
      </c>
      <c r="R184" s="6" t="s">
        <v>49</v>
      </c>
      <c r="S184" s="6" t="s">
        <v>268</v>
      </c>
      <c r="T184" s="6" t="s">
        <v>269</v>
      </c>
      <c r="U184" s="6" t="s">
        <v>251</v>
      </c>
      <c r="V184" s="6" t="s">
        <v>682</v>
      </c>
      <c r="W184" s="12">
        <v>38.955444</v>
      </c>
      <c r="X184" s="12">
        <v>-106.99119399999999</v>
      </c>
      <c r="Y184" s="6" t="s">
        <v>141</v>
      </c>
      <c r="Z184" s="6" t="s">
        <v>271</v>
      </c>
      <c r="AA184" s="1" t="s">
        <v>49</v>
      </c>
      <c r="AB184" s="1" t="s">
        <v>49</v>
      </c>
      <c r="AC184" s="1" t="s">
        <v>49</v>
      </c>
      <c r="AD184" s="6" t="s">
        <v>187</v>
      </c>
      <c r="AE184" s="1" t="s">
        <v>300</v>
      </c>
      <c r="AF184" s="1" t="s">
        <v>49</v>
      </c>
      <c r="AG184" s="1" t="s">
        <v>49</v>
      </c>
      <c r="AH184" s="6" t="s">
        <v>49</v>
      </c>
      <c r="AI184" s="6" t="s">
        <v>272</v>
      </c>
      <c r="AJ184" s="6" t="s">
        <v>49</v>
      </c>
      <c r="AK184" s="6">
        <v>46</v>
      </c>
      <c r="AL184" s="6" t="s">
        <v>49</v>
      </c>
      <c r="AM184" s="6" t="s">
        <v>49</v>
      </c>
      <c r="AN184" s="6">
        <v>-3.1E-2</v>
      </c>
      <c r="AO184" s="6" t="s">
        <v>49</v>
      </c>
      <c r="AP184" s="6">
        <v>0</v>
      </c>
      <c r="AQ184" s="6" t="s">
        <v>49</v>
      </c>
      <c r="AR184" s="6">
        <v>-3.1E-2</v>
      </c>
      <c r="AS184" s="6" t="s">
        <v>49</v>
      </c>
      <c r="AT184" s="6" t="s">
        <v>49</v>
      </c>
      <c r="AU184" s="6" t="s">
        <v>49</v>
      </c>
      <c r="AV184" s="6" t="s">
        <v>49</v>
      </c>
    </row>
    <row r="185" spans="1:48" ht="14.4" customHeight="1">
      <c r="A185" s="6" t="s">
        <v>680</v>
      </c>
      <c r="B185" s="6" t="s">
        <v>38</v>
      </c>
      <c r="C185" s="6" t="s">
        <v>38</v>
      </c>
      <c r="D185" s="1" t="s">
        <v>681</v>
      </c>
      <c r="E185" s="1" t="s">
        <v>40</v>
      </c>
      <c r="F185" s="6">
        <v>2000</v>
      </c>
      <c r="G185" s="1" t="s">
        <v>177</v>
      </c>
      <c r="H185" s="6" t="s">
        <v>178</v>
      </c>
      <c r="I185" s="6" t="s">
        <v>179</v>
      </c>
      <c r="J185" s="1" t="str">
        <f t="shared" si="2"/>
        <v>Ipomopsis_aggregata</v>
      </c>
      <c r="K185" s="6" t="s">
        <v>45</v>
      </c>
      <c r="L185" s="6" t="s">
        <v>46</v>
      </c>
      <c r="M185" s="6" t="s">
        <v>115</v>
      </c>
      <c r="N185" s="6" t="s">
        <v>116</v>
      </c>
      <c r="O185" s="6" t="s">
        <v>49</v>
      </c>
      <c r="P185" s="6" t="s">
        <v>49</v>
      </c>
      <c r="Q185" s="6" t="s">
        <v>49</v>
      </c>
      <c r="R185" s="6" t="s">
        <v>49</v>
      </c>
      <c r="S185" s="6" t="s">
        <v>268</v>
      </c>
      <c r="T185" s="6" t="s">
        <v>269</v>
      </c>
      <c r="U185" s="6" t="s">
        <v>251</v>
      </c>
      <c r="V185" s="6" t="s">
        <v>683</v>
      </c>
      <c r="W185" s="12">
        <v>38.955444</v>
      </c>
      <c r="X185" s="12">
        <v>-106.99119399999999</v>
      </c>
      <c r="Y185" s="6" t="s">
        <v>141</v>
      </c>
      <c r="Z185" s="6" t="s">
        <v>271</v>
      </c>
      <c r="AA185" s="1" t="s">
        <v>50</v>
      </c>
      <c r="AB185" s="1" t="s">
        <v>51</v>
      </c>
      <c r="AC185" s="1" t="s">
        <v>52</v>
      </c>
      <c r="AD185" s="6" t="s">
        <v>122</v>
      </c>
      <c r="AE185" s="6" t="s">
        <v>122</v>
      </c>
      <c r="AF185" s="1" t="s">
        <v>53</v>
      </c>
      <c r="AG185" s="1" t="s">
        <v>53</v>
      </c>
      <c r="AH185" s="6" t="s">
        <v>49</v>
      </c>
      <c r="AI185" s="6" t="s">
        <v>272</v>
      </c>
      <c r="AJ185" s="6" t="s">
        <v>49</v>
      </c>
      <c r="AK185" s="6">
        <v>79</v>
      </c>
      <c r="AL185" s="6" t="s">
        <v>49</v>
      </c>
      <c r="AM185" s="6">
        <v>57.2532</v>
      </c>
      <c r="AN185" s="6">
        <v>1551.0630000000001</v>
      </c>
      <c r="AO185" s="6" t="s">
        <v>49</v>
      </c>
      <c r="AP185" s="6">
        <v>0</v>
      </c>
      <c r="AQ185" s="6" t="s">
        <v>49</v>
      </c>
      <c r="AR185" s="6">
        <v>1551.0630000000001</v>
      </c>
      <c r="AS185" s="6" t="s">
        <v>49</v>
      </c>
      <c r="AT185" s="6" t="s">
        <v>49</v>
      </c>
      <c r="AU185" s="6" t="s">
        <v>49</v>
      </c>
      <c r="AV185" s="6" t="s">
        <v>49</v>
      </c>
    </row>
    <row r="186" spans="1:48" ht="14.4" customHeight="1">
      <c r="A186" s="6" t="s">
        <v>680</v>
      </c>
      <c r="B186" s="6" t="s">
        <v>38</v>
      </c>
      <c r="C186" s="6" t="s">
        <v>38</v>
      </c>
      <c r="D186" s="1" t="s">
        <v>681</v>
      </c>
      <c r="E186" s="1" t="s">
        <v>40</v>
      </c>
      <c r="F186" s="6">
        <v>2000</v>
      </c>
      <c r="G186" s="1" t="s">
        <v>177</v>
      </c>
      <c r="H186" s="6" t="s">
        <v>178</v>
      </c>
      <c r="I186" s="6" t="s">
        <v>179</v>
      </c>
      <c r="J186" s="1" t="str">
        <f t="shared" si="2"/>
        <v>Ipomopsis_aggregata</v>
      </c>
      <c r="K186" s="6" t="s">
        <v>45</v>
      </c>
      <c r="L186" s="6" t="s">
        <v>46</v>
      </c>
      <c r="M186" s="6" t="s">
        <v>115</v>
      </c>
      <c r="N186" s="6" t="s">
        <v>116</v>
      </c>
      <c r="O186" s="6" t="s">
        <v>49</v>
      </c>
      <c r="P186" s="6" t="s">
        <v>49</v>
      </c>
      <c r="Q186" s="6" t="s">
        <v>49</v>
      </c>
      <c r="R186" s="6" t="s">
        <v>49</v>
      </c>
      <c r="S186" s="6" t="s">
        <v>268</v>
      </c>
      <c r="T186" s="6" t="s">
        <v>269</v>
      </c>
      <c r="U186" s="6" t="s">
        <v>251</v>
      </c>
      <c r="V186" s="6" t="s">
        <v>683</v>
      </c>
      <c r="W186" s="12">
        <v>38.955444</v>
      </c>
      <c r="X186" s="12">
        <v>-106.99119399999999</v>
      </c>
      <c r="Y186" s="6" t="s">
        <v>141</v>
      </c>
      <c r="Z186" s="6" t="s">
        <v>271</v>
      </c>
      <c r="AA186" s="1" t="s">
        <v>50</v>
      </c>
      <c r="AB186" s="1" t="s">
        <v>66</v>
      </c>
      <c r="AC186" s="1" t="s">
        <v>67</v>
      </c>
      <c r="AD186" s="1" t="s">
        <v>90</v>
      </c>
      <c r="AE186" s="1" t="s">
        <v>90</v>
      </c>
      <c r="AF186" s="1" t="s">
        <v>60</v>
      </c>
      <c r="AG186" s="1" t="s">
        <v>61</v>
      </c>
      <c r="AH186" s="6" t="s">
        <v>49</v>
      </c>
      <c r="AI186" s="6" t="s">
        <v>272</v>
      </c>
      <c r="AJ186" s="6" t="s">
        <v>49</v>
      </c>
      <c r="AK186" s="6">
        <v>79</v>
      </c>
      <c r="AL186" s="6" t="s">
        <v>49</v>
      </c>
      <c r="AM186" s="6">
        <v>24.9148</v>
      </c>
      <c r="AN186" s="6">
        <v>4.4379999999999997</v>
      </c>
      <c r="AO186" s="6" t="s">
        <v>49</v>
      </c>
      <c r="AP186" s="6">
        <v>0</v>
      </c>
      <c r="AQ186" s="6" t="s">
        <v>49</v>
      </c>
      <c r="AR186" s="6">
        <v>4.4379999999999997</v>
      </c>
      <c r="AS186" s="6" t="s">
        <v>49</v>
      </c>
      <c r="AT186" s="6" t="s">
        <v>49</v>
      </c>
      <c r="AU186" s="6" t="s">
        <v>49</v>
      </c>
      <c r="AV186" s="6" t="s">
        <v>49</v>
      </c>
    </row>
    <row r="187" spans="1:48" ht="14.4" customHeight="1">
      <c r="A187" s="6" t="s">
        <v>680</v>
      </c>
      <c r="B187" s="6" t="s">
        <v>38</v>
      </c>
      <c r="C187" s="6" t="s">
        <v>38</v>
      </c>
      <c r="D187" s="1" t="s">
        <v>681</v>
      </c>
      <c r="E187" s="1" t="s">
        <v>40</v>
      </c>
      <c r="F187" s="6">
        <v>2000</v>
      </c>
      <c r="G187" s="1" t="s">
        <v>177</v>
      </c>
      <c r="H187" s="6" t="s">
        <v>178</v>
      </c>
      <c r="I187" s="6" t="s">
        <v>179</v>
      </c>
      <c r="J187" s="1" t="str">
        <f t="shared" si="2"/>
        <v>Ipomopsis_aggregata</v>
      </c>
      <c r="K187" s="6" t="s">
        <v>45</v>
      </c>
      <c r="L187" s="6" t="s">
        <v>46</v>
      </c>
      <c r="M187" s="6" t="s">
        <v>115</v>
      </c>
      <c r="N187" s="6" t="s">
        <v>116</v>
      </c>
      <c r="O187" s="6" t="s">
        <v>49</v>
      </c>
      <c r="P187" s="6" t="s">
        <v>49</v>
      </c>
      <c r="Q187" s="6" t="s">
        <v>49</v>
      </c>
      <c r="R187" s="6" t="s">
        <v>49</v>
      </c>
      <c r="S187" s="6" t="s">
        <v>268</v>
      </c>
      <c r="T187" s="6" t="s">
        <v>269</v>
      </c>
      <c r="U187" s="6" t="s">
        <v>251</v>
      </c>
      <c r="V187" s="6" t="s">
        <v>683</v>
      </c>
      <c r="W187" s="12">
        <v>38.955444</v>
      </c>
      <c r="X187" s="12">
        <v>-106.99119399999999</v>
      </c>
      <c r="Y187" s="6" t="s">
        <v>141</v>
      </c>
      <c r="Z187" s="6" t="s">
        <v>271</v>
      </c>
      <c r="AA187" s="1" t="s">
        <v>50</v>
      </c>
      <c r="AB187" s="1" t="s">
        <v>66</v>
      </c>
      <c r="AC187" s="1" t="s">
        <v>67</v>
      </c>
      <c r="AD187" s="1" t="s">
        <v>89</v>
      </c>
      <c r="AE187" s="1" t="s">
        <v>89</v>
      </c>
      <c r="AF187" s="1" t="s">
        <v>60</v>
      </c>
      <c r="AG187" s="1" t="s">
        <v>61</v>
      </c>
      <c r="AH187" s="6" t="s">
        <v>49</v>
      </c>
      <c r="AI187" s="6" t="s">
        <v>272</v>
      </c>
      <c r="AJ187" s="6" t="s">
        <v>49</v>
      </c>
      <c r="AK187" s="6">
        <v>79</v>
      </c>
      <c r="AL187" s="6" t="s">
        <v>49</v>
      </c>
      <c r="AM187" s="6">
        <v>2.9466999999999999</v>
      </c>
      <c r="AN187" s="6">
        <v>0.13200000000000001</v>
      </c>
      <c r="AO187" s="6" t="s">
        <v>49</v>
      </c>
      <c r="AP187" s="6">
        <v>0</v>
      </c>
      <c r="AQ187" s="6" t="s">
        <v>49</v>
      </c>
      <c r="AR187" s="6">
        <v>0.13200000000000001</v>
      </c>
      <c r="AS187" s="6" t="s">
        <v>49</v>
      </c>
      <c r="AT187" s="6" t="s">
        <v>49</v>
      </c>
      <c r="AU187" s="6" t="s">
        <v>49</v>
      </c>
      <c r="AV187" s="6" t="s">
        <v>49</v>
      </c>
    </row>
    <row r="188" spans="1:48" ht="14.4" customHeight="1">
      <c r="A188" s="6" t="s">
        <v>680</v>
      </c>
      <c r="B188" s="6" t="s">
        <v>38</v>
      </c>
      <c r="C188" s="6" t="s">
        <v>38</v>
      </c>
      <c r="D188" s="1" t="s">
        <v>681</v>
      </c>
      <c r="E188" s="1" t="s">
        <v>40</v>
      </c>
      <c r="F188" s="6">
        <v>2000</v>
      </c>
      <c r="G188" s="1" t="s">
        <v>177</v>
      </c>
      <c r="H188" s="6" t="s">
        <v>178</v>
      </c>
      <c r="I188" s="6" t="s">
        <v>179</v>
      </c>
      <c r="J188" s="1" t="str">
        <f t="shared" si="2"/>
        <v>Ipomopsis_aggregata</v>
      </c>
      <c r="K188" s="6" t="s">
        <v>45</v>
      </c>
      <c r="L188" s="6" t="s">
        <v>46</v>
      </c>
      <c r="M188" s="6" t="s">
        <v>115</v>
      </c>
      <c r="N188" s="6" t="s">
        <v>116</v>
      </c>
      <c r="O188" s="6" t="s">
        <v>49</v>
      </c>
      <c r="P188" s="6" t="s">
        <v>49</v>
      </c>
      <c r="Q188" s="6" t="s">
        <v>49</v>
      </c>
      <c r="R188" s="6" t="s">
        <v>49</v>
      </c>
      <c r="S188" s="6" t="s">
        <v>268</v>
      </c>
      <c r="T188" s="6" t="s">
        <v>269</v>
      </c>
      <c r="U188" s="6" t="s">
        <v>251</v>
      </c>
      <c r="V188" s="6" t="s">
        <v>683</v>
      </c>
      <c r="W188" s="12">
        <v>38.955444</v>
      </c>
      <c r="X188" s="12">
        <v>-106.99119399999999</v>
      </c>
      <c r="Y188" s="6" t="s">
        <v>141</v>
      </c>
      <c r="Z188" s="6" t="s">
        <v>271</v>
      </c>
      <c r="AA188" s="1" t="s">
        <v>50</v>
      </c>
      <c r="AB188" s="1" t="s">
        <v>185</v>
      </c>
      <c r="AC188" s="1" t="s">
        <v>186</v>
      </c>
      <c r="AD188" s="6" t="s">
        <v>187</v>
      </c>
      <c r="AE188" s="6" t="s">
        <v>187</v>
      </c>
      <c r="AF188" s="1" t="s">
        <v>60</v>
      </c>
      <c r="AG188" s="1" t="s">
        <v>173</v>
      </c>
      <c r="AH188" s="6" t="s">
        <v>49</v>
      </c>
      <c r="AI188" s="6" t="s">
        <v>272</v>
      </c>
      <c r="AJ188" s="6" t="s">
        <v>49</v>
      </c>
      <c r="AK188" s="6">
        <v>79</v>
      </c>
      <c r="AL188" s="6" t="s">
        <v>49</v>
      </c>
      <c r="AM188" s="6">
        <v>2.7524999999999999</v>
      </c>
      <c r="AN188" s="6">
        <v>3.8319999999999999</v>
      </c>
      <c r="AO188" s="6" t="s">
        <v>49</v>
      </c>
      <c r="AP188" s="6">
        <v>0</v>
      </c>
      <c r="AQ188" s="6" t="s">
        <v>49</v>
      </c>
      <c r="AR188" s="6">
        <v>3.8319999999999999</v>
      </c>
      <c r="AS188" s="6" t="s">
        <v>49</v>
      </c>
      <c r="AT188" s="6" t="s">
        <v>49</v>
      </c>
      <c r="AU188" s="6" t="s">
        <v>49</v>
      </c>
      <c r="AV188" s="6" t="s">
        <v>49</v>
      </c>
    </row>
    <row r="189" spans="1:48" ht="14.4" customHeight="1">
      <c r="A189" s="6" t="s">
        <v>680</v>
      </c>
      <c r="B189" s="6" t="s">
        <v>38</v>
      </c>
      <c r="C189" s="6" t="s">
        <v>38</v>
      </c>
      <c r="D189" s="1" t="s">
        <v>681</v>
      </c>
      <c r="E189" s="1" t="s">
        <v>40</v>
      </c>
      <c r="F189" s="6">
        <v>2000</v>
      </c>
      <c r="G189" s="1" t="s">
        <v>177</v>
      </c>
      <c r="H189" s="6" t="s">
        <v>178</v>
      </c>
      <c r="I189" s="6" t="s">
        <v>179</v>
      </c>
      <c r="J189" s="1" t="str">
        <f t="shared" si="2"/>
        <v>Ipomopsis_aggregata</v>
      </c>
      <c r="K189" s="6" t="s">
        <v>45</v>
      </c>
      <c r="L189" s="6" t="s">
        <v>46</v>
      </c>
      <c r="M189" s="6" t="s">
        <v>115</v>
      </c>
      <c r="N189" s="6" t="s">
        <v>116</v>
      </c>
      <c r="O189" s="6" t="s">
        <v>49</v>
      </c>
      <c r="P189" s="6" t="s">
        <v>49</v>
      </c>
      <c r="Q189" s="6" t="s">
        <v>49</v>
      </c>
      <c r="R189" s="6" t="s">
        <v>49</v>
      </c>
      <c r="S189" s="6" t="s">
        <v>268</v>
      </c>
      <c r="T189" s="6" t="s">
        <v>269</v>
      </c>
      <c r="U189" s="6" t="s">
        <v>251</v>
      </c>
      <c r="V189" s="6" t="s">
        <v>683</v>
      </c>
      <c r="W189" s="12">
        <v>38.955444</v>
      </c>
      <c r="X189" s="12">
        <v>-106.99119399999999</v>
      </c>
      <c r="Y189" s="6" t="s">
        <v>141</v>
      </c>
      <c r="Z189" s="6" t="s">
        <v>271</v>
      </c>
      <c r="AA189" s="1" t="s">
        <v>50</v>
      </c>
      <c r="AB189" s="1" t="s">
        <v>96</v>
      </c>
      <c r="AC189" s="1" t="s">
        <v>299</v>
      </c>
      <c r="AD189" s="1" t="s">
        <v>300</v>
      </c>
      <c r="AE189" s="1" t="s">
        <v>300</v>
      </c>
      <c r="AF189" s="1" t="s">
        <v>60</v>
      </c>
      <c r="AG189" s="1" t="s">
        <v>543</v>
      </c>
      <c r="AH189" s="6" t="s">
        <v>49</v>
      </c>
      <c r="AI189" s="6" t="s">
        <v>272</v>
      </c>
      <c r="AJ189" s="6" t="s">
        <v>49</v>
      </c>
      <c r="AK189" s="6">
        <v>79</v>
      </c>
      <c r="AL189" s="6" t="s">
        <v>49</v>
      </c>
      <c r="AM189" s="6">
        <v>0.59830000000000005</v>
      </c>
      <c r="AN189" s="6">
        <v>3.2000000000000001E-2</v>
      </c>
      <c r="AO189" s="6" t="s">
        <v>49</v>
      </c>
      <c r="AP189" s="6">
        <v>0</v>
      </c>
      <c r="AQ189" s="6" t="s">
        <v>49</v>
      </c>
      <c r="AR189" s="6">
        <v>3.2000000000000001E-2</v>
      </c>
      <c r="AS189" s="6" t="s">
        <v>49</v>
      </c>
      <c r="AT189" s="6" t="s">
        <v>49</v>
      </c>
      <c r="AU189" s="6" t="s">
        <v>49</v>
      </c>
      <c r="AV189" s="6" t="s">
        <v>49</v>
      </c>
    </row>
    <row r="190" spans="1:48" ht="14.4" customHeight="1">
      <c r="A190" s="6" t="s">
        <v>680</v>
      </c>
      <c r="B190" s="6" t="s">
        <v>38</v>
      </c>
      <c r="C190" s="6" t="s">
        <v>38</v>
      </c>
      <c r="D190" s="1" t="s">
        <v>681</v>
      </c>
      <c r="E190" s="1" t="s">
        <v>40</v>
      </c>
      <c r="F190" s="6">
        <v>2000</v>
      </c>
      <c r="G190" s="1" t="s">
        <v>177</v>
      </c>
      <c r="H190" s="6" t="s">
        <v>178</v>
      </c>
      <c r="I190" s="6" t="s">
        <v>179</v>
      </c>
      <c r="J190" s="1" t="str">
        <f t="shared" si="2"/>
        <v>Ipomopsis_aggregata</v>
      </c>
      <c r="K190" s="6" t="s">
        <v>45</v>
      </c>
      <c r="L190" s="6" t="s">
        <v>46</v>
      </c>
      <c r="M190" s="6" t="s">
        <v>115</v>
      </c>
      <c r="N190" s="6" t="s">
        <v>116</v>
      </c>
      <c r="O190" s="6" t="s">
        <v>49</v>
      </c>
      <c r="P190" s="6" t="s">
        <v>49</v>
      </c>
      <c r="Q190" s="6" t="s">
        <v>49</v>
      </c>
      <c r="R190" s="6" t="s">
        <v>49</v>
      </c>
      <c r="S190" s="6" t="s">
        <v>268</v>
      </c>
      <c r="T190" s="6" t="s">
        <v>269</v>
      </c>
      <c r="U190" s="6" t="s">
        <v>251</v>
      </c>
      <c r="V190" s="6" t="s">
        <v>683</v>
      </c>
      <c r="W190" s="12">
        <v>38.955444</v>
      </c>
      <c r="X190" s="12">
        <v>-106.99119399999999</v>
      </c>
      <c r="Y190" s="6" t="s">
        <v>141</v>
      </c>
      <c r="Z190" s="6" t="s">
        <v>271</v>
      </c>
      <c r="AA190" s="1" t="s">
        <v>49</v>
      </c>
      <c r="AB190" s="1" t="s">
        <v>49</v>
      </c>
      <c r="AC190" s="1" t="s">
        <v>49</v>
      </c>
      <c r="AD190" s="6" t="s">
        <v>122</v>
      </c>
      <c r="AE190" s="1" t="s">
        <v>90</v>
      </c>
      <c r="AF190" s="1" t="s">
        <v>49</v>
      </c>
      <c r="AG190" s="1" t="s">
        <v>49</v>
      </c>
      <c r="AH190" s="6" t="s">
        <v>49</v>
      </c>
      <c r="AI190" s="6" t="s">
        <v>272</v>
      </c>
      <c r="AJ190" s="6" t="s">
        <v>49</v>
      </c>
      <c r="AK190" s="6">
        <v>79</v>
      </c>
      <c r="AL190" s="6" t="s">
        <v>49</v>
      </c>
      <c r="AM190" s="6" t="s">
        <v>49</v>
      </c>
      <c r="AN190" s="6">
        <v>8.0079999999999991</v>
      </c>
      <c r="AO190" s="6" t="s">
        <v>49</v>
      </c>
      <c r="AP190" s="6">
        <v>0</v>
      </c>
      <c r="AQ190" s="6" t="s">
        <v>49</v>
      </c>
      <c r="AR190" s="6">
        <v>8.0079999999999991</v>
      </c>
      <c r="AS190" s="6" t="s">
        <v>49</v>
      </c>
      <c r="AT190" s="6" t="s">
        <v>49</v>
      </c>
      <c r="AU190" s="6" t="s">
        <v>49</v>
      </c>
      <c r="AV190" s="6" t="s">
        <v>49</v>
      </c>
    </row>
    <row r="191" spans="1:48" ht="14.4" customHeight="1">
      <c r="A191" s="6" t="s">
        <v>680</v>
      </c>
      <c r="B191" s="6" t="s">
        <v>38</v>
      </c>
      <c r="C191" s="6" t="s">
        <v>38</v>
      </c>
      <c r="D191" s="1" t="s">
        <v>681</v>
      </c>
      <c r="E191" s="1" t="s">
        <v>40</v>
      </c>
      <c r="F191" s="6">
        <v>2000</v>
      </c>
      <c r="G191" s="1" t="s">
        <v>177</v>
      </c>
      <c r="H191" s="6" t="s">
        <v>178</v>
      </c>
      <c r="I191" s="6" t="s">
        <v>179</v>
      </c>
      <c r="J191" s="1" t="str">
        <f t="shared" si="2"/>
        <v>Ipomopsis_aggregata</v>
      </c>
      <c r="K191" s="6" t="s">
        <v>45</v>
      </c>
      <c r="L191" s="6" t="s">
        <v>46</v>
      </c>
      <c r="M191" s="6" t="s">
        <v>115</v>
      </c>
      <c r="N191" s="6" t="s">
        <v>116</v>
      </c>
      <c r="O191" s="6" t="s">
        <v>49</v>
      </c>
      <c r="P191" s="6" t="s">
        <v>49</v>
      </c>
      <c r="Q191" s="6" t="s">
        <v>49</v>
      </c>
      <c r="R191" s="6" t="s">
        <v>49</v>
      </c>
      <c r="S191" s="6" t="s">
        <v>268</v>
      </c>
      <c r="T191" s="6" t="s">
        <v>269</v>
      </c>
      <c r="U191" s="6" t="s">
        <v>251</v>
      </c>
      <c r="V191" s="6" t="s">
        <v>683</v>
      </c>
      <c r="W191" s="12">
        <v>38.955444</v>
      </c>
      <c r="X191" s="12">
        <v>-106.99119399999999</v>
      </c>
      <c r="Y191" s="6" t="s">
        <v>141</v>
      </c>
      <c r="Z191" s="6" t="s">
        <v>271</v>
      </c>
      <c r="AA191" s="1" t="s">
        <v>49</v>
      </c>
      <c r="AB191" s="1" t="s">
        <v>49</v>
      </c>
      <c r="AC191" s="1" t="s">
        <v>49</v>
      </c>
      <c r="AD191" s="6" t="s">
        <v>122</v>
      </c>
      <c r="AE191" s="1" t="s">
        <v>89</v>
      </c>
      <c r="AF191" s="1" t="s">
        <v>49</v>
      </c>
      <c r="AG191" s="1" t="s">
        <v>49</v>
      </c>
      <c r="AH191" s="6" t="s">
        <v>49</v>
      </c>
      <c r="AI191" s="6" t="s">
        <v>272</v>
      </c>
      <c r="AJ191" s="6" t="s">
        <v>49</v>
      </c>
      <c r="AK191" s="6">
        <v>79</v>
      </c>
      <c r="AL191" s="6" t="s">
        <v>49</v>
      </c>
      <c r="AM191" s="6" t="s">
        <v>49</v>
      </c>
      <c r="AN191" s="6">
        <v>2.4369999999999998</v>
      </c>
      <c r="AO191" s="6" t="s">
        <v>49</v>
      </c>
      <c r="AP191" s="6">
        <v>0</v>
      </c>
      <c r="AQ191" s="6" t="s">
        <v>49</v>
      </c>
      <c r="AR191" s="6">
        <v>2.4369999999999998</v>
      </c>
      <c r="AS191" s="6" t="s">
        <v>49</v>
      </c>
      <c r="AT191" s="6" t="s">
        <v>49</v>
      </c>
      <c r="AU191" s="6" t="s">
        <v>49</v>
      </c>
      <c r="AV191" s="6" t="s">
        <v>49</v>
      </c>
    </row>
    <row r="192" spans="1:48" ht="14.4" customHeight="1">
      <c r="A192" s="6" t="s">
        <v>680</v>
      </c>
      <c r="B192" s="6" t="s">
        <v>38</v>
      </c>
      <c r="C192" s="6" t="s">
        <v>38</v>
      </c>
      <c r="D192" s="1" t="s">
        <v>681</v>
      </c>
      <c r="E192" s="1" t="s">
        <v>40</v>
      </c>
      <c r="F192" s="6">
        <v>2000</v>
      </c>
      <c r="G192" s="1" t="s">
        <v>177</v>
      </c>
      <c r="H192" s="6" t="s">
        <v>178</v>
      </c>
      <c r="I192" s="6" t="s">
        <v>179</v>
      </c>
      <c r="J192" s="1" t="str">
        <f t="shared" si="2"/>
        <v>Ipomopsis_aggregata</v>
      </c>
      <c r="K192" s="6" t="s">
        <v>45</v>
      </c>
      <c r="L192" s="6" t="s">
        <v>46</v>
      </c>
      <c r="M192" s="6" t="s">
        <v>115</v>
      </c>
      <c r="N192" s="6" t="s">
        <v>116</v>
      </c>
      <c r="O192" s="6" t="s">
        <v>49</v>
      </c>
      <c r="P192" s="6" t="s">
        <v>49</v>
      </c>
      <c r="Q192" s="6" t="s">
        <v>49</v>
      </c>
      <c r="R192" s="6" t="s">
        <v>49</v>
      </c>
      <c r="S192" s="6" t="s">
        <v>268</v>
      </c>
      <c r="T192" s="6" t="s">
        <v>269</v>
      </c>
      <c r="U192" s="6" t="s">
        <v>251</v>
      </c>
      <c r="V192" s="6" t="s">
        <v>683</v>
      </c>
      <c r="W192" s="12">
        <v>38.955444</v>
      </c>
      <c r="X192" s="12">
        <v>-106.99119399999999</v>
      </c>
      <c r="Y192" s="6" t="s">
        <v>141</v>
      </c>
      <c r="Z192" s="6" t="s">
        <v>271</v>
      </c>
      <c r="AA192" s="1" t="s">
        <v>49</v>
      </c>
      <c r="AB192" s="1" t="s">
        <v>49</v>
      </c>
      <c r="AC192" s="1" t="s">
        <v>49</v>
      </c>
      <c r="AD192" s="6" t="s">
        <v>122</v>
      </c>
      <c r="AE192" s="6" t="s">
        <v>187</v>
      </c>
      <c r="AF192" s="1" t="s">
        <v>49</v>
      </c>
      <c r="AG192" s="1" t="s">
        <v>49</v>
      </c>
      <c r="AH192" s="6" t="s">
        <v>49</v>
      </c>
      <c r="AI192" s="6" t="s">
        <v>272</v>
      </c>
      <c r="AJ192" s="6" t="s">
        <v>49</v>
      </c>
      <c r="AK192" s="6">
        <v>79</v>
      </c>
      <c r="AL192" s="6" t="s">
        <v>49</v>
      </c>
      <c r="AM192" s="6" t="s">
        <v>49</v>
      </c>
      <c r="AN192" s="6">
        <v>20.981000000000002</v>
      </c>
      <c r="AO192" s="6" t="s">
        <v>49</v>
      </c>
      <c r="AP192" s="6">
        <v>0</v>
      </c>
      <c r="AQ192" s="6" t="s">
        <v>49</v>
      </c>
      <c r="AR192" s="6">
        <v>20.981000000000002</v>
      </c>
      <c r="AS192" s="6" t="s">
        <v>49</v>
      </c>
      <c r="AT192" s="6" t="s">
        <v>49</v>
      </c>
      <c r="AU192" s="6" t="s">
        <v>49</v>
      </c>
      <c r="AV192" s="6" t="s">
        <v>49</v>
      </c>
    </row>
    <row r="193" spans="1:48" ht="14.4" customHeight="1">
      <c r="A193" s="6" t="s">
        <v>680</v>
      </c>
      <c r="B193" s="6" t="s">
        <v>38</v>
      </c>
      <c r="C193" s="6" t="s">
        <v>38</v>
      </c>
      <c r="D193" s="1" t="s">
        <v>681</v>
      </c>
      <c r="E193" s="1" t="s">
        <v>40</v>
      </c>
      <c r="F193" s="6">
        <v>2000</v>
      </c>
      <c r="G193" s="1" t="s">
        <v>177</v>
      </c>
      <c r="H193" s="6" t="s">
        <v>178</v>
      </c>
      <c r="I193" s="6" t="s">
        <v>179</v>
      </c>
      <c r="J193" s="1" t="str">
        <f t="shared" si="2"/>
        <v>Ipomopsis_aggregata</v>
      </c>
      <c r="K193" s="6" t="s">
        <v>45</v>
      </c>
      <c r="L193" s="6" t="s">
        <v>46</v>
      </c>
      <c r="M193" s="6" t="s">
        <v>115</v>
      </c>
      <c r="N193" s="6" t="s">
        <v>116</v>
      </c>
      <c r="O193" s="6" t="s">
        <v>49</v>
      </c>
      <c r="P193" s="6" t="s">
        <v>49</v>
      </c>
      <c r="Q193" s="6" t="s">
        <v>49</v>
      </c>
      <c r="R193" s="6" t="s">
        <v>49</v>
      </c>
      <c r="S193" s="6" t="s">
        <v>268</v>
      </c>
      <c r="T193" s="6" t="s">
        <v>269</v>
      </c>
      <c r="U193" s="6" t="s">
        <v>251</v>
      </c>
      <c r="V193" s="6" t="s">
        <v>683</v>
      </c>
      <c r="W193" s="12">
        <v>38.955444</v>
      </c>
      <c r="X193" s="12">
        <v>-106.99119399999999</v>
      </c>
      <c r="Y193" s="6" t="s">
        <v>141</v>
      </c>
      <c r="Z193" s="6" t="s">
        <v>271</v>
      </c>
      <c r="AA193" s="1" t="s">
        <v>49</v>
      </c>
      <c r="AB193" s="1" t="s">
        <v>49</v>
      </c>
      <c r="AC193" s="1" t="s">
        <v>49</v>
      </c>
      <c r="AD193" s="6" t="s">
        <v>122</v>
      </c>
      <c r="AE193" s="1" t="s">
        <v>300</v>
      </c>
      <c r="AF193" s="1" t="s">
        <v>49</v>
      </c>
      <c r="AG193" s="1" t="s">
        <v>49</v>
      </c>
      <c r="AH193" s="6" t="s">
        <v>49</v>
      </c>
      <c r="AI193" s="6" t="s">
        <v>272</v>
      </c>
      <c r="AJ193" s="6" t="s">
        <v>49</v>
      </c>
      <c r="AK193" s="6">
        <v>79</v>
      </c>
      <c r="AL193" s="6" t="s">
        <v>49</v>
      </c>
      <c r="AM193" s="6" t="s">
        <v>49</v>
      </c>
      <c r="AN193" s="6">
        <v>-0.13700000000000001</v>
      </c>
      <c r="AO193" s="6" t="s">
        <v>49</v>
      </c>
      <c r="AP193" s="6">
        <v>0</v>
      </c>
      <c r="AQ193" s="6" t="s">
        <v>49</v>
      </c>
      <c r="AR193" s="6">
        <v>-0.13700000000000001</v>
      </c>
      <c r="AS193" s="6" t="s">
        <v>49</v>
      </c>
      <c r="AT193" s="6" t="s">
        <v>49</v>
      </c>
      <c r="AU193" s="6" t="s">
        <v>49</v>
      </c>
      <c r="AV193" s="6" t="s">
        <v>49</v>
      </c>
    </row>
    <row r="194" spans="1:48" ht="14.4" customHeight="1">
      <c r="A194" s="6" t="s">
        <v>680</v>
      </c>
      <c r="B194" s="6" t="s">
        <v>38</v>
      </c>
      <c r="C194" s="6" t="s">
        <v>38</v>
      </c>
      <c r="D194" s="1" t="s">
        <v>681</v>
      </c>
      <c r="E194" s="1" t="s">
        <v>40</v>
      </c>
      <c r="F194" s="6">
        <v>2000</v>
      </c>
      <c r="G194" s="1" t="s">
        <v>177</v>
      </c>
      <c r="H194" s="6" t="s">
        <v>178</v>
      </c>
      <c r="I194" s="6" t="s">
        <v>179</v>
      </c>
      <c r="J194" s="1" t="str">
        <f t="shared" si="2"/>
        <v>Ipomopsis_aggregata</v>
      </c>
      <c r="K194" s="6" t="s">
        <v>45</v>
      </c>
      <c r="L194" s="6" t="s">
        <v>46</v>
      </c>
      <c r="M194" s="6" t="s">
        <v>115</v>
      </c>
      <c r="N194" s="6" t="s">
        <v>116</v>
      </c>
      <c r="O194" s="6" t="s">
        <v>49</v>
      </c>
      <c r="P194" s="6" t="s">
        <v>49</v>
      </c>
      <c r="Q194" s="6" t="s">
        <v>49</v>
      </c>
      <c r="R194" s="6" t="s">
        <v>49</v>
      </c>
      <c r="S194" s="6" t="s">
        <v>268</v>
      </c>
      <c r="T194" s="6" t="s">
        <v>269</v>
      </c>
      <c r="U194" s="6" t="s">
        <v>251</v>
      </c>
      <c r="V194" s="6" t="s">
        <v>683</v>
      </c>
      <c r="W194" s="12">
        <v>38.955444</v>
      </c>
      <c r="X194" s="12">
        <v>-106.99119399999999</v>
      </c>
      <c r="Y194" s="6" t="s">
        <v>141</v>
      </c>
      <c r="Z194" s="6" t="s">
        <v>271</v>
      </c>
      <c r="AA194" s="1" t="s">
        <v>49</v>
      </c>
      <c r="AB194" s="1" t="s">
        <v>49</v>
      </c>
      <c r="AC194" s="1" t="s">
        <v>49</v>
      </c>
      <c r="AD194" s="1" t="s">
        <v>90</v>
      </c>
      <c r="AE194" s="1" t="s">
        <v>89</v>
      </c>
      <c r="AF194" s="1" t="s">
        <v>49</v>
      </c>
      <c r="AG194" s="1" t="s">
        <v>49</v>
      </c>
      <c r="AH194" s="6" t="s">
        <v>49</v>
      </c>
      <c r="AI194" s="6" t="s">
        <v>272</v>
      </c>
      <c r="AJ194" s="6" t="s">
        <v>49</v>
      </c>
      <c r="AK194" s="6">
        <v>79</v>
      </c>
      <c r="AL194" s="6" t="s">
        <v>49</v>
      </c>
      <c r="AM194" s="6" t="s">
        <v>49</v>
      </c>
      <c r="AN194" s="6">
        <v>1.0999999999999999E-2</v>
      </c>
      <c r="AO194" s="6" t="s">
        <v>49</v>
      </c>
      <c r="AP194" s="6">
        <v>0</v>
      </c>
      <c r="AQ194" s="6" t="s">
        <v>49</v>
      </c>
      <c r="AR194" s="6">
        <v>1.0999999999999999E-2</v>
      </c>
      <c r="AS194" s="6" t="s">
        <v>49</v>
      </c>
      <c r="AT194" s="6" t="s">
        <v>49</v>
      </c>
      <c r="AU194" s="6" t="s">
        <v>49</v>
      </c>
      <c r="AV194" s="6" t="s">
        <v>49</v>
      </c>
    </row>
    <row r="195" spans="1:48" ht="14.4" customHeight="1">
      <c r="A195" s="6" t="s">
        <v>680</v>
      </c>
      <c r="B195" s="6" t="s">
        <v>38</v>
      </c>
      <c r="C195" s="6" t="s">
        <v>38</v>
      </c>
      <c r="D195" s="1" t="s">
        <v>681</v>
      </c>
      <c r="E195" s="1" t="s">
        <v>40</v>
      </c>
      <c r="F195" s="6">
        <v>2000</v>
      </c>
      <c r="G195" s="1" t="s">
        <v>177</v>
      </c>
      <c r="H195" s="6" t="s">
        <v>178</v>
      </c>
      <c r="I195" s="6" t="s">
        <v>179</v>
      </c>
      <c r="J195" s="1" t="str">
        <f t="shared" ref="J195:J258" si="3">H195&amp;"_"&amp;I195</f>
        <v>Ipomopsis_aggregata</v>
      </c>
      <c r="K195" s="6" t="s">
        <v>45</v>
      </c>
      <c r="L195" s="6" t="s">
        <v>46</v>
      </c>
      <c r="M195" s="6" t="s">
        <v>115</v>
      </c>
      <c r="N195" s="6" t="s">
        <v>116</v>
      </c>
      <c r="O195" s="6" t="s">
        <v>49</v>
      </c>
      <c r="P195" s="6" t="s">
        <v>49</v>
      </c>
      <c r="Q195" s="6" t="s">
        <v>49</v>
      </c>
      <c r="R195" s="6" t="s">
        <v>49</v>
      </c>
      <c r="S195" s="6" t="s">
        <v>268</v>
      </c>
      <c r="T195" s="6" t="s">
        <v>269</v>
      </c>
      <c r="U195" s="6" t="s">
        <v>251</v>
      </c>
      <c r="V195" s="6" t="s">
        <v>683</v>
      </c>
      <c r="W195" s="12">
        <v>38.955444</v>
      </c>
      <c r="X195" s="12">
        <v>-106.99119399999999</v>
      </c>
      <c r="Y195" s="6" t="s">
        <v>141</v>
      </c>
      <c r="Z195" s="6" t="s">
        <v>271</v>
      </c>
      <c r="AA195" s="1" t="s">
        <v>49</v>
      </c>
      <c r="AB195" s="1" t="s">
        <v>49</v>
      </c>
      <c r="AC195" s="1" t="s">
        <v>49</v>
      </c>
      <c r="AD195" s="1" t="s">
        <v>90</v>
      </c>
      <c r="AE195" s="6" t="s">
        <v>187</v>
      </c>
      <c r="AF195" s="1" t="s">
        <v>49</v>
      </c>
      <c r="AG195" s="1" t="s">
        <v>49</v>
      </c>
      <c r="AH195" s="6" t="s">
        <v>49</v>
      </c>
      <c r="AI195" s="6" t="s">
        <v>272</v>
      </c>
      <c r="AJ195" s="6" t="s">
        <v>49</v>
      </c>
      <c r="AK195" s="6">
        <v>79</v>
      </c>
      <c r="AL195" s="6" t="s">
        <v>49</v>
      </c>
      <c r="AM195" s="6" t="s">
        <v>49</v>
      </c>
      <c r="AN195" s="6">
        <v>-0.122</v>
      </c>
      <c r="AO195" s="6" t="s">
        <v>49</v>
      </c>
      <c r="AP195" s="6">
        <v>0</v>
      </c>
      <c r="AQ195" s="6" t="s">
        <v>49</v>
      </c>
      <c r="AR195" s="6">
        <v>-0.122</v>
      </c>
      <c r="AS195" s="6" t="s">
        <v>49</v>
      </c>
      <c r="AT195" s="6" t="s">
        <v>49</v>
      </c>
      <c r="AU195" s="6" t="s">
        <v>49</v>
      </c>
      <c r="AV195" s="6" t="s">
        <v>49</v>
      </c>
    </row>
    <row r="196" spans="1:48" ht="14.4" customHeight="1">
      <c r="A196" s="6" t="s">
        <v>680</v>
      </c>
      <c r="B196" s="6" t="s">
        <v>38</v>
      </c>
      <c r="C196" s="6" t="s">
        <v>38</v>
      </c>
      <c r="D196" s="1" t="s">
        <v>681</v>
      </c>
      <c r="E196" s="1" t="s">
        <v>40</v>
      </c>
      <c r="F196" s="6">
        <v>2000</v>
      </c>
      <c r="G196" s="1" t="s">
        <v>177</v>
      </c>
      <c r="H196" s="6" t="s">
        <v>178</v>
      </c>
      <c r="I196" s="6" t="s">
        <v>179</v>
      </c>
      <c r="J196" s="1" t="str">
        <f t="shared" si="3"/>
        <v>Ipomopsis_aggregata</v>
      </c>
      <c r="K196" s="6" t="s">
        <v>45</v>
      </c>
      <c r="L196" s="6" t="s">
        <v>46</v>
      </c>
      <c r="M196" s="6" t="s">
        <v>115</v>
      </c>
      <c r="N196" s="6" t="s">
        <v>116</v>
      </c>
      <c r="O196" s="6" t="s">
        <v>49</v>
      </c>
      <c r="P196" s="6" t="s">
        <v>49</v>
      </c>
      <c r="Q196" s="6" t="s">
        <v>49</v>
      </c>
      <c r="R196" s="6" t="s">
        <v>49</v>
      </c>
      <c r="S196" s="6" t="s">
        <v>268</v>
      </c>
      <c r="T196" s="6" t="s">
        <v>269</v>
      </c>
      <c r="U196" s="6" t="s">
        <v>251</v>
      </c>
      <c r="V196" s="6" t="s">
        <v>683</v>
      </c>
      <c r="W196" s="12">
        <v>38.955444</v>
      </c>
      <c r="X196" s="12">
        <v>-106.99119399999999</v>
      </c>
      <c r="Y196" s="6" t="s">
        <v>141</v>
      </c>
      <c r="Z196" s="6" t="s">
        <v>271</v>
      </c>
      <c r="AA196" s="1" t="s">
        <v>49</v>
      </c>
      <c r="AB196" s="1" t="s">
        <v>49</v>
      </c>
      <c r="AC196" s="1" t="s">
        <v>49</v>
      </c>
      <c r="AD196" s="1" t="s">
        <v>90</v>
      </c>
      <c r="AE196" s="1" t="s">
        <v>300</v>
      </c>
      <c r="AF196" s="1" t="s">
        <v>49</v>
      </c>
      <c r="AG196" s="1" t="s">
        <v>49</v>
      </c>
      <c r="AH196" s="6" t="s">
        <v>49</v>
      </c>
      <c r="AI196" s="6" t="s">
        <v>272</v>
      </c>
      <c r="AJ196" s="6" t="s">
        <v>49</v>
      </c>
      <c r="AK196" s="6">
        <v>79</v>
      </c>
      <c r="AL196" s="6" t="s">
        <v>49</v>
      </c>
      <c r="AM196" s="6" t="s">
        <v>49</v>
      </c>
      <c r="AN196" s="6">
        <v>-7.4999999999999997E-2</v>
      </c>
      <c r="AO196" s="6" t="s">
        <v>49</v>
      </c>
      <c r="AP196" s="6">
        <v>0</v>
      </c>
      <c r="AQ196" s="6" t="s">
        <v>49</v>
      </c>
      <c r="AR196" s="6">
        <v>-7.4999999999999997E-2</v>
      </c>
      <c r="AS196" s="6" t="s">
        <v>49</v>
      </c>
      <c r="AT196" s="6" t="s">
        <v>49</v>
      </c>
      <c r="AU196" s="6" t="s">
        <v>49</v>
      </c>
      <c r="AV196" s="6" t="s">
        <v>49</v>
      </c>
    </row>
    <row r="197" spans="1:48" ht="14.4" customHeight="1">
      <c r="A197" s="6" t="s">
        <v>680</v>
      </c>
      <c r="B197" s="6" t="s">
        <v>38</v>
      </c>
      <c r="C197" s="6" t="s">
        <v>38</v>
      </c>
      <c r="D197" s="1" t="s">
        <v>681</v>
      </c>
      <c r="E197" s="1" t="s">
        <v>40</v>
      </c>
      <c r="F197" s="6">
        <v>2000</v>
      </c>
      <c r="G197" s="1" t="s">
        <v>177</v>
      </c>
      <c r="H197" s="6" t="s">
        <v>178</v>
      </c>
      <c r="I197" s="6" t="s">
        <v>179</v>
      </c>
      <c r="J197" s="1" t="str">
        <f t="shared" si="3"/>
        <v>Ipomopsis_aggregata</v>
      </c>
      <c r="K197" s="6" t="s">
        <v>45</v>
      </c>
      <c r="L197" s="6" t="s">
        <v>46</v>
      </c>
      <c r="M197" s="6" t="s">
        <v>115</v>
      </c>
      <c r="N197" s="6" t="s">
        <v>116</v>
      </c>
      <c r="O197" s="6" t="s">
        <v>49</v>
      </c>
      <c r="P197" s="6" t="s">
        <v>49</v>
      </c>
      <c r="Q197" s="6" t="s">
        <v>49</v>
      </c>
      <c r="R197" s="6" t="s">
        <v>49</v>
      </c>
      <c r="S197" s="6" t="s">
        <v>268</v>
      </c>
      <c r="T197" s="6" t="s">
        <v>269</v>
      </c>
      <c r="U197" s="6" t="s">
        <v>251</v>
      </c>
      <c r="V197" s="6" t="s">
        <v>683</v>
      </c>
      <c r="W197" s="12">
        <v>38.955444</v>
      </c>
      <c r="X197" s="12">
        <v>-106.99119399999999</v>
      </c>
      <c r="Y197" s="6" t="s">
        <v>141</v>
      </c>
      <c r="Z197" s="6" t="s">
        <v>271</v>
      </c>
      <c r="AA197" s="1" t="s">
        <v>49</v>
      </c>
      <c r="AB197" s="1" t="s">
        <v>49</v>
      </c>
      <c r="AC197" s="1" t="s">
        <v>49</v>
      </c>
      <c r="AD197" s="1" t="s">
        <v>89</v>
      </c>
      <c r="AE197" s="6" t="s">
        <v>187</v>
      </c>
      <c r="AF197" s="1" t="s">
        <v>49</v>
      </c>
      <c r="AG197" s="1" t="s">
        <v>49</v>
      </c>
      <c r="AH197" s="6" t="s">
        <v>49</v>
      </c>
      <c r="AI197" s="6" t="s">
        <v>272</v>
      </c>
      <c r="AJ197" s="6" t="s">
        <v>49</v>
      </c>
      <c r="AK197" s="6">
        <v>79</v>
      </c>
      <c r="AL197" s="6" t="s">
        <v>49</v>
      </c>
      <c r="AM197" s="6" t="s">
        <v>49</v>
      </c>
      <c r="AN197" s="6">
        <v>-0.223</v>
      </c>
      <c r="AO197" s="6" t="s">
        <v>49</v>
      </c>
      <c r="AP197" s="6">
        <v>0</v>
      </c>
      <c r="AQ197" s="6" t="s">
        <v>49</v>
      </c>
      <c r="AR197" s="6">
        <v>-0.223</v>
      </c>
      <c r="AS197" s="6" t="s">
        <v>49</v>
      </c>
      <c r="AT197" s="6" t="s">
        <v>49</v>
      </c>
      <c r="AU197" s="6" t="s">
        <v>49</v>
      </c>
      <c r="AV197" s="6" t="s">
        <v>49</v>
      </c>
    </row>
    <row r="198" spans="1:48" ht="14.4" customHeight="1">
      <c r="A198" s="6" t="s">
        <v>680</v>
      </c>
      <c r="B198" s="6" t="s">
        <v>38</v>
      </c>
      <c r="C198" s="6" t="s">
        <v>38</v>
      </c>
      <c r="D198" s="1" t="s">
        <v>681</v>
      </c>
      <c r="E198" s="1" t="s">
        <v>40</v>
      </c>
      <c r="F198" s="6">
        <v>2000</v>
      </c>
      <c r="G198" s="1" t="s">
        <v>177</v>
      </c>
      <c r="H198" s="6" t="s">
        <v>178</v>
      </c>
      <c r="I198" s="6" t="s">
        <v>179</v>
      </c>
      <c r="J198" s="1" t="str">
        <f t="shared" si="3"/>
        <v>Ipomopsis_aggregata</v>
      </c>
      <c r="K198" s="6" t="s">
        <v>45</v>
      </c>
      <c r="L198" s="6" t="s">
        <v>46</v>
      </c>
      <c r="M198" s="6" t="s">
        <v>115</v>
      </c>
      <c r="N198" s="6" t="s">
        <v>116</v>
      </c>
      <c r="O198" s="6" t="s">
        <v>49</v>
      </c>
      <c r="P198" s="6" t="s">
        <v>49</v>
      </c>
      <c r="Q198" s="6" t="s">
        <v>49</v>
      </c>
      <c r="R198" s="6" t="s">
        <v>49</v>
      </c>
      <c r="S198" s="6" t="s">
        <v>268</v>
      </c>
      <c r="T198" s="6" t="s">
        <v>269</v>
      </c>
      <c r="U198" s="6" t="s">
        <v>251</v>
      </c>
      <c r="V198" s="6" t="s">
        <v>683</v>
      </c>
      <c r="W198" s="12">
        <v>38.955444</v>
      </c>
      <c r="X198" s="12">
        <v>-106.99119399999999</v>
      </c>
      <c r="Y198" s="6" t="s">
        <v>141</v>
      </c>
      <c r="Z198" s="6" t="s">
        <v>271</v>
      </c>
      <c r="AA198" s="1" t="s">
        <v>49</v>
      </c>
      <c r="AB198" s="1" t="s">
        <v>49</v>
      </c>
      <c r="AC198" s="1" t="s">
        <v>49</v>
      </c>
      <c r="AD198" s="1" t="s">
        <v>89</v>
      </c>
      <c r="AE198" s="1" t="s">
        <v>300</v>
      </c>
      <c r="AF198" s="1" t="s">
        <v>49</v>
      </c>
      <c r="AG198" s="1" t="s">
        <v>49</v>
      </c>
      <c r="AH198" s="6" t="s">
        <v>49</v>
      </c>
      <c r="AI198" s="6" t="s">
        <v>272</v>
      </c>
      <c r="AJ198" s="6" t="s">
        <v>49</v>
      </c>
      <c r="AK198" s="6">
        <v>79</v>
      </c>
      <c r="AL198" s="6" t="s">
        <v>49</v>
      </c>
      <c r="AM198" s="6" t="s">
        <v>49</v>
      </c>
      <c r="AN198" s="6">
        <v>-2E-3</v>
      </c>
      <c r="AO198" s="6" t="s">
        <v>49</v>
      </c>
      <c r="AP198" s="6">
        <v>0</v>
      </c>
      <c r="AQ198" s="6" t="s">
        <v>49</v>
      </c>
      <c r="AR198" s="6">
        <v>-2E-3</v>
      </c>
      <c r="AS198" s="6" t="s">
        <v>49</v>
      </c>
      <c r="AT198" s="6" t="s">
        <v>49</v>
      </c>
      <c r="AU198" s="6" t="s">
        <v>49</v>
      </c>
      <c r="AV198" s="6" t="s">
        <v>49</v>
      </c>
    </row>
    <row r="199" spans="1:48" ht="14.4" customHeight="1">
      <c r="A199" s="6" t="s">
        <v>680</v>
      </c>
      <c r="B199" s="6" t="s">
        <v>38</v>
      </c>
      <c r="C199" s="6" t="s">
        <v>38</v>
      </c>
      <c r="D199" s="1" t="s">
        <v>681</v>
      </c>
      <c r="E199" s="1" t="s">
        <v>40</v>
      </c>
      <c r="F199" s="6">
        <v>2000</v>
      </c>
      <c r="G199" s="1" t="s">
        <v>177</v>
      </c>
      <c r="H199" s="6" t="s">
        <v>178</v>
      </c>
      <c r="I199" s="6" t="s">
        <v>179</v>
      </c>
      <c r="J199" s="1" t="str">
        <f t="shared" si="3"/>
        <v>Ipomopsis_aggregata</v>
      </c>
      <c r="K199" s="6" t="s">
        <v>45</v>
      </c>
      <c r="L199" s="6" t="s">
        <v>46</v>
      </c>
      <c r="M199" s="6" t="s">
        <v>115</v>
      </c>
      <c r="N199" s="6" t="s">
        <v>116</v>
      </c>
      <c r="O199" s="6" t="s">
        <v>49</v>
      </c>
      <c r="P199" s="6" t="s">
        <v>49</v>
      </c>
      <c r="Q199" s="6" t="s">
        <v>49</v>
      </c>
      <c r="R199" s="6" t="s">
        <v>49</v>
      </c>
      <c r="S199" s="6" t="s">
        <v>268</v>
      </c>
      <c r="T199" s="6" t="s">
        <v>269</v>
      </c>
      <c r="U199" s="6" t="s">
        <v>251</v>
      </c>
      <c r="V199" s="6" t="s">
        <v>683</v>
      </c>
      <c r="W199" s="12">
        <v>38.955444</v>
      </c>
      <c r="X199" s="12">
        <v>-106.99119399999999</v>
      </c>
      <c r="Y199" s="6" t="s">
        <v>141</v>
      </c>
      <c r="Z199" s="6" t="s">
        <v>271</v>
      </c>
      <c r="AA199" s="1" t="s">
        <v>49</v>
      </c>
      <c r="AB199" s="1" t="s">
        <v>49</v>
      </c>
      <c r="AC199" s="1" t="s">
        <v>49</v>
      </c>
      <c r="AD199" s="6" t="s">
        <v>187</v>
      </c>
      <c r="AE199" s="1" t="s">
        <v>300</v>
      </c>
      <c r="AF199" s="1" t="s">
        <v>49</v>
      </c>
      <c r="AG199" s="1" t="s">
        <v>49</v>
      </c>
      <c r="AH199" s="6" t="s">
        <v>49</v>
      </c>
      <c r="AI199" s="6" t="s">
        <v>272</v>
      </c>
      <c r="AJ199" s="6" t="s">
        <v>49</v>
      </c>
      <c r="AK199" s="6">
        <v>79</v>
      </c>
      <c r="AL199" s="6" t="s">
        <v>49</v>
      </c>
      <c r="AM199" s="6" t="s">
        <v>49</v>
      </c>
      <c r="AN199" s="6">
        <v>-6.9000000000000006E-2</v>
      </c>
      <c r="AO199" s="6" t="s">
        <v>49</v>
      </c>
      <c r="AP199" s="6">
        <v>0</v>
      </c>
      <c r="AQ199" s="6" t="s">
        <v>49</v>
      </c>
      <c r="AR199" s="6">
        <v>-6.9000000000000006E-2</v>
      </c>
      <c r="AS199" s="6" t="s">
        <v>49</v>
      </c>
      <c r="AT199" s="6" t="s">
        <v>49</v>
      </c>
      <c r="AU199" s="6" t="s">
        <v>49</v>
      </c>
      <c r="AV199" s="6" t="s">
        <v>49</v>
      </c>
    </row>
    <row r="200" spans="1:48" ht="14.4" customHeight="1">
      <c r="A200" s="6" t="s">
        <v>680</v>
      </c>
      <c r="B200" s="6" t="s">
        <v>38</v>
      </c>
      <c r="C200" s="6" t="s">
        <v>38</v>
      </c>
      <c r="D200" s="1" t="s">
        <v>681</v>
      </c>
      <c r="E200" s="1" t="s">
        <v>40</v>
      </c>
      <c r="F200" s="6">
        <v>2000</v>
      </c>
      <c r="G200" s="1" t="s">
        <v>177</v>
      </c>
      <c r="H200" s="6" t="s">
        <v>178</v>
      </c>
      <c r="I200" s="6" t="s">
        <v>179</v>
      </c>
      <c r="J200" s="1" t="str">
        <f t="shared" si="3"/>
        <v>Ipomopsis_aggregata</v>
      </c>
      <c r="K200" s="6" t="s">
        <v>45</v>
      </c>
      <c r="L200" s="6" t="s">
        <v>46</v>
      </c>
      <c r="M200" s="6" t="s">
        <v>115</v>
      </c>
      <c r="N200" s="6" t="s">
        <v>116</v>
      </c>
      <c r="O200" s="6" t="s">
        <v>49</v>
      </c>
      <c r="P200" s="6" t="s">
        <v>49</v>
      </c>
      <c r="Q200" s="6" t="s">
        <v>49</v>
      </c>
      <c r="R200" s="6" t="s">
        <v>49</v>
      </c>
      <c r="S200" s="6" t="s">
        <v>268</v>
      </c>
      <c r="T200" s="6" t="s">
        <v>269</v>
      </c>
      <c r="U200" s="6" t="s">
        <v>251</v>
      </c>
      <c r="V200" s="6" t="s">
        <v>684</v>
      </c>
      <c r="W200" s="12">
        <v>38.955444</v>
      </c>
      <c r="X200" s="12">
        <v>-106.99119399999999</v>
      </c>
      <c r="Y200" s="6" t="s">
        <v>141</v>
      </c>
      <c r="Z200" s="6" t="s">
        <v>271</v>
      </c>
      <c r="AA200" s="1" t="s">
        <v>50</v>
      </c>
      <c r="AB200" s="1" t="s">
        <v>51</v>
      </c>
      <c r="AC200" s="1" t="s">
        <v>52</v>
      </c>
      <c r="AD200" s="6" t="s">
        <v>122</v>
      </c>
      <c r="AE200" s="6" t="s">
        <v>122</v>
      </c>
      <c r="AF200" s="1" t="s">
        <v>53</v>
      </c>
      <c r="AG200" s="1" t="s">
        <v>53</v>
      </c>
      <c r="AH200" s="6" t="s">
        <v>49</v>
      </c>
      <c r="AI200" s="6" t="s">
        <v>272</v>
      </c>
      <c r="AJ200" s="6" t="s">
        <v>49</v>
      </c>
      <c r="AK200" s="6">
        <v>68</v>
      </c>
      <c r="AL200" s="6" t="s">
        <v>49</v>
      </c>
      <c r="AM200" s="6">
        <v>66.838200000000001</v>
      </c>
      <c r="AN200" s="6">
        <v>923.57</v>
      </c>
      <c r="AO200" s="6" t="s">
        <v>49</v>
      </c>
      <c r="AP200" s="6">
        <v>0</v>
      </c>
      <c r="AQ200" s="6" t="s">
        <v>49</v>
      </c>
      <c r="AR200" s="6">
        <v>923.57</v>
      </c>
      <c r="AS200" s="6" t="s">
        <v>49</v>
      </c>
      <c r="AT200" s="6" t="s">
        <v>49</v>
      </c>
      <c r="AU200" s="6" t="s">
        <v>49</v>
      </c>
      <c r="AV200" s="6" t="s">
        <v>49</v>
      </c>
    </row>
    <row r="201" spans="1:48" ht="14.4" customHeight="1">
      <c r="A201" s="6" t="s">
        <v>680</v>
      </c>
      <c r="B201" s="6" t="s">
        <v>38</v>
      </c>
      <c r="C201" s="6" t="s">
        <v>38</v>
      </c>
      <c r="D201" s="1" t="s">
        <v>681</v>
      </c>
      <c r="E201" s="1" t="s">
        <v>40</v>
      </c>
      <c r="F201" s="6">
        <v>2000</v>
      </c>
      <c r="G201" s="1" t="s">
        <v>177</v>
      </c>
      <c r="H201" s="6" t="s">
        <v>178</v>
      </c>
      <c r="I201" s="6" t="s">
        <v>179</v>
      </c>
      <c r="J201" s="1" t="str">
        <f t="shared" si="3"/>
        <v>Ipomopsis_aggregata</v>
      </c>
      <c r="K201" s="6" t="s">
        <v>45</v>
      </c>
      <c r="L201" s="6" t="s">
        <v>46</v>
      </c>
      <c r="M201" s="6" t="s">
        <v>115</v>
      </c>
      <c r="N201" s="6" t="s">
        <v>116</v>
      </c>
      <c r="O201" s="6" t="s">
        <v>49</v>
      </c>
      <c r="P201" s="6" t="s">
        <v>49</v>
      </c>
      <c r="Q201" s="6" t="s">
        <v>49</v>
      </c>
      <c r="R201" s="6" t="s">
        <v>49</v>
      </c>
      <c r="S201" s="6" t="s">
        <v>268</v>
      </c>
      <c r="T201" s="6" t="s">
        <v>269</v>
      </c>
      <c r="U201" s="6" t="s">
        <v>251</v>
      </c>
      <c r="V201" s="6" t="s">
        <v>684</v>
      </c>
      <c r="W201" s="12">
        <v>38.955444</v>
      </c>
      <c r="X201" s="12">
        <v>-106.99119399999999</v>
      </c>
      <c r="Y201" s="6" t="s">
        <v>141</v>
      </c>
      <c r="Z201" s="6" t="s">
        <v>271</v>
      </c>
      <c r="AA201" s="1" t="s">
        <v>50</v>
      </c>
      <c r="AB201" s="1" t="s">
        <v>66</v>
      </c>
      <c r="AC201" s="1" t="s">
        <v>67</v>
      </c>
      <c r="AD201" s="1" t="s">
        <v>90</v>
      </c>
      <c r="AE201" s="1" t="s">
        <v>90</v>
      </c>
      <c r="AF201" s="1" t="s">
        <v>60</v>
      </c>
      <c r="AG201" s="1" t="s">
        <v>61</v>
      </c>
      <c r="AH201" s="6" t="s">
        <v>49</v>
      </c>
      <c r="AI201" s="6" t="s">
        <v>272</v>
      </c>
      <c r="AJ201" s="6" t="s">
        <v>49</v>
      </c>
      <c r="AK201" s="6">
        <v>68</v>
      </c>
      <c r="AL201" s="6" t="s">
        <v>49</v>
      </c>
      <c r="AM201" s="6">
        <v>23.872399999999999</v>
      </c>
      <c r="AN201" s="6">
        <v>8.2509999999999994</v>
      </c>
      <c r="AO201" s="6" t="s">
        <v>49</v>
      </c>
      <c r="AP201" s="6">
        <v>0</v>
      </c>
      <c r="AQ201" s="6" t="s">
        <v>49</v>
      </c>
      <c r="AR201" s="6">
        <v>8.2509999999999994</v>
      </c>
      <c r="AS201" s="6" t="s">
        <v>49</v>
      </c>
      <c r="AT201" s="6" t="s">
        <v>49</v>
      </c>
      <c r="AU201" s="6" t="s">
        <v>49</v>
      </c>
      <c r="AV201" s="6" t="s">
        <v>49</v>
      </c>
    </row>
    <row r="202" spans="1:48" ht="14.4" customHeight="1">
      <c r="A202" s="6" t="s">
        <v>680</v>
      </c>
      <c r="B202" s="6" t="s">
        <v>38</v>
      </c>
      <c r="C202" s="6" t="s">
        <v>38</v>
      </c>
      <c r="D202" s="1" t="s">
        <v>681</v>
      </c>
      <c r="E202" s="1" t="s">
        <v>40</v>
      </c>
      <c r="F202" s="6">
        <v>2000</v>
      </c>
      <c r="G202" s="1" t="s">
        <v>177</v>
      </c>
      <c r="H202" s="6" t="s">
        <v>178</v>
      </c>
      <c r="I202" s="6" t="s">
        <v>179</v>
      </c>
      <c r="J202" s="1" t="str">
        <f t="shared" si="3"/>
        <v>Ipomopsis_aggregata</v>
      </c>
      <c r="K202" s="6" t="s">
        <v>45</v>
      </c>
      <c r="L202" s="6" t="s">
        <v>46</v>
      </c>
      <c r="M202" s="6" t="s">
        <v>115</v>
      </c>
      <c r="N202" s="6" t="s">
        <v>116</v>
      </c>
      <c r="O202" s="6" t="s">
        <v>49</v>
      </c>
      <c r="P202" s="6" t="s">
        <v>49</v>
      </c>
      <c r="Q202" s="6" t="s">
        <v>49</v>
      </c>
      <c r="R202" s="6" t="s">
        <v>49</v>
      </c>
      <c r="S202" s="6" t="s">
        <v>268</v>
      </c>
      <c r="T202" s="6" t="s">
        <v>269</v>
      </c>
      <c r="U202" s="6" t="s">
        <v>251</v>
      </c>
      <c r="V202" s="6" t="s">
        <v>684</v>
      </c>
      <c r="W202" s="12">
        <v>38.955444</v>
      </c>
      <c r="X202" s="12">
        <v>-106.99119399999999</v>
      </c>
      <c r="Y202" s="6" t="s">
        <v>141</v>
      </c>
      <c r="Z202" s="6" t="s">
        <v>271</v>
      </c>
      <c r="AA202" s="1" t="s">
        <v>50</v>
      </c>
      <c r="AB202" s="1" t="s">
        <v>66</v>
      </c>
      <c r="AC202" s="1" t="s">
        <v>67</v>
      </c>
      <c r="AD202" s="1" t="s">
        <v>89</v>
      </c>
      <c r="AE202" s="1" t="s">
        <v>89</v>
      </c>
      <c r="AF202" s="1" t="s">
        <v>60</v>
      </c>
      <c r="AG202" s="1" t="s">
        <v>61</v>
      </c>
      <c r="AH202" s="6" t="s">
        <v>49</v>
      </c>
      <c r="AI202" s="6" t="s">
        <v>272</v>
      </c>
      <c r="AJ202" s="6" t="s">
        <v>49</v>
      </c>
      <c r="AK202" s="6">
        <v>68</v>
      </c>
      <c r="AL202" s="6" t="s">
        <v>49</v>
      </c>
      <c r="AM202" s="6">
        <v>2.7700999999999998</v>
      </c>
      <c r="AN202" s="6">
        <v>7.8E-2</v>
      </c>
      <c r="AO202" s="6" t="s">
        <v>49</v>
      </c>
      <c r="AP202" s="6">
        <v>0</v>
      </c>
      <c r="AQ202" s="6" t="s">
        <v>49</v>
      </c>
      <c r="AR202" s="6">
        <v>7.8E-2</v>
      </c>
      <c r="AS202" s="6" t="s">
        <v>49</v>
      </c>
      <c r="AT202" s="6" t="s">
        <v>49</v>
      </c>
      <c r="AU202" s="6" t="s">
        <v>49</v>
      </c>
      <c r="AV202" s="6" t="s">
        <v>49</v>
      </c>
    </row>
    <row r="203" spans="1:48" ht="14.4" customHeight="1">
      <c r="A203" s="6" t="s">
        <v>680</v>
      </c>
      <c r="B203" s="6" t="s">
        <v>38</v>
      </c>
      <c r="C203" s="6" t="s">
        <v>38</v>
      </c>
      <c r="D203" s="1" t="s">
        <v>681</v>
      </c>
      <c r="E203" s="1" t="s">
        <v>40</v>
      </c>
      <c r="F203" s="6">
        <v>2000</v>
      </c>
      <c r="G203" s="1" t="s">
        <v>177</v>
      </c>
      <c r="H203" s="6" t="s">
        <v>178</v>
      </c>
      <c r="I203" s="6" t="s">
        <v>179</v>
      </c>
      <c r="J203" s="1" t="str">
        <f t="shared" si="3"/>
        <v>Ipomopsis_aggregata</v>
      </c>
      <c r="K203" s="6" t="s">
        <v>45</v>
      </c>
      <c r="L203" s="6" t="s">
        <v>46</v>
      </c>
      <c r="M203" s="6" t="s">
        <v>115</v>
      </c>
      <c r="N203" s="6" t="s">
        <v>116</v>
      </c>
      <c r="O203" s="6" t="s">
        <v>49</v>
      </c>
      <c r="P203" s="6" t="s">
        <v>49</v>
      </c>
      <c r="Q203" s="6" t="s">
        <v>49</v>
      </c>
      <c r="R203" s="6" t="s">
        <v>49</v>
      </c>
      <c r="S203" s="6" t="s">
        <v>268</v>
      </c>
      <c r="T203" s="6" t="s">
        <v>269</v>
      </c>
      <c r="U203" s="6" t="s">
        <v>251</v>
      </c>
      <c r="V203" s="6" t="s">
        <v>684</v>
      </c>
      <c r="W203" s="12">
        <v>38.955444</v>
      </c>
      <c r="X203" s="12">
        <v>-106.99119399999999</v>
      </c>
      <c r="Y203" s="6" t="s">
        <v>141</v>
      </c>
      <c r="Z203" s="6" t="s">
        <v>271</v>
      </c>
      <c r="AA203" s="1" t="s">
        <v>50</v>
      </c>
      <c r="AB203" s="1" t="s">
        <v>185</v>
      </c>
      <c r="AC203" s="1" t="s">
        <v>186</v>
      </c>
      <c r="AD203" s="6" t="s">
        <v>187</v>
      </c>
      <c r="AE203" s="6" t="s">
        <v>187</v>
      </c>
      <c r="AF203" s="1" t="s">
        <v>60</v>
      </c>
      <c r="AG203" s="1" t="s">
        <v>173</v>
      </c>
      <c r="AH203" s="6" t="s">
        <v>49</v>
      </c>
      <c r="AI203" s="6" t="s">
        <v>272</v>
      </c>
      <c r="AJ203" s="6" t="s">
        <v>49</v>
      </c>
      <c r="AK203" s="6">
        <v>68</v>
      </c>
      <c r="AL203" s="6" t="s">
        <v>49</v>
      </c>
      <c r="AM203" s="6">
        <v>2.1198999999999999</v>
      </c>
      <c r="AN203" s="6">
        <v>1.921</v>
      </c>
      <c r="AO203" s="6" t="s">
        <v>49</v>
      </c>
      <c r="AP203" s="6">
        <v>0</v>
      </c>
      <c r="AQ203" s="6" t="s">
        <v>49</v>
      </c>
      <c r="AR203" s="6">
        <v>1.921</v>
      </c>
      <c r="AS203" s="6" t="s">
        <v>49</v>
      </c>
      <c r="AT203" s="6" t="s">
        <v>49</v>
      </c>
      <c r="AU203" s="6" t="s">
        <v>49</v>
      </c>
      <c r="AV203" s="6" t="s">
        <v>49</v>
      </c>
    </row>
    <row r="204" spans="1:48" ht="14.4" customHeight="1">
      <c r="A204" s="6" t="s">
        <v>680</v>
      </c>
      <c r="B204" s="6" t="s">
        <v>38</v>
      </c>
      <c r="C204" s="6" t="s">
        <v>38</v>
      </c>
      <c r="D204" s="1" t="s">
        <v>681</v>
      </c>
      <c r="E204" s="1" t="s">
        <v>40</v>
      </c>
      <c r="F204" s="6">
        <v>2000</v>
      </c>
      <c r="G204" s="1" t="s">
        <v>177</v>
      </c>
      <c r="H204" s="6" t="s">
        <v>178</v>
      </c>
      <c r="I204" s="6" t="s">
        <v>179</v>
      </c>
      <c r="J204" s="1" t="str">
        <f t="shared" si="3"/>
        <v>Ipomopsis_aggregata</v>
      </c>
      <c r="K204" s="6" t="s">
        <v>45</v>
      </c>
      <c r="L204" s="6" t="s">
        <v>46</v>
      </c>
      <c r="M204" s="6" t="s">
        <v>115</v>
      </c>
      <c r="N204" s="6" t="s">
        <v>116</v>
      </c>
      <c r="O204" s="6" t="s">
        <v>49</v>
      </c>
      <c r="P204" s="6" t="s">
        <v>49</v>
      </c>
      <c r="Q204" s="6" t="s">
        <v>49</v>
      </c>
      <c r="R204" s="6" t="s">
        <v>49</v>
      </c>
      <c r="S204" s="6" t="s">
        <v>268</v>
      </c>
      <c r="T204" s="6" t="s">
        <v>269</v>
      </c>
      <c r="U204" s="6" t="s">
        <v>251</v>
      </c>
      <c r="V204" s="6" t="s">
        <v>684</v>
      </c>
      <c r="W204" s="12">
        <v>38.955444</v>
      </c>
      <c r="X204" s="12">
        <v>-106.99119399999999</v>
      </c>
      <c r="Y204" s="6" t="s">
        <v>141</v>
      </c>
      <c r="Z204" s="6" t="s">
        <v>271</v>
      </c>
      <c r="AA204" s="1" t="s">
        <v>50</v>
      </c>
      <c r="AB204" s="1" t="s">
        <v>96</v>
      </c>
      <c r="AC204" s="1" t="s">
        <v>299</v>
      </c>
      <c r="AD204" s="1" t="s">
        <v>300</v>
      </c>
      <c r="AE204" s="1" t="s">
        <v>300</v>
      </c>
      <c r="AF204" s="1" t="s">
        <v>60</v>
      </c>
      <c r="AG204" s="1" t="s">
        <v>543</v>
      </c>
      <c r="AH204" s="6" t="s">
        <v>49</v>
      </c>
      <c r="AI204" s="6" t="s">
        <v>272</v>
      </c>
      <c r="AJ204" s="6" t="s">
        <v>49</v>
      </c>
      <c r="AK204" s="6">
        <v>68</v>
      </c>
      <c r="AL204" s="6" t="s">
        <v>49</v>
      </c>
      <c r="AM204" s="6">
        <v>0.61160000000000003</v>
      </c>
      <c r="AN204" s="6">
        <v>2.1999999999999999E-2</v>
      </c>
      <c r="AO204" s="6" t="s">
        <v>49</v>
      </c>
      <c r="AP204" s="6">
        <v>0</v>
      </c>
      <c r="AQ204" s="6" t="s">
        <v>49</v>
      </c>
      <c r="AR204" s="6">
        <v>2.1999999999999999E-2</v>
      </c>
      <c r="AS204" s="6" t="s">
        <v>49</v>
      </c>
      <c r="AT204" s="6" t="s">
        <v>49</v>
      </c>
      <c r="AU204" s="6" t="s">
        <v>49</v>
      </c>
      <c r="AV204" s="6" t="s">
        <v>49</v>
      </c>
    </row>
    <row r="205" spans="1:48" ht="14.4" customHeight="1">
      <c r="A205" s="6" t="s">
        <v>680</v>
      </c>
      <c r="B205" s="6" t="s">
        <v>38</v>
      </c>
      <c r="C205" s="6" t="s">
        <v>38</v>
      </c>
      <c r="D205" s="1" t="s">
        <v>681</v>
      </c>
      <c r="E205" s="1" t="s">
        <v>40</v>
      </c>
      <c r="F205" s="6">
        <v>2000</v>
      </c>
      <c r="G205" s="1" t="s">
        <v>177</v>
      </c>
      <c r="H205" s="6" t="s">
        <v>178</v>
      </c>
      <c r="I205" s="6" t="s">
        <v>179</v>
      </c>
      <c r="J205" s="1" t="str">
        <f t="shared" si="3"/>
        <v>Ipomopsis_aggregata</v>
      </c>
      <c r="K205" s="6" t="s">
        <v>45</v>
      </c>
      <c r="L205" s="6" t="s">
        <v>46</v>
      </c>
      <c r="M205" s="6" t="s">
        <v>115</v>
      </c>
      <c r="N205" s="6" t="s">
        <v>116</v>
      </c>
      <c r="O205" s="6" t="s">
        <v>49</v>
      </c>
      <c r="P205" s="6" t="s">
        <v>49</v>
      </c>
      <c r="Q205" s="6" t="s">
        <v>49</v>
      </c>
      <c r="R205" s="6" t="s">
        <v>49</v>
      </c>
      <c r="S205" s="6" t="s">
        <v>268</v>
      </c>
      <c r="T205" s="6" t="s">
        <v>269</v>
      </c>
      <c r="U205" s="6" t="s">
        <v>251</v>
      </c>
      <c r="V205" s="6" t="s">
        <v>684</v>
      </c>
      <c r="W205" s="12">
        <v>38.955444</v>
      </c>
      <c r="X205" s="12">
        <v>-106.99119399999999</v>
      </c>
      <c r="Y205" s="6" t="s">
        <v>141</v>
      </c>
      <c r="Z205" s="6" t="s">
        <v>271</v>
      </c>
      <c r="AA205" s="1" t="s">
        <v>49</v>
      </c>
      <c r="AB205" s="1" t="s">
        <v>49</v>
      </c>
      <c r="AC205" s="1" t="s">
        <v>49</v>
      </c>
      <c r="AD205" s="6" t="s">
        <v>122</v>
      </c>
      <c r="AE205" s="1" t="s">
        <v>90</v>
      </c>
      <c r="AF205" s="1" t="s">
        <v>49</v>
      </c>
      <c r="AG205" s="1" t="s">
        <v>49</v>
      </c>
      <c r="AH205" s="6" t="s">
        <v>49</v>
      </c>
      <c r="AI205" s="6" t="s">
        <v>272</v>
      </c>
      <c r="AJ205" s="6" t="s">
        <v>49</v>
      </c>
      <c r="AK205" s="6">
        <v>68</v>
      </c>
      <c r="AL205" s="6" t="s">
        <v>49</v>
      </c>
      <c r="AM205" s="6" t="s">
        <v>49</v>
      </c>
      <c r="AN205" s="6">
        <v>17.029</v>
      </c>
      <c r="AO205" s="6" t="s">
        <v>49</v>
      </c>
      <c r="AP205" s="6">
        <v>0</v>
      </c>
      <c r="AQ205" s="6" t="s">
        <v>49</v>
      </c>
      <c r="AR205" s="6">
        <v>17.029</v>
      </c>
      <c r="AS205" s="6" t="s">
        <v>49</v>
      </c>
      <c r="AT205" s="6" t="s">
        <v>49</v>
      </c>
      <c r="AU205" s="6" t="s">
        <v>49</v>
      </c>
      <c r="AV205" s="6" t="s">
        <v>49</v>
      </c>
    </row>
    <row r="206" spans="1:48" ht="14.4" customHeight="1">
      <c r="A206" s="6" t="s">
        <v>680</v>
      </c>
      <c r="B206" s="6" t="s">
        <v>38</v>
      </c>
      <c r="C206" s="6" t="s">
        <v>38</v>
      </c>
      <c r="D206" s="1" t="s">
        <v>681</v>
      </c>
      <c r="E206" s="1" t="s">
        <v>40</v>
      </c>
      <c r="F206" s="6">
        <v>2000</v>
      </c>
      <c r="G206" s="1" t="s">
        <v>177</v>
      </c>
      <c r="H206" s="6" t="s">
        <v>178</v>
      </c>
      <c r="I206" s="6" t="s">
        <v>179</v>
      </c>
      <c r="J206" s="1" t="str">
        <f t="shared" si="3"/>
        <v>Ipomopsis_aggregata</v>
      </c>
      <c r="K206" s="6" t="s">
        <v>45</v>
      </c>
      <c r="L206" s="6" t="s">
        <v>46</v>
      </c>
      <c r="M206" s="6" t="s">
        <v>115</v>
      </c>
      <c r="N206" s="6" t="s">
        <v>116</v>
      </c>
      <c r="O206" s="6" t="s">
        <v>49</v>
      </c>
      <c r="P206" s="6" t="s">
        <v>49</v>
      </c>
      <c r="Q206" s="6" t="s">
        <v>49</v>
      </c>
      <c r="R206" s="6" t="s">
        <v>49</v>
      </c>
      <c r="S206" s="6" t="s">
        <v>268</v>
      </c>
      <c r="T206" s="6" t="s">
        <v>269</v>
      </c>
      <c r="U206" s="6" t="s">
        <v>251</v>
      </c>
      <c r="V206" s="6" t="s">
        <v>684</v>
      </c>
      <c r="W206" s="12">
        <v>38.955444</v>
      </c>
      <c r="X206" s="12">
        <v>-106.99119399999999</v>
      </c>
      <c r="Y206" s="6" t="s">
        <v>141</v>
      </c>
      <c r="Z206" s="6" t="s">
        <v>271</v>
      </c>
      <c r="AA206" s="1" t="s">
        <v>49</v>
      </c>
      <c r="AB206" s="1" t="s">
        <v>49</v>
      </c>
      <c r="AC206" s="1" t="s">
        <v>49</v>
      </c>
      <c r="AD206" s="6" t="s">
        <v>122</v>
      </c>
      <c r="AE206" s="1" t="s">
        <v>89</v>
      </c>
      <c r="AF206" s="1" t="s">
        <v>49</v>
      </c>
      <c r="AG206" s="1" t="s">
        <v>49</v>
      </c>
      <c r="AH206" s="6" t="s">
        <v>49</v>
      </c>
      <c r="AI206" s="6" t="s">
        <v>272</v>
      </c>
      <c r="AJ206" s="6" t="s">
        <v>49</v>
      </c>
      <c r="AK206" s="6">
        <v>68</v>
      </c>
      <c r="AL206" s="6" t="s">
        <v>49</v>
      </c>
      <c r="AM206" s="6" t="s">
        <v>49</v>
      </c>
      <c r="AN206" s="6">
        <v>0.315</v>
      </c>
      <c r="AO206" s="6" t="s">
        <v>49</v>
      </c>
      <c r="AP206" s="6">
        <v>0</v>
      </c>
      <c r="AQ206" s="6" t="s">
        <v>49</v>
      </c>
      <c r="AR206" s="6">
        <v>0.315</v>
      </c>
      <c r="AS206" s="6" t="s">
        <v>49</v>
      </c>
      <c r="AT206" s="6" t="s">
        <v>49</v>
      </c>
      <c r="AU206" s="6" t="s">
        <v>49</v>
      </c>
      <c r="AV206" s="6" t="s">
        <v>49</v>
      </c>
    </row>
    <row r="207" spans="1:48" ht="14.4" customHeight="1">
      <c r="A207" s="6" t="s">
        <v>680</v>
      </c>
      <c r="B207" s="6" t="s">
        <v>38</v>
      </c>
      <c r="C207" s="6" t="s">
        <v>38</v>
      </c>
      <c r="D207" s="1" t="s">
        <v>681</v>
      </c>
      <c r="E207" s="1" t="s">
        <v>40</v>
      </c>
      <c r="F207" s="6">
        <v>2000</v>
      </c>
      <c r="G207" s="1" t="s">
        <v>177</v>
      </c>
      <c r="H207" s="6" t="s">
        <v>178</v>
      </c>
      <c r="I207" s="6" t="s">
        <v>179</v>
      </c>
      <c r="J207" s="1" t="str">
        <f t="shared" si="3"/>
        <v>Ipomopsis_aggregata</v>
      </c>
      <c r="K207" s="6" t="s">
        <v>45</v>
      </c>
      <c r="L207" s="6" t="s">
        <v>46</v>
      </c>
      <c r="M207" s="6" t="s">
        <v>115</v>
      </c>
      <c r="N207" s="6" t="s">
        <v>116</v>
      </c>
      <c r="O207" s="6" t="s">
        <v>49</v>
      </c>
      <c r="P207" s="6" t="s">
        <v>49</v>
      </c>
      <c r="Q207" s="6" t="s">
        <v>49</v>
      </c>
      <c r="R207" s="6" t="s">
        <v>49</v>
      </c>
      <c r="S207" s="6" t="s">
        <v>268</v>
      </c>
      <c r="T207" s="6" t="s">
        <v>269</v>
      </c>
      <c r="U207" s="6" t="s">
        <v>251</v>
      </c>
      <c r="V207" s="6" t="s">
        <v>684</v>
      </c>
      <c r="W207" s="12">
        <v>38.955444</v>
      </c>
      <c r="X207" s="12">
        <v>-106.99119399999999</v>
      </c>
      <c r="Y207" s="6" t="s">
        <v>141</v>
      </c>
      <c r="Z207" s="6" t="s">
        <v>271</v>
      </c>
      <c r="AA207" s="1" t="s">
        <v>49</v>
      </c>
      <c r="AB207" s="1" t="s">
        <v>49</v>
      </c>
      <c r="AC207" s="1" t="s">
        <v>49</v>
      </c>
      <c r="AD207" s="6" t="s">
        <v>122</v>
      </c>
      <c r="AE207" s="6" t="s">
        <v>187</v>
      </c>
      <c r="AF207" s="1" t="s">
        <v>49</v>
      </c>
      <c r="AG207" s="1" t="s">
        <v>49</v>
      </c>
      <c r="AH207" s="6" t="s">
        <v>49</v>
      </c>
      <c r="AI207" s="6" t="s">
        <v>272</v>
      </c>
      <c r="AJ207" s="6" t="s">
        <v>49</v>
      </c>
      <c r="AK207" s="6">
        <v>68</v>
      </c>
      <c r="AL207" s="6" t="s">
        <v>49</v>
      </c>
      <c r="AM207" s="6" t="s">
        <v>49</v>
      </c>
      <c r="AN207" s="6">
        <v>-0.65700000000000003</v>
      </c>
      <c r="AO207" s="6" t="s">
        <v>49</v>
      </c>
      <c r="AP207" s="6">
        <v>0</v>
      </c>
      <c r="AQ207" s="6" t="s">
        <v>49</v>
      </c>
      <c r="AR207" s="6">
        <v>-0.65700000000000003</v>
      </c>
      <c r="AS207" s="6" t="s">
        <v>49</v>
      </c>
      <c r="AT207" s="6" t="s">
        <v>49</v>
      </c>
      <c r="AU207" s="6" t="s">
        <v>49</v>
      </c>
      <c r="AV207" s="6" t="s">
        <v>49</v>
      </c>
    </row>
    <row r="208" spans="1:48" ht="14.4" customHeight="1">
      <c r="A208" s="6" t="s">
        <v>680</v>
      </c>
      <c r="B208" s="6" t="s">
        <v>38</v>
      </c>
      <c r="C208" s="6" t="s">
        <v>38</v>
      </c>
      <c r="D208" s="1" t="s">
        <v>681</v>
      </c>
      <c r="E208" s="1" t="s">
        <v>40</v>
      </c>
      <c r="F208" s="6">
        <v>2000</v>
      </c>
      <c r="G208" s="1" t="s">
        <v>177</v>
      </c>
      <c r="H208" s="6" t="s">
        <v>178</v>
      </c>
      <c r="I208" s="6" t="s">
        <v>179</v>
      </c>
      <c r="J208" s="1" t="str">
        <f t="shared" si="3"/>
        <v>Ipomopsis_aggregata</v>
      </c>
      <c r="K208" s="6" t="s">
        <v>45</v>
      </c>
      <c r="L208" s="6" t="s">
        <v>46</v>
      </c>
      <c r="M208" s="6" t="s">
        <v>115</v>
      </c>
      <c r="N208" s="6" t="s">
        <v>116</v>
      </c>
      <c r="O208" s="6" t="s">
        <v>49</v>
      </c>
      <c r="P208" s="6" t="s">
        <v>49</v>
      </c>
      <c r="Q208" s="6" t="s">
        <v>49</v>
      </c>
      <c r="R208" s="6" t="s">
        <v>49</v>
      </c>
      <c r="S208" s="6" t="s">
        <v>268</v>
      </c>
      <c r="T208" s="6" t="s">
        <v>269</v>
      </c>
      <c r="U208" s="6" t="s">
        <v>251</v>
      </c>
      <c r="V208" s="6" t="s">
        <v>684</v>
      </c>
      <c r="W208" s="12">
        <v>38.955444</v>
      </c>
      <c r="X208" s="12">
        <v>-106.99119399999999</v>
      </c>
      <c r="Y208" s="6" t="s">
        <v>141</v>
      </c>
      <c r="Z208" s="6" t="s">
        <v>271</v>
      </c>
      <c r="AA208" s="1" t="s">
        <v>49</v>
      </c>
      <c r="AB208" s="1" t="s">
        <v>49</v>
      </c>
      <c r="AC208" s="1" t="s">
        <v>49</v>
      </c>
      <c r="AD208" s="6" t="s">
        <v>122</v>
      </c>
      <c r="AE208" s="1" t="s">
        <v>300</v>
      </c>
      <c r="AF208" s="1" t="s">
        <v>49</v>
      </c>
      <c r="AG208" s="1" t="s">
        <v>49</v>
      </c>
      <c r="AH208" s="6" t="s">
        <v>49</v>
      </c>
      <c r="AI208" s="6" t="s">
        <v>272</v>
      </c>
      <c r="AJ208" s="6" t="s">
        <v>49</v>
      </c>
      <c r="AK208" s="6">
        <v>68</v>
      </c>
      <c r="AL208" s="6" t="s">
        <v>49</v>
      </c>
      <c r="AM208" s="6" t="s">
        <v>49</v>
      </c>
      <c r="AN208" s="6">
        <v>-0.50900000000000001</v>
      </c>
      <c r="AO208" s="6" t="s">
        <v>49</v>
      </c>
      <c r="AP208" s="6">
        <v>0</v>
      </c>
      <c r="AQ208" s="6" t="s">
        <v>49</v>
      </c>
      <c r="AR208" s="6">
        <v>-0.50900000000000001</v>
      </c>
      <c r="AS208" s="6" t="s">
        <v>49</v>
      </c>
      <c r="AT208" s="6" t="s">
        <v>49</v>
      </c>
      <c r="AU208" s="6" t="s">
        <v>49</v>
      </c>
      <c r="AV208" s="6" t="s">
        <v>49</v>
      </c>
    </row>
    <row r="209" spans="1:48" ht="14.4" customHeight="1">
      <c r="A209" s="6" t="s">
        <v>680</v>
      </c>
      <c r="B209" s="6" t="s">
        <v>38</v>
      </c>
      <c r="C209" s="6" t="s">
        <v>38</v>
      </c>
      <c r="D209" s="1" t="s">
        <v>681</v>
      </c>
      <c r="E209" s="1" t="s">
        <v>40</v>
      </c>
      <c r="F209" s="6">
        <v>2000</v>
      </c>
      <c r="G209" s="1" t="s">
        <v>177</v>
      </c>
      <c r="H209" s="6" t="s">
        <v>178</v>
      </c>
      <c r="I209" s="6" t="s">
        <v>179</v>
      </c>
      <c r="J209" s="1" t="str">
        <f t="shared" si="3"/>
        <v>Ipomopsis_aggregata</v>
      </c>
      <c r="K209" s="6" t="s">
        <v>45</v>
      </c>
      <c r="L209" s="6" t="s">
        <v>46</v>
      </c>
      <c r="M209" s="6" t="s">
        <v>115</v>
      </c>
      <c r="N209" s="6" t="s">
        <v>116</v>
      </c>
      <c r="O209" s="6" t="s">
        <v>49</v>
      </c>
      <c r="P209" s="6" t="s">
        <v>49</v>
      </c>
      <c r="Q209" s="6" t="s">
        <v>49</v>
      </c>
      <c r="R209" s="6" t="s">
        <v>49</v>
      </c>
      <c r="S209" s="6" t="s">
        <v>268</v>
      </c>
      <c r="T209" s="6" t="s">
        <v>269</v>
      </c>
      <c r="U209" s="6" t="s">
        <v>251</v>
      </c>
      <c r="V209" s="6" t="s">
        <v>684</v>
      </c>
      <c r="W209" s="12">
        <v>38.955444</v>
      </c>
      <c r="X209" s="12">
        <v>-106.99119399999999</v>
      </c>
      <c r="Y209" s="6" t="s">
        <v>141</v>
      </c>
      <c r="Z209" s="6" t="s">
        <v>271</v>
      </c>
      <c r="AA209" s="1" t="s">
        <v>49</v>
      </c>
      <c r="AB209" s="1" t="s">
        <v>49</v>
      </c>
      <c r="AC209" s="1" t="s">
        <v>49</v>
      </c>
      <c r="AD209" s="1" t="s">
        <v>90</v>
      </c>
      <c r="AE209" s="1" t="s">
        <v>89</v>
      </c>
      <c r="AF209" s="1" t="s">
        <v>49</v>
      </c>
      <c r="AG209" s="1" t="s">
        <v>49</v>
      </c>
      <c r="AH209" s="6" t="s">
        <v>49</v>
      </c>
      <c r="AI209" s="6" t="s">
        <v>272</v>
      </c>
      <c r="AJ209" s="6" t="s">
        <v>49</v>
      </c>
      <c r="AK209" s="6">
        <v>68</v>
      </c>
      <c r="AL209" s="6" t="s">
        <v>49</v>
      </c>
      <c r="AM209" s="6" t="s">
        <v>49</v>
      </c>
      <c r="AN209" s="6">
        <v>0.42099999999999999</v>
      </c>
      <c r="AO209" s="6" t="s">
        <v>49</v>
      </c>
      <c r="AP209" s="6">
        <v>0</v>
      </c>
      <c r="AQ209" s="6" t="s">
        <v>49</v>
      </c>
      <c r="AR209" s="6">
        <v>0.42099999999999999</v>
      </c>
      <c r="AS209" s="6" t="s">
        <v>49</v>
      </c>
      <c r="AT209" s="6" t="s">
        <v>49</v>
      </c>
      <c r="AU209" s="6" t="s">
        <v>49</v>
      </c>
      <c r="AV209" s="6" t="s">
        <v>49</v>
      </c>
    </row>
    <row r="210" spans="1:48" ht="14.4" customHeight="1">
      <c r="A210" s="6" t="s">
        <v>680</v>
      </c>
      <c r="B210" s="6" t="s">
        <v>38</v>
      </c>
      <c r="C210" s="6" t="s">
        <v>38</v>
      </c>
      <c r="D210" s="1" t="s">
        <v>681</v>
      </c>
      <c r="E210" s="1" t="s">
        <v>40</v>
      </c>
      <c r="F210" s="6">
        <v>2000</v>
      </c>
      <c r="G210" s="1" t="s">
        <v>177</v>
      </c>
      <c r="H210" s="6" t="s">
        <v>178</v>
      </c>
      <c r="I210" s="6" t="s">
        <v>179</v>
      </c>
      <c r="J210" s="1" t="str">
        <f t="shared" si="3"/>
        <v>Ipomopsis_aggregata</v>
      </c>
      <c r="K210" s="6" t="s">
        <v>45</v>
      </c>
      <c r="L210" s="6" t="s">
        <v>46</v>
      </c>
      <c r="M210" s="6" t="s">
        <v>115</v>
      </c>
      <c r="N210" s="6" t="s">
        <v>116</v>
      </c>
      <c r="O210" s="6" t="s">
        <v>49</v>
      </c>
      <c r="P210" s="6" t="s">
        <v>49</v>
      </c>
      <c r="Q210" s="6" t="s">
        <v>49</v>
      </c>
      <c r="R210" s="6" t="s">
        <v>49</v>
      </c>
      <c r="S210" s="6" t="s">
        <v>268</v>
      </c>
      <c r="T210" s="6" t="s">
        <v>269</v>
      </c>
      <c r="U210" s="6" t="s">
        <v>251</v>
      </c>
      <c r="V210" s="6" t="s">
        <v>684</v>
      </c>
      <c r="W210" s="12">
        <v>38.955444</v>
      </c>
      <c r="X210" s="12">
        <v>-106.99119399999999</v>
      </c>
      <c r="Y210" s="6" t="s">
        <v>141</v>
      </c>
      <c r="Z210" s="6" t="s">
        <v>271</v>
      </c>
      <c r="AA210" s="1" t="s">
        <v>49</v>
      </c>
      <c r="AB210" s="1" t="s">
        <v>49</v>
      </c>
      <c r="AC210" s="1" t="s">
        <v>49</v>
      </c>
      <c r="AD210" s="1" t="s">
        <v>90</v>
      </c>
      <c r="AE210" s="6" t="s">
        <v>187</v>
      </c>
      <c r="AF210" s="1" t="s">
        <v>49</v>
      </c>
      <c r="AG210" s="1" t="s">
        <v>49</v>
      </c>
      <c r="AH210" s="6" t="s">
        <v>49</v>
      </c>
      <c r="AI210" s="6" t="s">
        <v>272</v>
      </c>
      <c r="AJ210" s="6" t="s">
        <v>49</v>
      </c>
      <c r="AK210" s="6">
        <v>68</v>
      </c>
      <c r="AL210" s="6" t="s">
        <v>49</v>
      </c>
      <c r="AM210" s="6" t="s">
        <v>49</v>
      </c>
      <c r="AN210" s="6">
        <v>1.3240000000000001</v>
      </c>
      <c r="AO210" s="6" t="s">
        <v>49</v>
      </c>
      <c r="AP210" s="6">
        <v>0</v>
      </c>
      <c r="AQ210" s="6" t="s">
        <v>49</v>
      </c>
      <c r="AR210" s="6">
        <v>1.3240000000000001</v>
      </c>
      <c r="AS210" s="6" t="s">
        <v>49</v>
      </c>
      <c r="AT210" s="6" t="s">
        <v>49</v>
      </c>
      <c r="AU210" s="6" t="s">
        <v>49</v>
      </c>
      <c r="AV210" s="6" t="s">
        <v>49</v>
      </c>
    </row>
    <row r="211" spans="1:48" ht="14.4" customHeight="1">
      <c r="A211" s="6" t="s">
        <v>680</v>
      </c>
      <c r="B211" s="6" t="s">
        <v>38</v>
      </c>
      <c r="C211" s="6" t="s">
        <v>38</v>
      </c>
      <c r="D211" s="1" t="s">
        <v>681</v>
      </c>
      <c r="E211" s="1" t="s">
        <v>40</v>
      </c>
      <c r="F211" s="6">
        <v>2000</v>
      </c>
      <c r="G211" s="1" t="s">
        <v>177</v>
      </c>
      <c r="H211" s="6" t="s">
        <v>178</v>
      </c>
      <c r="I211" s="6" t="s">
        <v>179</v>
      </c>
      <c r="J211" s="1" t="str">
        <f t="shared" si="3"/>
        <v>Ipomopsis_aggregata</v>
      </c>
      <c r="K211" s="6" t="s">
        <v>45</v>
      </c>
      <c r="L211" s="6" t="s">
        <v>46</v>
      </c>
      <c r="M211" s="6" t="s">
        <v>115</v>
      </c>
      <c r="N211" s="6" t="s">
        <v>116</v>
      </c>
      <c r="O211" s="6" t="s">
        <v>49</v>
      </c>
      <c r="P211" s="6" t="s">
        <v>49</v>
      </c>
      <c r="Q211" s="6" t="s">
        <v>49</v>
      </c>
      <c r="R211" s="6" t="s">
        <v>49</v>
      </c>
      <c r="S211" s="6" t="s">
        <v>268</v>
      </c>
      <c r="T211" s="6" t="s">
        <v>269</v>
      </c>
      <c r="U211" s="6" t="s">
        <v>251</v>
      </c>
      <c r="V211" s="6" t="s">
        <v>684</v>
      </c>
      <c r="W211" s="12">
        <v>38.955444</v>
      </c>
      <c r="X211" s="12">
        <v>-106.99119399999999</v>
      </c>
      <c r="Y211" s="6" t="s">
        <v>141</v>
      </c>
      <c r="Z211" s="6" t="s">
        <v>271</v>
      </c>
      <c r="AA211" s="1" t="s">
        <v>49</v>
      </c>
      <c r="AB211" s="1" t="s">
        <v>49</v>
      </c>
      <c r="AC211" s="1" t="s">
        <v>49</v>
      </c>
      <c r="AD211" s="1" t="s">
        <v>90</v>
      </c>
      <c r="AE211" s="1" t="s">
        <v>300</v>
      </c>
      <c r="AF211" s="1" t="s">
        <v>49</v>
      </c>
      <c r="AG211" s="1" t="s">
        <v>49</v>
      </c>
      <c r="AH211" s="6" t="s">
        <v>49</v>
      </c>
      <c r="AI211" s="6" t="s">
        <v>272</v>
      </c>
      <c r="AJ211" s="6" t="s">
        <v>49</v>
      </c>
      <c r="AK211" s="6">
        <v>68</v>
      </c>
      <c r="AL211" s="6" t="s">
        <v>49</v>
      </c>
      <c r="AM211" s="6" t="s">
        <v>49</v>
      </c>
      <c r="AN211" s="6">
        <v>-0.12</v>
      </c>
      <c r="AO211" s="6" t="s">
        <v>49</v>
      </c>
      <c r="AP211" s="6">
        <v>0</v>
      </c>
      <c r="AQ211" s="6" t="s">
        <v>49</v>
      </c>
      <c r="AR211" s="6">
        <v>-0.12</v>
      </c>
      <c r="AS211" s="6" t="s">
        <v>49</v>
      </c>
      <c r="AT211" s="6" t="s">
        <v>49</v>
      </c>
      <c r="AU211" s="6" t="s">
        <v>49</v>
      </c>
      <c r="AV211" s="6" t="s">
        <v>49</v>
      </c>
    </row>
    <row r="212" spans="1:48" ht="14.4" customHeight="1">
      <c r="A212" s="6" t="s">
        <v>680</v>
      </c>
      <c r="B212" s="6" t="s">
        <v>38</v>
      </c>
      <c r="C212" s="6" t="s">
        <v>38</v>
      </c>
      <c r="D212" s="1" t="s">
        <v>681</v>
      </c>
      <c r="E212" s="1" t="s">
        <v>40</v>
      </c>
      <c r="F212" s="6">
        <v>2000</v>
      </c>
      <c r="G212" s="1" t="s">
        <v>177</v>
      </c>
      <c r="H212" s="6" t="s">
        <v>178</v>
      </c>
      <c r="I212" s="6" t="s">
        <v>179</v>
      </c>
      <c r="J212" s="1" t="str">
        <f t="shared" si="3"/>
        <v>Ipomopsis_aggregata</v>
      </c>
      <c r="K212" s="6" t="s">
        <v>45</v>
      </c>
      <c r="L212" s="6" t="s">
        <v>46</v>
      </c>
      <c r="M212" s="6" t="s">
        <v>115</v>
      </c>
      <c r="N212" s="6" t="s">
        <v>116</v>
      </c>
      <c r="O212" s="6" t="s">
        <v>49</v>
      </c>
      <c r="P212" s="6" t="s">
        <v>49</v>
      </c>
      <c r="Q212" s="6" t="s">
        <v>49</v>
      </c>
      <c r="R212" s="6" t="s">
        <v>49</v>
      </c>
      <c r="S212" s="6" t="s">
        <v>268</v>
      </c>
      <c r="T212" s="6" t="s">
        <v>269</v>
      </c>
      <c r="U212" s="6" t="s">
        <v>251</v>
      </c>
      <c r="V212" s="6" t="s">
        <v>684</v>
      </c>
      <c r="W212" s="12">
        <v>38.955444</v>
      </c>
      <c r="X212" s="12">
        <v>-106.99119399999999</v>
      </c>
      <c r="Y212" s="6" t="s">
        <v>141</v>
      </c>
      <c r="Z212" s="6" t="s">
        <v>271</v>
      </c>
      <c r="AA212" s="1" t="s">
        <v>49</v>
      </c>
      <c r="AB212" s="1" t="s">
        <v>49</v>
      </c>
      <c r="AC212" s="1" t="s">
        <v>49</v>
      </c>
      <c r="AD212" s="1" t="s">
        <v>89</v>
      </c>
      <c r="AE212" s="6" t="s">
        <v>187</v>
      </c>
      <c r="AF212" s="1" t="s">
        <v>49</v>
      </c>
      <c r="AG212" s="1" t="s">
        <v>49</v>
      </c>
      <c r="AH212" s="6" t="s">
        <v>49</v>
      </c>
      <c r="AI212" s="6" t="s">
        <v>272</v>
      </c>
      <c r="AJ212" s="6" t="s">
        <v>49</v>
      </c>
      <c r="AK212" s="6">
        <v>68</v>
      </c>
      <c r="AL212" s="6" t="s">
        <v>49</v>
      </c>
      <c r="AM212" s="6" t="s">
        <v>49</v>
      </c>
      <c r="AN212" s="6">
        <v>0.107</v>
      </c>
      <c r="AO212" s="6" t="s">
        <v>49</v>
      </c>
      <c r="AP212" s="6">
        <v>0</v>
      </c>
      <c r="AQ212" s="6" t="s">
        <v>49</v>
      </c>
      <c r="AR212" s="6">
        <v>0.107</v>
      </c>
      <c r="AS212" s="6" t="s">
        <v>49</v>
      </c>
      <c r="AT212" s="6" t="s">
        <v>49</v>
      </c>
      <c r="AU212" s="6" t="s">
        <v>49</v>
      </c>
      <c r="AV212" s="6" t="s">
        <v>49</v>
      </c>
    </row>
    <row r="213" spans="1:48" ht="14.4" customHeight="1">
      <c r="A213" s="6" t="s">
        <v>680</v>
      </c>
      <c r="B213" s="6" t="s">
        <v>38</v>
      </c>
      <c r="C213" s="6" t="s">
        <v>38</v>
      </c>
      <c r="D213" s="1" t="s">
        <v>681</v>
      </c>
      <c r="E213" s="1" t="s">
        <v>40</v>
      </c>
      <c r="F213" s="6">
        <v>2000</v>
      </c>
      <c r="G213" s="1" t="s">
        <v>177</v>
      </c>
      <c r="H213" s="6" t="s">
        <v>178</v>
      </c>
      <c r="I213" s="6" t="s">
        <v>179</v>
      </c>
      <c r="J213" s="1" t="str">
        <f t="shared" si="3"/>
        <v>Ipomopsis_aggregata</v>
      </c>
      <c r="K213" s="6" t="s">
        <v>45</v>
      </c>
      <c r="L213" s="6" t="s">
        <v>46</v>
      </c>
      <c r="M213" s="6" t="s">
        <v>115</v>
      </c>
      <c r="N213" s="6" t="s">
        <v>116</v>
      </c>
      <c r="O213" s="6" t="s">
        <v>49</v>
      </c>
      <c r="P213" s="6" t="s">
        <v>49</v>
      </c>
      <c r="Q213" s="6" t="s">
        <v>49</v>
      </c>
      <c r="R213" s="6" t="s">
        <v>49</v>
      </c>
      <c r="S213" s="6" t="s">
        <v>268</v>
      </c>
      <c r="T213" s="6" t="s">
        <v>269</v>
      </c>
      <c r="U213" s="6" t="s">
        <v>251</v>
      </c>
      <c r="V213" s="6" t="s">
        <v>684</v>
      </c>
      <c r="W213" s="12">
        <v>38.955444</v>
      </c>
      <c r="X213" s="12">
        <v>-106.99119399999999</v>
      </c>
      <c r="Y213" s="6" t="s">
        <v>141</v>
      </c>
      <c r="Z213" s="6" t="s">
        <v>271</v>
      </c>
      <c r="AA213" s="1" t="s">
        <v>49</v>
      </c>
      <c r="AB213" s="1" t="s">
        <v>49</v>
      </c>
      <c r="AC213" s="1" t="s">
        <v>49</v>
      </c>
      <c r="AD213" s="1" t="s">
        <v>89</v>
      </c>
      <c r="AE213" s="1" t="s">
        <v>300</v>
      </c>
      <c r="AF213" s="1" t="s">
        <v>49</v>
      </c>
      <c r="AG213" s="1" t="s">
        <v>49</v>
      </c>
      <c r="AH213" s="6" t="s">
        <v>49</v>
      </c>
      <c r="AI213" s="6" t="s">
        <v>272</v>
      </c>
      <c r="AJ213" s="6" t="s">
        <v>49</v>
      </c>
      <c r="AK213" s="6">
        <v>68</v>
      </c>
      <c r="AL213" s="6" t="s">
        <v>49</v>
      </c>
      <c r="AM213" s="6" t="s">
        <v>49</v>
      </c>
      <c r="AN213" s="6">
        <v>-4.0000000000000001E-3</v>
      </c>
      <c r="AO213" s="6" t="s">
        <v>49</v>
      </c>
      <c r="AP213" s="6">
        <v>0</v>
      </c>
      <c r="AQ213" s="6" t="s">
        <v>49</v>
      </c>
      <c r="AR213" s="6">
        <v>-4.0000000000000001E-3</v>
      </c>
      <c r="AS213" s="6" t="s">
        <v>49</v>
      </c>
      <c r="AT213" s="6" t="s">
        <v>49</v>
      </c>
      <c r="AU213" s="6" t="s">
        <v>49</v>
      </c>
      <c r="AV213" s="6" t="s">
        <v>49</v>
      </c>
    </row>
    <row r="214" spans="1:48" ht="14.4" customHeight="1">
      <c r="A214" s="6" t="s">
        <v>680</v>
      </c>
      <c r="B214" s="6" t="s">
        <v>38</v>
      </c>
      <c r="C214" s="6" t="s">
        <v>38</v>
      </c>
      <c r="D214" s="1" t="s">
        <v>681</v>
      </c>
      <c r="E214" s="1" t="s">
        <v>40</v>
      </c>
      <c r="F214" s="6">
        <v>2000</v>
      </c>
      <c r="G214" s="1" t="s">
        <v>177</v>
      </c>
      <c r="H214" s="6" t="s">
        <v>178</v>
      </c>
      <c r="I214" s="6" t="s">
        <v>179</v>
      </c>
      <c r="J214" s="1" t="str">
        <f t="shared" si="3"/>
        <v>Ipomopsis_aggregata</v>
      </c>
      <c r="K214" s="6" t="s">
        <v>45</v>
      </c>
      <c r="L214" s="6" t="s">
        <v>46</v>
      </c>
      <c r="M214" s="6" t="s">
        <v>115</v>
      </c>
      <c r="N214" s="6" t="s">
        <v>116</v>
      </c>
      <c r="O214" s="6" t="s">
        <v>49</v>
      </c>
      <c r="P214" s="6" t="s">
        <v>49</v>
      </c>
      <c r="Q214" s="6" t="s">
        <v>49</v>
      </c>
      <c r="R214" s="6" t="s">
        <v>49</v>
      </c>
      <c r="S214" s="6" t="s">
        <v>268</v>
      </c>
      <c r="T214" s="6" t="s">
        <v>269</v>
      </c>
      <c r="U214" s="6" t="s">
        <v>251</v>
      </c>
      <c r="V214" s="6" t="s">
        <v>684</v>
      </c>
      <c r="W214" s="12">
        <v>38.955444</v>
      </c>
      <c r="X214" s="12">
        <v>-106.99119399999999</v>
      </c>
      <c r="Y214" s="6" t="s">
        <v>141</v>
      </c>
      <c r="Z214" s="6" t="s">
        <v>271</v>
      </c>
      <c r="AA214" s="1" t="s">
        <v>49</v>
      </c>
      <c r="AB214" s="1" t="s">
        <v>49</v>
      </c>
      <c r="AC214" s="1" t="s">
        <v>49</v>
      </c>
      <c r="AD214" s="6" t="s">
        <v>187</v>
      </c>
      <c r="AE214" s="1" t="s">
        <v>300</v>
      </c>
      <c r="AF214" s="1" t="s">
        <v>49</v>
      </c>
      <c r="AG214" s="1" t="s">
        <v>49</v>
      </c>
      <c r="AH214" s="6" t="s">
        <v>49</v>
      </c>
      <c r="AI214" s="6" t="s">
        <v>272</v>
      </c>
      <c r="AJ214" s="6" t="s">
        <v>49</v>
      </c>
      <c r="AK214" s="6">
        <v>68</v>
      </c>
      <c r="AL214" s="6" t="s">
        <v>49</v>
      </c>
      <c r="AM214" s="6" t="s">
        <v>49</v>
      </c>
      <c r="AN214" s="6">
        <v>-2.7E-2</v>
      </c>
      <c r="AO214" s="6" t="s">
        <v>49</v>
      </c>
      <c r="AP214" s="6">
        <v>0</v>
      </c>
      <c r="AQ214" s="6" t="s">
        <v>49</v>
      </c>
      <c r="AR214" s="6">
        <v>-2.7E-2</v>
      </c>
      <c r="AS214" s="6" t="s">
        <v>49</v>
      </c>
      <c r="AT214" s="6" t="s">
        <v>49</v>
      </c>
      <c r="AU214" s="6" t="s">
        <v>49</v>
      </c>
      <c r="AV214" s="6" t="s">
        <v>49</v>
      </c>
    </row>
    <row r="215" spans="1:48" ht="14.4" customHeight="1">
      <c r="A215" s="6" t="s">
        <v>680</v>
      </c>
      <c r="B215" s="6" t="s">
        <v>38</v>
      </c>
      <c r="C215" s="6" t="s">
        <v>38</v>
      </c>
      <c r="D215" s="1" t="s">
        <v>681</v>
      </c>
      <c r="E215" s="1" t="s">
        <v>40</v>
      </c>
      <c r="F215" s="6">
        <v>2000</v>
      </c>
      <c r="G215" s="1" t="s">
        <v>177</v>
      </c>
      <c r="H215" s="6" t="s">
        <v>178</v>
      </c>
      <c r="I215" s="6" t="s">
        <v>179</v>
      </c>
      <c r="J215" s="1" t="str">
        <f t="shared" si="3"/>
        <v>Ipomopsis_aggregata</v>
      </c>
      <c r="K215" s="6" t="s">
        <v>45</v>
      </c>
      <c r="L215" s="6" t="s">
        <v>46</v>
      </c>
      <c r="M215" s="6" t="s">
        <v>115</v>
      </c>
      <c r="N215" s="6" t="s">
        <v>116</v>
      </c>
      <c r="O215" s="6" t="s">
        <v>49</v>
      </c>
      <c r="P215" s="6" t="s">
        <v>49</v>
      </c>
      <c r="Q215" s="6" t="s">
        <v>49</v>
      </c>
      <c r="R215" s="6" t="s">
        <v>49</v>
      </c>
      <c r="S215" s="6" t="s">
        <v>268</v>
      </c>
      <c r="T215" s="6" t="s">
        <v>269</v>
      </c>
      <c r="U215" s="6" t="s">
        <v>251</v>
      </c>
      <c r="V215" s="6" t="s">
        <v>685</v>
      </c>
      <c r="W215" s="12">
        <v>38.955444</v>
      </c>
      <c r="X215" s="12">
        <v>-106.99119399999999</v>
      </c>
      <c r="Y215" s="6" t="s">
        <v>141</v>
      </c>
      <c r="Z215" s="6" t="s">
        <v>271</v>
      </c>
      <c r="AA215" s="1" t="s">
        <v>50</v>
      </c>
      <c r="AB215" s="1" t="s">
        <v>51</v>
      </c>
      <c r="AC215" s="1" t="s">
        <v>52</v>
      </c>
      <c r="AD215" s="6" t="s">
        <v>122</v>
      </c>
      <c r="AE215" s="6" t="s">
        <v>122</v>
      </c>
      <c r="AF215" s="1" t="s">
        <v>53</v>
      </c>
      <c r="AG215" s="1" t="s">
        <v>53</v>
      </c>
      <c r="AH215" s="6" t="s">
        <v>49</v>
      </c>
      <c r="AI215" s="6" t="s">
        <v>272</v>
      </c>
      <c r="AJ215" s="6" t="s">
        <v>49</v>
      </c>
      <c r="AK215" s="6">
        <v>77</v>
      </c>
      <c r="AL215" s="6" t="s">
        <v>49</v>
      </c>
      <c r="AM215" s="6">
        <v>109.8442</v>
      </c>
      <c r="AN215" s="6">
        <v>5524.2389999999996</v>
      </c>
      <c r="AO215" s="6" t="s">
        <v>49</v>
      </c>
      <c r="AP215" s="6">
        <v>0</v>
      </c>
      <c r="AQ215" s="6" t="s">
        <v>49</v>
      </c>
      <c r="AR215" s="6">
        <v>5524.2389999999996</v>
      </c>
      <c r="AS215" s="6" t="s">
        <v>49</v>
      </c>
      <c r="AT215" s="6" t="s">
        <v>49</v>
      </c>
      <c r="AU215" s="6" t="s">
        <v>49</v>
      </c>
      <c r="AV215" s="6" t="s">
        <v>49</v>
      </c>
    </row>
    <row r="216" spans="1:48" ht="14.4" customHeight="1">
      <c r="A216" s="6" t="s">
        <v>680</v>
      </c>
      <c r="B216" s="6" t="s">
        <v>38</v>
      </c>
      <c r="C216" s="6" t="s">
        <v>38</v>
      </c>
      <c r="D216" s="1" t="s">
        <v>681</v>
      </c>
      <c r="E216" s="1" t="s">
        <v>40</v>
      </c>
      <c r="F216" s="6">
        <v>2000</v>
      </c>
      <c r="G216" s="1" t="s">
        <v>177</v>
      </c>
      <c r="H216" s="6" t="s">
        <v>178</v>
      </c>
      <c r="I216" s="6" t="s">
        <v>179</v>
      </c>
      <c r="J216" s="1" t="str">
        <f t="shared" si="3"/>
        <v>Ipomopsis_aggregata</v>
      </c>
      <c r="K216" s="6" t="s">
        <v>45</v>
      </c>
      <c r="L216" s="6" t="s">
        <v>46</v>
      </c>
      <c r="M216" s="6" t="s">
        <v>115</v>
      </c>
      <c r="N216" s="6" t="s">
        <v>116</v>
      </c>
      <c r="O216" s="6" t="s">
        <v>49</v>
      </c>
      <c r="P216" s="6" t="s">
        <v>49</v>
      </c>
      <c r="Q216" s="6" t="s">
        <v>49</v>
      </c>
      <c r="R216" s="6" t="s">
        <v>49</v>
      </c>
      <c r="S216" s="6" t="s">
        <v>268</v>
      </c>
      <c r="T216" s="6" t="s">
        <v>269</v>
      </c>
      <c r="U216" s="6" t="s">
        <v>251</v>
      </c>
      <c r="V216" s="6" t="s">
        <v>685</v>
      </c>
      <c r="W216" s="12">
        <v>38.955444</v>
      </c>
      <c r="X216" s="12">
        <v>-106.99119399999999</v>
      </c>
      <c r="Y216" s="6" t="s">
        <v>141</v>
      </c>
      <c r="Z216" s="6" t="s">
        <v>271</v>
      </c>
      <c r="AA216" s="1" t="s">
        <v>50</v>
      </c>
      <c r="AB216" s="1" t="s">
        <v>66</v>
      </c>
      <c r="AC216" s="1" t="s">
        <v>67</v>
      </c>
      <c r="AD216" s="1" t="s">
        <v>90</v>
      </c>
      <c r="AE216" s="1" t="s">
        <v>90</v>
      </c>
      <c r="AF216" s="1" t="s">
        <v>60</v>
      </c>
      <c r="AG216" s="1" t="s">
        <v>61</v>
      </c>
      <c r="AH216" s="6" t="s">
        <v>49</v>
      </c>
      <c r="AI216" s="6" t="s">
        <v>272</v>
      </c>
      <c r="AJ216" s="6" t="s">
        <v>49</v>
      </c>
      <c r="AK216" s="6">
        <v>77</v>
      </c>
      <c r="AL216" s="6" t="s">
        <v>49</v>
      </c>
      <c r="AM216" s="6">
        <v>25.404399999999999</v>
      </c>
      <c r="AN216" s="6">
        <v>3.774</v>
      </c>
      <c r="AO216" s="6" t="s">
        <v>49</v>
      </c>
      <c r="AP216" s="6">
        <v>0</v>
      </c>
      <c r="AQ216" s="6" t="s">
        <v>49</v>
      </c>
      <c r="AR216" s="6">
        <v>3.774</v>
      </c>
      <c r="AS216" s="6" t="s">
        <v>49</v>
      </c>
      <c r="AT216" s="6" t="s">
        <v>49</v>
      </c>
      <c r="AU216" s="6" t="s">
        <v>49</v>
      </c>
      <c r="AV216" s="6" t="s">
        <v>49</v>
      </c>
    </row>
    <row r="217" spans="1:48" ht="14.4" customHeight="1">
      <c r="A217" s="6" t="s">
        <v>680</v>
      </c>
      <c r="B217" s="6" t="s">
        <v>38</v>
      </c>
      <c r="C217" s="6" t="s">
        <v>38</v>
      </c>
      <c r="D217" s="1" t="s">
        <v>681</v>
      </c>
      <c r="E217" s="1" t="s">
        <v>40</v>
      </c>
      <c r="F217" s="6">
        <v>2000</v>
      </c>
      <c r="G217" s="1" t="s">
        <v>177</v>
      </c>
      <c r="H217" s="6" t="s">
        <v>178</v>
      </c>
      <c r="I217" s="6" t="s">
        <v>179</v>
      </c>
      <c r="J217" s="1" t="str">
        <f t="shared" si="3"/>
        <v>Ipomopsis_aggregata</v>
      </c>
      <c r="K217" s="6" t="s">
        <v>45</v>
      </c>
      <c r="L217" s="6" t="s">
        <v>46</v>
      </c>
      <c r="M217" s="6" t="s">
        <v>115</v>
      </c>
      <c r="N217" s="6" t="s">
        <v>116</v>
      </c>
      <c r="O217" s="6" t="s">
        <v>49</v>
      </c>
      <c r="P217" s="6" t="s">
        <v>49</v>
      </c>
      <c r="Q217" s="6" t="s">
        <v>49</v>
      </c>
      <c r="R217" s="6" t="s">
        <v>49</v>
      </c>
      <c r="S217" s="6" t="s">
        <v>268</v>
      </c>
      <c r="T217" s="6" t="s">
        <v>269</v>
      </c>
      <c r="U217" s="6" t="s">
        <v>251</v>
      </c>
      <c r="V217" s="6" t="s">
        <v>685</v>
      </c>
      <c r="W217" s="12">
        <v>38.955444</v>
      </c>
      <c r="X217" s="12">
        <v>-106.99119399999999</v>
      </c>
      <c r="Y217" s="6" t="s">
        <v>141</v>
      </c>
      <c r="Z217" s="6" t="s">
        <v>271</v>
      </c>
      <c r="AA217" s="1" t="s">
        <v>50</v>
      </c>
      <c r="AB217" s="1" t="s">
        <v>66</v>
      </c>
      <c r="AC217" s="1" t="s">
        <v>67</v>
      </c>
      <c r="AD217" s="1" t="s">
        <v>89</v>
      </c>
      <c r="AE217" s="1" t="s">
        <v>89</v>
      </c>
      <c r="AF217" s="1" t="s">
        <v>60</v>
      </c>
      <c r="AG217" s="1" t="s">
        <v>61</v>
      </c>
      <c r="AH217" s="6" t="s">
        <v>49</v>
      </c>
      <c r="AI217" s="6" t="s">
        <v>272</v>
      </c>
      <c r="AJ217" s="6" t="s">
        <v>49</v>
      </c>
      <c r="AK217" s="6">
        <v>77</v>
      </c>
      <c r="AL217" s="6" t="s">
        <v>49</v>
      </c>
      <c r="AM217" s="6">
        <v>2.7067999999999999</v>
      </c>
      <c r="AN217" s="6">
        <v>9.4E-2</v>
      </c>
      <c r="AO217" s="6" t="s">
        <v>49</v>
      </c>
      <c r="AP217" s="6">
        <v>0</v>
      </c>
      <c r="AQ217" s="6" t="s">
        <v>49</v>
      </c>
      <c r="AR217" s="6">
        <v>9.4E-2</v>
      </c>
      <c r="AS217" s="6" t="s">
        <v>49</v>
      </c>
      <c r="AT217" s="6" t="s">
        <v>49</v>
      </c>
      <c r="AU217" s="6" t="s">
        <v>49</v>
      </c>
      <c r="AV217" s="6" t="s">
        <v>49</v>
      </c>
    </row>
    <row r="218" spans="1:48" ht="14.4" customHeight="1">
      <c r="A218" s="6" t="s">
        <v>680</v>
      </c>
      <c r="B218" s="6" t="s">
        <v>38</v>
      </c>
      <c r="C218" s="6" t="s">
        <v>38</v>
      </c>
      <c r="D218" s="1" t="s">
        <v>681</v>
      </c>
      <c r="E218" s="1" t="s">
        <v>40</v>
      </c>
      <c r="F218" s="6">
        <v>2000</v>
      </c>
      <c r="G218" s="1" t="s">
        <v>177</v>
      </c>
      <c r="H218" s="6" t="s">
        <v>178</v>
      </c>
      <c r="I218" s="6" t="s">
        <v>179</v>
      </c>
      <c r="J218" s="1" t="str">
        <f t="shared" si="3"/>
        <v>Ipomopsis_aggregata</v>
      </c>
      <c r="K218" s="6" t="s">
        <v>45</v>
      </c>
      <c r="L218" s="6" t="s">
        <v>46</v>
      </c>
      <c r="M218" s="6" t="s">
        <v>115</v>
      </c>
      <c r="N218" s="6" t="s">
        <v>116</v>
      </c>
      <c r="O218" s="6" t="s">
        <v>49</v>
      </c>
      <c r="P218" s="6" t="s">
        <v>49</v>
      </c>
      <c r="Q218" s="6" t="s">
        <v>49</v>
      </c>
      <c r="R218" s="6" t="s">
        <v>49</v>
      </c>
      <c r="S218" s="6" t="s">
        <v>268</v>
      </c>
      <c r="T218" s="6" t="s">
        <v>269</v>
      </c>
      <c r="U218" s="6" t="s">
        <v>251</v>
      </c>
      <c r="V218" s="6" t="s">
        <v>685</v>
      </c>
      <c r="W218" s="12">
        <v>38.955444</v>
      </c>
      <c r="X218" s="12">
        <v>-106.99119399999999</v>
      </c>
      <c r="Y218" s="6" t="s">
        <v>141</v>
      </c>
      <c r="Z218" s="6" t="s">
        <v>271</v>
      </c>
      <c r="AA218" s="1" t="s">
        <v>50</v>
      </c>
      <c r="AB218" s="1" t="s">
        <v>185</v>
      </c>
      <c r="AC218" s="1" t="s">
        <v>186</v>
      </c>
      <c r="AD218" s="6" t="s">
        <v>187</v>
      </c>
      <c r="AE218" s="6" t="s">
        <v>187</v>
      </c>
      <c r="AF218" s="1" t="s">
        <v>60</v>
      </c>
      <c r="AG218" s="1" t="s">
        <v>173</v>
      </c>
      <c r="AH218" s="6" t="s">
        <v>49</v>
      </c>
      <c r="AI218" s="6" t="s">
        <v>272</v>
      </c>
      <c r="AJ218" s="6" t="s">
        <v>49</v>
      </c>
      <c r="AK218" s="6">
        <v>77</v>
      </c>
      <c r="AL218" s="6" t="s">
        <v>49</v>
      </c>
      <c r="AM218" s="6">
        <v>2.4575</v>
      </c>
      <c r="AN218" s="6">
        <v>3.165</v>
      </c>
      <c r="AO218" s="6" t="s">
        <v>49</v>
      </c>
      <c r="AP218" s="6">
        <v>0</v>
      </c>
      <c r="AQ218" s="6" t="s">
        <v>49</v>
      </c>
      <c r="AR218" s="6">
        <v>3.165</v>
      </c>
      <c r="AS218" s="6" t="s">
        <v>49</v>
      </c>
      <c r="AT218" s="6" t="s">
        <v>49</v>
      </c>
      <c r="AU218" s="6" t="s">
        <v>49</v>
      </c>
      <c r="AV218" s="6" t="s">
        <v>49</v>
      </c>
    </row>
    <row r="219" spans="1:48" ht="14.4" customHeight="1">
      <c r="A219" s="6" t="s">
        <v>680</v>
      </c>
      <c r="B219" s="6" t="s">
        <v>38</v>
      </c>
      <c r="C219" s="6" t="s">
        <v>38</v>
      </c>
      <c r="D219" s="1" t="s">
        <v>681</v>
      </c>
      <c r="E219" s="1" t="s">
        <v>40</v>
      </c>
      <c r="F219" s="6">
        <v>2000</v>
      </c>
      <c r="G219" s="1" t="s">
        <v>177</v>
      </c>
      <c r="H219" s="6" t="s">
        <v>178</v>
      </c>
      <c r="I219" s="6" t="s">
        <v>179</v>
      </c>
      <c r="J219" s="1" t="str">
        <f t="shared" si="3"/>
        <v>Ipomopsis_aggregata</v>
      </c>
      <c r="K219" s="6" t="s">
        <v>45</v>
      </c>
      <c r="L219" s="6" t="s">
        <v>46</v>
      </c>
      <c r="M219" s="6" t="s">
        <v>115</v>
      </c>
      <c r="N219" s="6" t="s">
        <v>116</v>
      </c>
      <c r="O219" s="6" t="s">
        <v>49</v>
      </c>
      <c r="P219" s="6" t="s">
        <v>49</v>
      </c>
      <c r="Q219" s="6" t="s">
        <v>49</v>
      </c>
      <c r="R219" s="6" t="s">
        <v>49</v>
      </c>
      <c r="S219" s="6" t="s">
        <v>268</v>
      </c>
      <c r="T219" s="6" t="s">
        <v>269</v>
      </c>
      <c r="U219" s="6" t="s">
        <v>251</v>
      </c>
      <c r="V219" s="6" t="s">
        <v>685</v>
      </c>
      <c r="W219" s="12">
        <v>38.955444</v>
      </c>
      <c r="X219" s="12">
        <v>-106.99119399999999</v>
      </c>
      <c r="Y219" s="6" t="s">
        <v>141</v>
      </c>
      <c r="Z219" s="6" t="s">
        <v>271</v>
      </c>
      <c r="AA219" s="1" t="s">
        <v>50</v>
      </c>
      <c r="AB219" s="1" t="s">
        <v>96</v>
      </c>
      <c r="AC219" s="1" t="s">
        <v>299</v>
      </c>
      <c r="AD219" s="1" t="s">
        <v>300</v>
      </c>
      <c r="AE219" s="1" t="s">
        <v>300</v>
      </c>
      <c r="AF219" s="1" t="s">
        <v>60</v>
      </c>
      <c r="AG219" s="1" t="s">
        <v>543</v>
      </c>
      <c r="AH219" s="6" t="s">
        <v>49</v>
      </c>
      <c r="AI219" s="6" t="s">
        <v>272</v>
      </c>
      <c r="AJ219" s="6" t="s">
        <v>49</v>
      </c>
      <c r="AK219" s="6">
        <v>77</v>
      </c>
      <c r="AL219" s="6" t="s">
        <v>49</v>
      </c>
      <c r="AM219" s="6">
        <v>0.61990000000000001</v>
      </c>
      <c r="AN219" s="6">
        <v>1.0999999999999999E-2</v>
      </c>
      <c r="AO219" s="6" t="s">
        <v>49</v>
      </c>
      <c r="AP219" s="6">
        <v>0</v>
      </c>
      <c r="AQ219" s="6" t="s">
        <v>49</v>
      </c>
      <c r="AR219" s="6">
        <v>1.0999999999999999E-2</v>
      </c>
      <c r="AS219" s="6" t="s">
        <v>49</v>
      </c>
      <c r="AT219" s="6" t="s">
        <v>49</v>
      </c>
      <c r="AU219" s="6" t="s">
        <v>49</v>
      </c>
      <c r="AV219" s="6" t="s">
        <v>49</v>
      </c>
    </row>
    <row r="220" spans="1:48" ht="14.4" customHeight="1">
      <c r="A220" s="6" t="s">
        <v>680</v>
      </c>
      <c r="B220" s="6" t="s">
        <v>38</v>
      </c>
      <c r="C220" s="6" t="s">
        <v>38</v>
      </c>
      <c r="D220" s="1" t="s">
        <v>681</v>
      </c>
      <c r="E220" s="1" t="s">
        <v>40</v>
      </c>
      <c r="F220" s="6">
        <v>2000</v>
      </c>
      <c r="G220" s="1" t="s">
        <v>177</v>
      </c>
      <c r="H220" s="6" t="s">
        <v>178</v>
      </c>
      <c r="I220" s="6" t="s">
        <v>179</v>
      </c>
      <c r="J220" s="1" t="str">
        <f t="shared" si="3"/>
        <v>Ipomopsis_aggregata</v>
      </c>
      <c r="K220" s="6" t="s">
        <v>45</v>
      </c>
      <c r="L220" s="6" t="s">
        <v>46</v>
      </c>
      <c r="M220" s="6" t="s">
        <v>115</v>
      </c>
      <c r="N220" s="6" t="s">
        <v>116</v>
      </c>
      <c r="O220" s="6" t="s">
        <v>49</v>
      </c>
      <c r="P220" s="6" t="s">
        <v>49</v>
      </c>
      <c r="Q220" s="6" t="s">
        <v>49</v>
      </c>
      <c r="R220" s="6" t="s">
        <v>49</v>
      </c>
      <c r="S220" s="6" t="s">
        <v>268</v>
      </c>
      <c r="T220" s="6" t="s">
        <v>269</v>
      </c>
      <c r="U220" s="6" t="s">
        <v>251</v>
      </c>
      <c r="V220" s="6" t="s">
        <v>685</v>
      </c>
      <c r="W220" s="12">
        <v>38.955444</v>
      </c>
      <c r="X220" s="12">
        <v>-106.99119399999999</v>
      </c>
      <c r="Y220" s="6" t="s">
        <v>141</v>
      </c>
      <c r="Z220" s="6" t="s">
        <v>271</v>
      </c>
      <c r="AA220" s="1" t="s">
        <v>49</v>
      </c>
      <c r="AB220" s="1" t="s">
        <v>49</v>
      </c>
      <c r="AC220" s="1" t="s">
        <v>49</v>
      </c>
      <c r="AD220" s="6" t="s">
        <v>122</v>
      </c>
      <c r="AE220" s="1" t="s">
        <v>90</v>
      </c>
      <c r="AF220" s="1" t="s">
        <v>49</v>
      </c>
      <c r="AG220" s="1" t="s">
        <v>49</v>
      </c>
      <c r="AH220" s="6" t="s">
        <v>49</v>
      </c>
      <c r="AI220" s="6" t="s">
        <v>272</v>
      </c>
      <c r="AJ220" s="6" t="s">
        <v>49</v>
      </c>
      <c r="AK220" s="6">
        <v>77</v>
      </c>
      <c r="AL220" s="6" t="s">
        <v>49</v>
      </c>
      <c r="AM220" s="6" t="s">
        <v>49</v>
      </c>
      <c r="AN220" s="6">
        <v>47.637999999999998</v>
      </c>
      <c r="AO220" s="6" t="s">
        <v>49</v>
      </c>
      <c r="AP220" s="6">
        <v>0</v>
      </c>
      <c r="AQ220" s="6" t="s">
        <v>49</v>
      </c>
      <c r="AR220" s="6">
        <v>47.637999999999998</v>
      </c>
      <c r="AS220" s="6" t="s">
        <v>49</v>
      </c>
      <c r="AT220" s="6" t="s">
        <v>49</v>
      </c>
      <c r="AU220" s="6" t="s">
        <v>49</v>
      </c>
      <c r="AV220" s="6" t="s">
        <v>49</v>
      </c>
    </row>
    <row r="221" spans="1:48" ht="14.4" customHeight="1">
      <c r="A221" s="6" t="s">
        <v>680</v>
      </c>
      <c r="B221" s="6" t="s">
        <v>38</v>
      </c>
      <c r="C221" s="6" t="s">
        <v>38</v>
      </c>
      <c r="D221" s="1" t="s">
        <v>681</v>
      </c>
      <c r="E221" s="1" t="s">
        <v>40</v>
      </c>
      <c r="F221" s="6">
        <v>2000</v>
      </c>
      <c r="G221" s="1" t="s">
        <v>177</v>
      </c>
      <c r="H221" s="6" t="s">
        <v>178</v>
      </c>
      <c r="I221" s="6" t="s">
        <v>179</v>
      </c>
      <c r="J221" s="1" t="str">
        <f t="shared" si="3"/>
        <v>Ipomopsis_aggregata</v>
      </c>
      <c r="K221" s="6" t="s">
        <v>45</v>
      </c>
      <c r="L221" s="6" t="s">
        <v>46</v>
      </c>
      <c r="M221" s="6" t="s">
        <v>115</v>
      </c>
      <c r="N221" s="6" t="s">
        <v>116</v>
      </c>
      <c r="O221" s="6" t="s">
        <v>49</v>
      </c>
      <c r="P221" s="6" t="s">
        <v>49</v>
      </c>
      <c r="Q221" s="6" t="s">
        <v>49</v>
      </c>
      <c r="R221" s="6" t="s">
        <v>49</v>
      </c>
      <c r="S221" s="6" t="s">
        <v>268</v>
      </c>
      <c r="T221" s="6" t="s">
        <v>269</v>
      </c>
      <c r="U221" s="6" t="s">
        <v>251</v>
      </c>
      <c r="V221" s="6" t="s">
        <v>685</v>
      </c>
      <c r="W221" s="12">
        <v>38.955444</v>
      </c>
      <c r="X221" s="12">
        <v>-106.99119399999999</v>
      </c>
      <c r="Y221" s="6" t="s">
        <v>141</v>
      </c>
      <c r="Z221" s="6" t="s">
        <v>271</v>
      </c>
      <c r="AA221" s="1" t="s">
        <v>49</v>
      </c>
      <c r="AB221" s="1" t="s">
        <v>49</v>
      </c>
      <c r="AC221" s="1" t="s">
        <v>49</v>
      </c>
      <c r="AD221" s="6" t="s">
        <v>122</v>
      </c>
      <c r="AE221" s="1" t="s">
        <v>89</v>
      </c>
      <c r="AF221" s="1" t="s">
        <v>49</v>
      </c>
      <c r="AG221" s="1" t="s">
        <v>49</v>
      </c>
      <c r="AH221" s="6" t="s">
        <v>49</v>
      </c>
      <c r="AI221" s="6" t="s">
        <v>272</v>
      </c>
      <c r="AJ221" s="6" t="s">
        <v>49</v>
      </c>
      <c r="AK221" s="6">
        <v>77</v>
      </c>
      <c r="AL221" s="6" t="s">
        <v>49</v>
      </c>
      <c r="AM221" s="6" t="s">
        <v>49</v>
      </c>
      <c r="AN221" s="6">
        <v>7.468</v>
      </c>
      <c r="AO221" s="6" t="s">
        <v>49</v>
      </c>
      <c r="AP221" s="6">
        <v>0</v>
      </c>
      <c r="AQ221" s="6" t="s">
        <v>49</v>
      </c>
      <c r="AR221" s="6">
        <v>7.468</v>
      </c>
      <c r="AS221" s="6" t="s">
        <v>49</v>
      </c>
      <c r="AT221" s="6" t="s">
        <v>49</v>
      </c>
      <c r="AU221" s="6" t="s">
        <v>49</v>
      </c>
      <c r="AV221" s="6" t="s">
        <v>49</v>
      </c>
    </row>
    <row r="222" spans="1:48" ht="14.4" customHeight="1">
      <c r="A222" s="6" t="s">
        <v>680</v>
      </c>
      <c r="B222" s="6" t="s">
        <v>38</v>
      </c>
      <c r="C222" s="6" t="s">
        <v>38</v>
      </c>
      <c r="D222" s="1" t="s">
        <v>681</v>
      </c>
      <c r="E222" s="1" t="s">
        <v>40</v>
      </c>
      <c r="F222" s="6">
        <v>2000</v>
      </c>
      <c r="G222" s="1" t="s">
        <v>177</v>
      </c>
      <c r="H222" s="6" t="s">
        <v>178</v>
      </c>
      <c r="I222" s="6" t="s">
        <v>179</v>
      </c>
      <c r="J222" s="1" t="str">
        <f t="shared" si="3"/>
        <v>Ipomopsis_aggregata</v>
      </c>
      <c r="K222" s="6" t="s">
        <v>45</v>
      </c>
      <c r="L222" s="6" t="s">
        <v>46</v>
      </c>
      <c r="M222" s="6" t="s">
        <v>115</v>
      </c>
      <c r="N222" s="6" t="s">
        <v>116</v>
      </c>
      <c r="O222" s="6" t="s">
        <v>49</v>
      </c>
      <c r="P222" s="6" t="s">
        <v>49</v>
      </c>
      <c r="Q222" s="6" t="s">
        <v>49</v>
      </c>
      <c r="R222" s="6" t="s">
        <v>49</v>
      </c>
      <c r="S222" s="6" t="s">
        <v>268</v>
      </c>
      <c r="T222" s="6" t="s">
        <v>269</v>
      </c>
      <c r="U222" s="6" t="s">
        <v>251</v>
      </c>
      <c r="V222" s="6" t="s">
        <v>685</v>
      </c>
      <c r="W222" s="12">
        <v>38.955444</v>
      </c>
      <c r="X222" s="12">
        <v>-106.99119399999999</v>
      </c>
      <c r="Y222" s="6" t="s">
        <v>141</v>
      </c>
      <c r="Z222" s="6" t="s">
        <v>271</v>
      </c>
      <c r="AA222" s="1" t="s">
        <v>49</v>
      </c>
      <c r="AB222" s="1" t="s">
        <v>49</v>
      </c>
      <c r="AC222" s="1" t="s">
        <v>49</v>
      </c>
      <c r="AD222" s="6" t="s">
        <v>122</v>
      </c>
      <c r="AE222" s="6" t="s">
        <v>187</v>
      </c>
      <c r="AF222" s="1" t="s">
        <v>49</v>
      </c>
      <c r="AG222" s="1" t="s">
        <v>49</v>
      </c>
      <c r="AH222" s="6" t="s">
        <v>49</v>
      </c>
      <c r="AI222" s="6" t="s">
        <v>272</v>
      </c>
      <c r="AJ222" s="6" t="s">
        <v>49</v>
      </c>
      <c r="AK222" s="6">
        <v>77</v>
      </c>
      <c r="AL222" s="6" t="s">
        <v>49</v>
      </c>
      <c r="AM222" s="6" t="s">
        <v>49</v>
      </c>
      <c r="AN222" s="6">
        <v>20.260999999999999</v>
      </c>
      <c r="AO222" s="6" t="s">
        <v>49</v>
      </c>
      <c r="AP222" s="6">
        <v>0</v>
      </c>
      <c r="AQ222" s="6" t="s">
        <v>49</v>
      </c>
      <c r="AR222" s="6">
        <v>20.260999999999999</v>
      </c>
      <c r="AS222" s="6" t="s">
        <v>49</v>
      </c>
      <c r="AT222" s="6" t="s">
        <v>49</v>
      </c>
      <c r="AU222" s="6" t="s">
        <v>49</v>
      </c>
      <c r="AV222" s="6" t="s">
        <v>49</v>
      </c>
    </row>
    <row r="223" spans="1:48" ht="14.4" customHeight="1">
      <c r="A223" s="6" t="s">
        <v>680</v>
      </c>
      <c r="B223" s="6" t="s">
        <v>38</v>
      </c>
      <c r="C223" s="6" t="s">
        <v>38</v>
      </c>
      <c r="D223" s="1" t="s">
        <v>681</v>
      </c>
      <c r="E223" s="1" t="s">
        <v>40</v>
      </c>
      <c r="F223" s="6">
        <v>2000</v>
      </c>
      <c r="G223" s="1" t="s">
        <v>177</v>
      </c>
      <c r="H223" s="6" t="s">
        <v>178</v>
      </c>
      <c r="I223" s="6" t="s">
        <v>179</v>
      </c>
      <c r="J223" s="1" t="str">
        <f t="shared" si="3"/>
        <v>Ipomopsis_aggregata</v>
      </c>
      <c r="K223" s="6" t="s">
        <v>45</v>
      </c>
      <c r="L223" s="6" t="s">
        <v>46</v>
      </c>
      <c r="M223" s="6" t="s">
        <v>115</v>
      </c>
      <c r="N223" s="6" t="s">
        <v>116</v>
      </c>
      <c r="O223" s="6" t="s">
        <v>49</v>
      </c>
      <c r="P223" s="6" t="s">
        <v>49</v>
      </c>
      <c r="Q223" s="6" t="s">
        <v>49</v>
      </c>
      <c r="R223" s="6" t="s">
        <v>49</v>
      </c>
      <c r="S223" s="6" t="s">
        <v>268</v>
      </c>
      <c r="T223" s="6" t="s">
        <v>269</v>
      </c>
      <c r="U223" s="6" t="s">
        <v>251</v>
      </c>
      <c r="V223" s="6" t="s">
        <v>685</v>
      </c>
      <c r="W223" s="12">
        <v>38.955444</v>
      </c>
      <c r="X223" s="12">
        <v>-106.99119399999999</v>
      </c>
      <c r="Y223" s="6" t="s">
        <v>141</v>
      </c>
      <c r="Z223" s="6" t="s">
        <v>271</v>
      </c>
      <c r="AA223" s="1" t="s">
        <v>49</v>
      </c>
      <c r="AB223" s="1" t="s">
        <v>49</v>
      </c>
      <c r="AC223" s="1" t="s">
        <v>49</v>
      </c>
      <c r="AD223" s="6" t="s">
        <v>122</v>
      </c>
      <c r="AE223" s="1" t="s">
        <v>300</v>
      </c>
      <c r="AF223" s="1" t="s">
        <v>49</v>
      </c>
      <c r="AG223" s="1" t="s">
        <v>49</v>
      </c>
      <c r="AH223" s="6" t="s">
        <v>49</v>
      </c>
      <c r="AI223" s="6" t="s">
        <v>272</v>
      </c>
      <c r="AJ223" s="6" t="s">
        <v>49</v>
      </c>
      <c r="AK223" s="6">
        <v>77</v>
      </c>
      <c r="AL223" s="6" t="s">
        <v>49</v>
      </c>
      <c r="AM223" s="6" t="s">
        <v>49</v>
      </c>
      <c r="AN223" s="6">
        <v>0.90500000000000003</v>
      </c>
      <c r="AO223" s="6" t="s">
        <v>49</v>
      </c>
      <c r="AP223" s="6">
        <v>0</v>
      </c>
      <c r="AQ223" s="6" t="s">
        <v>49</v>
      </c>
      <c r="AR223" s="6">
        <v>0.90500000000000003</v>
      </c>
      <c r="AS223" s="6" t="s">
        <v>49</v>
      </c>
      <c r="AT223" s="6" t="s">
        <v>49</v>
      </c>
      <c r="AU223" s="6" t="s">
        <v>49</v>
      </c>
      <c r="AV223" s="6" t="s">
        <v>49</v>
      </c>
    </row>
    <row r="224" spans="1:48" ht="14.4" customHeight="1">
      <c r="A224" s="6" t="s">
        <v>680</v>
      </c>
      <c r="B224" s="6" t="s">
        <v>38</v>
      </c>
      <c r="C224" s="6" t="s">
        <v>38</v>
      </c>
      <c r="D224" s="1" t="s">
        <v>681</v>
      </c>
      <c r="E224" s="1" t="s">
        <v>40</v>
      </c>
      <c r="F224" s="6">
        <v>2000</v>
      </c>
      <c r="G224" s="1" t="s">
        <v>177</v>
      </c>
      <c r="H224" s="6" t="s">
        <v>178</v>
      </c>
      <c r="I224" s="6" t="s">
        <v>179</v>
      </c>
      <c r="J224" s="1" t="str">
        <f t="shared" si="3"/>
        <v>Ipomopsis_aggregata</v>
      </c>
      <c r="K224" s="6" t="s">
        <v>45</v>
      </c>
      <c r="L224" s="6" t="s">
        <v>46</v>
      </c>
      <c r="M224" s="6" t="s">
        <v>115</v>
      </c>
      <c r="N224" s="6" t="s">
        <v>116</v>
      </c>
      <c r="O224" s="6" t="s">
        <v>49</v>
      </c>
      <c r="P224" s="6" t="s">
        <v>49</v>
      </c>
      <c r="Q224" s="6" t="s">
        <v>49</v>
      </c>
      <c r="R224" s="6" t="s">
        <v>49</v>
      </c>
      <c r="S224" s="6" t="s">
        <v>268</v>
      </c>
      <c r="T224" s="6" t="s">
        <v>269</v>
      </c>
      <c r="U224" s="6" t="s">
        <v>251</v>
      </c>
      <c r="V224" s="6" t="s">
        <v>685</v>
      </c>
      <c r="W224" s="12">
        <v>38.955444</v>
      </c>
      <c r="X224" s="12">
        <v>-106.99119399999999</v>
      </c>
      <c r="Y224" s="6" t="s">
        <v>141</v>
      </c>
      <c r="Z224" s="6" t="s">
        <v>271</v>
      </c>
      <c r="AA224" s="1" t="s">
        <v>49</v>
      </c>
      <c r="AB224" s="1" t="s">
        <v>49</v>
      </c>
      <c r="AC224" s="1" t="s">
        <v>49</v>
      </c>
      <c r="AD224" s="1" t="s">
        <v>90</v>
      </c>
      <c r="AE224" s="1" t="s">
        <v>89</v>
      </c>
      <c r="AF224" s="1" t="s">
        <v>49</v>
      </c>
      <c r="AG224" s="1" t="s">
        <v>49</v>
      </c>
      <c r="AH224" s="6" t="s">
        <v>49</v>
      </c>
      <c r="AI224" s="6" t="s">
        <v>272</v>
      </c>
      <c r="AJ224" s="6" t="s">
        <v>49</v>
      </c>
      <c r="AK224" s="6">
        <v>77</v>
      </c>
      <c r="AL224" s="6" t="s">
        <v>49</v>
      </c>
      <c r="AM224" s="6" t="s">
        <v>49</v>
      </c>
      <c r="AN224" s="6">
        <v>0.23699999999999999</v>
      </c>
      <c r="AO224" s="6" t="s">
        <v>49</v>
      </c>
      <c r="AP224" s="6">
        <v>0</v>
      </c>
      <c r="AQ224" s="6" t="s">
        <v>49</v>
      </c>
      <c r="AR224" s="6">
        <v>0.23699999999999999</v>
      </c>
      <c r="AS224" s="6" t="s">
        <v>49</v>
      </c>
      <c r="AT224" s="6" t="s">
        <v>49</v>
      </c>
      <c r="AU224" s="6" t="s">
        <v>49</v>
      </c>
      <c r="AV224" s="6" t="s">
        <v>49</v>
      </c>
    </row>
    <row r="225" spans="1:48" ht="14.4" customHeight="1">
      <c r="A225" s="6" t="s">
        <v>680</v>
      </c>
      <c r="B225" s="6" t="s">
        <v>38</v>
      </c>
      <c r="C225" s="6" t="s">
        <v>38</v>
      </c>
      <c r="D225" s="1" t="s">
        <v>681</v>
      </c>
      <c r="E225" s="1" t="s">
        <v>40</v>
      </c>
      <c r="F225" s="6">
        <v>2000</v>
      </c>
      <c r="G225" s="1" t="s">
        <v>177</v>
      </c>
      <c r="H225" s="6" t="s">
        <v>178</v>
      </c>
      <c r="I225" s="6" t="s">
        <v>179</v>
      </c>
      <c r="J225" s="1" t="str">
        <f t="shared" si="3"/>
        <v>Ipomopsis_aggregata</v>
      </c>
      <c r="K225" s="6" t="s">
        <v>45</v>
      </c>
      <c r="L225" s="6" t="s">
        <v>46</v>
      </c>
      <c r="M225" s="6" t="s">
        <v>115</v>
      </c>
      <c r="N225" s="6" t="s">
        <v>116</v>
      </c>
      <c r="O225" s="6" t="s">
        <v>49</v>
      </c>
      <c r="P225" s="6" t="s">
        <v>49</v>
      </c>
      <c r="Q225" s="6" t="s">
        <v>49</v>
      </c>
      <c r="R225" s="6" t="s">
        <v>49</v>
      </c>
      <c r="S225" s="6" t="s">
        <v>268</v>
      </c>
      <c r="T225" s="6" t="s">
        <v>269</v>
      </c>
      <c r="U225" s="6" t="s">
        <v>251</v>
      </c>
      <c r="V225" s="6" t="s">
        <v>685</v>
      </c>
      <c r="W225" s="12">
        <v>38.955444</v>
      </c>
      <c r="X225" s="12">
        <v>-106.99119399999999</v>
      </c>
      <c r="Y225" s="6" t="s">
        <v>141</v>
      </c>
      <c r="Z225" s="6" t="s">
        <v>271</v>
      </c>
      <c r="AA225" s="1" t="s">
        <v>49</v>
      </c>
      <c r="AB225" s="1" t="s">
        <v>49</v>
      </c>
      <c r="AC225" s="1" t="s">
        <v>49</v>
      </c>
      <c r="AD225" s="1" t="s">
        <v>90</v>
      </c>
      <c r="AE225" s="6" t="s">
        <v>187</v>
      </c>
      <c r="AF225" s="1" t="s">
        <v>49</v>
      </c>
      <c r="AG225" s="1" t="s">
        <v>49</v>
      </c>
      <c r="AH225" s="6" t="s">
        <v>49</v>
      </c>
      <c r="AI225" s="6" t="s">
        <v>272</v>
      </c>
      <c r="AJ225" s="6" t="s">
        <v>49</v>
      </c>
      <c r="AK225" s="6">
        <v>77</v>
      </c>
      <c r="AL225" s="6" t="s">
        <v>49</v>
      </c>
      <c r="AM225" s="6" t="s">
        <v>49</v>
      </c>
      <c r="AN225" s="6">
        <v>0.50700000000000001</v>
      </c>
      <c r="AO225" s="6" t="s">
        <v>49</v>
      </c>
      <c r="AP225" s="6">
        <v>0</v>
      </c>
      <c r="AQ225" s="6" t="s">
        <v>49</v>
      </c>
      <c r="AR225" s="6">
        <v>0.50700000000000001</v>
      </c>
      <c r="AS225" s="6" t="s">
        <v>49</v>
      </c>
      <c r="AT225" s="6" t="s">
        <v>49</v>
      </c>
      <c r="AU225" s="6" t="s">
        <v>49</v>
      </c>
      <c r="AV225" s="6" t="s">
        <v>49</v>
      </c>
    </row>
    <row r="226" spans="1:48" ht="14.4" customHeight="1">
      <c r="A226" s="6" t="s">
        <v>680</v>
      </c>
      <c r="B226" s="6" t="s">
        <v>38</v>
      </c>
      <c r="C226" s="6" t="s">
        <v>38</v>
      </c>
      <c r="D226" s="1" t="s">
        <v>681</v>
      </c>
      <c r="E226" s="1" t="s">
        <v>40</v>
      </c>
      <c r="F226" s="6">
        <v>2000</v>
      </c>
      <c r="G226" s="1" t="s">
        <v>177</v>
      </c>
      <c r="H226" s="6" t="s">
        <v>178</v>
      </c>
      <c r="I226" s="6" t="s">
        <v>179</v>
      </c>
      <c r="J226" s="1" t="str">
        <f t="shared" si="3"/>
        <v>Ipomopsis_aggregata</v>
      </c>
      <c r="K226" s="6" t="s">
        <v>45</v>
      </c>
      <c r="L226" s="6" t="s">
        <v>46</v>
      </c>
      <c r="M226" s="6" t="s">
        <v>115</v>
      </c>
      <c r="N226" s="6" t="s">
        <v>116</v>
      </c>
      <c r="O226" s="6" t="s">
        <v>49</v>
      </c>
      <c r="P226" s="6" t="s">
        <v>49</v>
      </c>
      <c r="Q226" s="6" t="s">
        <v>49</v>
      </c>
      <c r="R226" s="6" t="s">
        <v>49</v>
      </c>
      <c r="S226" s="6" t="s">
        <v>268</v>
      </c>
      <c r="T226" s="6" t="s">
        <v>269</v>
      </c>
      <c r="U226" s="6" t="s">
        <v>251</v>
      </c>
      <c r="V226" s="6" t="s">
        <v>685</v>
      </c>
      <c r="W226" s="12">
        <v>38.955444</v>
      </c>
      <c r="X226" s="12">
        <v>-106.99119399999999</v>
      </c>
      <c r="Y226" s="6" t="s">
        <v>141</v>
      </c>
      <c r="Z226" s="6" t="s">
        <v>271</v>
      </c>
      <c r="AA226" s="1" t="s">
        <v>49</v>
      </c>
      <c r="AB226" s="1" t="s">
        <v>49</v>
      </c>
      <c r="AC226" s="1" t="s">
        <v>49</v>
      </c>
      <c r="AD226" s="1" t="s">
        <v>90</v>
      </c>
      <c r="AE226" s="1" t="s">
        <v>300</v>
      </c>
      <c r="AF226" s="1" t="s">
        <v>49</v>
      </c>
      <c r="AG226" s="1" t="s">
        <v>49</v>
      </c>
      <c r="AH226" s="6" t="s">
        <v>49</v>
      </c>
      <c r="AI226" s="6" t="s">
        <v>272</v>
      </c>
      <c r="AJ226" s="6" t="s">
        <v>49</v>
      </c>
      <c r="AK226" s="6">
        <v>77</v>
      </c>
      <c r="AL226" s="6" t="s">
        <v>49</v>
      </c>
      <c r="AM226" s="6" t="s">
        <v>49</v>
      </c>
      <c r="AN226" s="6">
        <v>2.3E-2</v>
      </c>
      <c r="AO226" s="6" t="s">
        <v>49</v>
      </c>
      <c r="AP226" s="6">
        <v>0</v>
      </c>
      <c r="AQ226" s="6" t="s">
        <v>49</v>
      </c>
      <c r="AR226" s="6">
        <v>2.3E-2</v>
      </c>
      <c r="AS226" s="6" t="s">
        <v>49</v>
      </c>
      <c r="AT226" s="6" t="s">
        <v>49</v>
      </c>
      <c r="AU226" s="6" t="s">
        <v>49</v>
      </c>
      <c r="AV226" s="6" t="s">
        <v>49</v>
      </c>
    </row>
    <row r="227" spans="1:48" ht="14.4" customHeight="1">
      <c r="A227" s="6" t="s">
        <v>680</v>
      </c>
      <c r="B227" s="6" t="s">
        <v>38</v>
      </c>
      <c r="C227" s="6" t="s">
        <v>38</v>
      </c>
      <c r="D227" s="1" t="s">
        <v>681</v>
      </c>
      <c r="E227" s="1" t="s">
        <v>40</v>
      </c>
      <c r="F227" s="6">
        <v>2000</v>
      </c>
      <c r="G227" s="1" t="s">
        <v>177</v>
      </c>
      <c r="H227" s="6" t="s">
        <v>178</v>
      </c>
      <c r="I227" s="6" t="s">
        <v>179</v>
      </c>
      <c r="J227" s="1" t="str">
        <f t="shared" si="3"/>
        <v>Ipomopsis_aggregata</v>
      </c>
      <c r="K227" s="6" t="s">
        <v>45</v>
      </c>
      <c r="L227" s="6" t="s">
        <v>46</v>
      </c>
      <c r="M227" s="6" t="s">
        <v>115</v>
      </c>
      <c r="N227" s="6" t="s">
        <v>116</v>
      </c>
      <c r="O227" s="6" t="s">
        <v>49</v>
      </c>
      <c r="P227" s="6" t="s">
        <v>49</v>
      </c>
      <c r="Q227" s="6" t="s">
        <v>49</v>
      </c>
      <c r="R227" s="6" t="s">
        <v>49</v>
      </c>
      <c r="S227" s="6" t="s">
        <v>268</v>
      </c>
      <c r="T227" s="6" t="s">
        <v>269</v>
      </c>
      <c r="U227" s="6" t="s">
        <v>251</v>
      </c>
      <c r="V227" s="6" t="s">
        <v>685</v>
      </c>
      <c r="W227" s="12">
        <v>38.955444</v>
      </c>
      <c r="X227" s="12">
        <v>-106.99119399999999</v>
      </c>
      <c r="Y227" s="6" t="s">
        <v>141</v>
      </c>
      <c r="Z227" s="6" t="s">
        <v>271</v>
      </c>
      <c r="AA227" s="1" t="s">
        <v>49</v>
      </c>
      <c r="AB227" s="1" t="s">
        <v>49</v>
      </c>
      <c r="AC227" s="1" t="s">
        <v>49</v>
      </c>
      <c r="AD227" s="1" t="s">
        <v>89</v>
      </c>
      <c r="AE227" s="6" t="s">
        <v>187</v>
      </c>
      <c r="AF227" s="1" t="s">
        <v>49</v>
      </c>
      <c r="AG227" s="1" t="s">
        <v>49</v>
      </c>
      <c r="AH227" s="6" t="s">
        <v>49</v>
      </c>
      <c r="AI227" s="6" t="s">
        <v>272</v>
      </c>
      <c r="AJ227" s="6" t="s">
        <v>49</v>
      </c>
      <c r="AK227" s="6">
        <v>77</v>
      </c>
      <c r="AL227" s="6" t="s">
        <v>49</v>
      </c>
      <c r="AM227" s="6" t="s">
        <v>49</v>
      </c>
      <c r="AN227" s="6">
        <v>0.113</v>
      </c>
      <c r="AO227" s="6" t="s">
        <v>49</v>
      </c>
      <c r="AP227" s="6">
        <v>0</v>
      </c>
      <c r="AQ227" s="6" t="s">
        <v>49</v>
      </c>
      <c r="AR227" s="6">
        <v>0.113</v>
      </c>
      <c r="AS227" s="6" t="s">
        <v>49</v>
      </c>
      <c r="AT227" s="6" t="s">
        <v>49</v>
      </c>
      <c r="AU227" s="6" t="s">
        <v>49</v>
      </c>
      <c r="AV227" s="6" t="s">
        <v>49</v>
      </c>
    </row>
    <row r="228" spans="1:48" ht="14.4" customHeight="1">
      <c r="A228" s="6" t="s">
        <v>680</v>
      </c>
      <c r="B228" s="6" t="s">
        <v>38</v>
      </c>
      <c r="C228" s="6" t="s">
        <v>38</v>
      </c>
      <c r="D228" s="1" t="s">
        <v>681</v>
      </c>
      <c r="E228" s="1" t="s">
        <v>40</v>
      </c>
      <c r="F228" s="6">
        <v>2000</v>
      </c>
      <c r="G228" s="1" t="s">
        <v>177</v>
      </c>
      <c r="H228" s="6" t="s">
        <v>178</v>
      </c>
      <c r="I228" s="6" t="s">
        <v>179</v>
      </c>
      <c r="J228" s="1" t="str">
        <f t="shared" si="3"/>
        <v>Ipomopsis_aggregata</v>
      </c>
      <c r="K228" s="6" t="s">
        <v>45</v>
      </c>
      <c r="L228" s="6" t="s">
        <v>46</v>
      </c>
      <c r="M228" s="6" t="s">
        <v>115</v>
      </c>
      <c r="N228" s="6" t="s">
        <v>116</v>
      </c>
      <c r="O228" s="6" t="s">
        <v>49</v>
      </c>
      <c r="P228" s="6" t="s">
        <v>49</v>
      </c>
      <c r="Q228" s="6" t="s">
        <v>49</v>
      </c>
      <c r="R228" s="6" t="s">
        <v>49</v>
      </c>
      <c r="S228" s="6" t="s">
        <v>268</v>
      </c>
      <c r="T228" s="6" t="s">
        <v>269</v>
      </c>
      <c r="U228" s="6" t="s">
        <v>251</v>
      </c>
      <c r="V228" s="6" t="s">
        <v>685</v>
      </c>
      <c r="W228" s="12">
        <v>38.955444</v>
      </c>
      <c r="X228" s="12">
        <v>-106.99119399999999</v>
      </c>
      <c r="Y228" s="6" t="s">
        <v>141</v>
      </c>
      <c r="Z228" s="6" t="s">
        <v>271</v>
      </c>
      <c r="AA228" s="1" t="s">
        <v>49</v>
      </c>
      <c r="AB228" s="1" t="s">
        <v>49</v>
      </c>
      <c r="AC228" s="1" t="s">
        <v>49</v>
      </c>
      <c r="AD228" s="1" t="s">
        <v>89</v>
      </c>
      <c r="AE228" s="1" t="s">
        <v>300</v>
      </c>
      <c r="AF228" s="1" t="s">
        <v>49</v>
      </c>
      <c r="AG228" s="1" t="s">
        <v>49</v>
      </c>
      <c r="AH228" s="6" t="s">
        <v>49</v>
      </c>
      <c r="AI228" s="6" t="s">
        <v>272</v>
      </c>
      <c r="AJ228" s="6" t="s">
        <v>49</v>
      </c>
      <c r="AK228" s="6">
        <v>77</v>
      </c>
      <c r="AL228" s="6" t="s">
        <v>49</v>
      </c>
      <c r="AM228" s="6" t="s">
        <v>49</v>
      </c>
      <c r="AN228" s="6">
        <v>4.0000000000000001E-3</v>
      </c>
      <c r="AO228" s="6" t="s">
        <v>49</v>
      </c>
      <c r="AP228" s="6">
        <v>0</v>
      </c>
      <c r="AQ228" s="6" t="s">
        <v>49</v>
      </c>
      <c r="AR228" s="6">
        <v>4.0000000000000001E-3</v>
      </c>
      <c r="AS228" s="6" t="s">
        <v>49</v>
      </c>
      <c r="AT228" s="6" t="s">
        <v>49</v>
      </c>
      <c r="AU228" s="6" t="s">
        <v>49</v>
      </c>
      <c r="AV228" s="6" t="s">
        <v>49</v>
      </c>
    </row>
    <row r="229" spans="1:48" ht="14.4" customHeight="1">
      <c r="A229" s="6" t="s">
        <v>680</v>
      </c>
      <c r="B229" s="6" t="s">
        <v>38</v>
      </c>
      <c r="C229" s="6" t="s">
        <v>38</v>
      </c>
      <c r="D229" s="1" t="s">
        <v>681</v>
      </c>
      <c r="E229" s="1" t="s">
        <v>40</v>
      </c>
      <c r="F229" s="6">
        <v>2000</v>
      </c>
      <c r="G229" s="1" t="s">
        <v>177</v>
      </c>
      <c r="H229" s="6" t="s">
        <v>178</v>
      </c>
      <c r="I229" s="6" t="s">
        <v>179</v>
      </c>
      <c r="J229" s="1" t="str">
        <f t="shared" si="3"/>
        <v>Ipomopsis_aggregata</v>
      </c>
      <c r="K229" s="6" t="s">
        <v>45</v>
      </c>
      <c r="L229" s="6" t="s">
        <v>46</v>
      </c>
      <c r="M229" s="6" t="s">
        <v>115</v>
      </c>
      <c r="N229" s="6" t="s">
        <v>116</v>
      </c>
      <c r="O229" s="6" t="s">
        <v>49</v>
      </c>
      <c r="P229" s="6" t="s">
        <v>49</v>
      </c>
      <c r="Q229" s="6" t="s">
        <v>49</v>
      </c>
      <c r="R229" s="6" t="s">
        <v>49</v>
      </c>
      <c r="S229" s="6" t="s">
        <v>268</v>
      </c>
      <c r="T229" s="6" t="s">
        <v>269</v>
      </c>
      <c r="U229" s="6" t="s">
        <v>251</v>
      </c>
      <c r="V229" s="6" t="s">
        <v>685</v>
      </c>
      <c r="W229" s="12">
        <v>38.955444</v>
      </c>
      <c r="X229" s="12">
        <v>-106.99119399999999</v>
      </c>
      <c r="Y229" s="6" t="s">
        <v>141</v>
      </c>
      <c r="Z229" s="6" t="s">
        <v>271</v>
      </c>
      <c r="AA229" s="1" t="s">
        <v>49</v>
      </c>
      <c r="AB229" s="1" t="s">
        <v>49</v>
      </c>
      <c r="AC229" s="1" t="s">
        <v>49</v>
      </c>
      <c r="AD229" s="6" t="s">
        <v>187</v>
      </c>
      <c r="AE229" s="1" t="s">
        <v>300</v>
      </c>
      <c r="AF229" s="1" t="s">
        <v>49</v>
      </c>
      <c r="AG229" s="1" t="s">
        <v>49</v>
      </c>
      <c r="AH229" s="6" t="s">
        <v>49</v>
      </c>
      <c r="AI229" s="6" t="s">
        <v>272</v>
      </c>
      <c r="AJ229" s="6" t="s">
        <v>49</v>
      </c>
      <c r="AK229" s="6">
        <v>77</v>
      </c>
      <c r="AL229" s="6" t="s">
        <v>49</v>
      </c>
      <c r="AM229" s="6" t="s">
        <v>49</v>
      </c>
      <c r="AN229" s="6">
        <v>8.9999999999999993E-3</v>
      </c>
      <c r="AO229" s="6" t="s">
        <v>49</v>
      </c>
      <c r="AP229" s="6">
        <v>0</v>
      </c>
      <c r="AQ229" s="6" t="s">
        <v>49</v>
      </c>
      <c r="AR229" s="6">
        <v>8.9999999999999993E-3</v>
      </c>
      <c r="AS229" s="6" t="s">
        <v>49</v>
      </c>
      <c r="AT229" s="6" t="s">
        <v>49</v>
      </c>
      <c r="AU229" s="6" t="s">
        <v>49</v>
      </c>
      <c r="AV229" s="6" t="s">
        <v>49</v>
      </c>
    </row>
    <row r="230" spans="1:48" ht="14.4" customHeight="1">
      <c r="A230" s="6" t="s">
        <v>680</v>
      </c>
      <c r="B230" s="6" t="s">
        <v>38</v>
      </c>
      <c r="C230" s="6" t="s">
        <v>38</v>
      </c>
      <c r="D230" s="1" t="s">
        <v>681</v>
      </c>
      <c r="E230" s="1" t="s">
        <v>40</v>
      </c>
      <c r="F230" s="6">
        <v>2000</v>
      </c>
      <c r="G230" s="1" t="s">
        <v>177</v>
      </c>
      <c r="H230" s="6" t="s">
        <v>178</v>
      </c>
      <c r="I230" s="6" t="s">
        <v>179</v>
      </c>
      <c r="J230" s="1" t="str">
        <f t="shared" si="3"/>
        <v>Ipomopsis_aggregata</v>
      </c>
      <c r="K230" s="6" t="s">
        <v>45</v>
      </c>
      <c r="L230" s="6" t="s">
        <v>46</v>
      </c>
      <c r="M230" s="6" t="s">
        <v>115</v>
      </c>
      <c r="N230" s="6" t="s">
        <v>116</v>
      </c>
      <c r="O230" s="6" t="s">
        <v>49</v>
      </c>
      <c r="P230" s="6" t="s">
        <v>49</v>
      </c>
      <c r="Q230" s="6" t="s">
        <v>49</v>
      </c>
      <c r="R230" s="6" t="s">
        <v>49</v>
      </c>
      <c r="S230" s="6" t="s">
        <v>268</v>
      </c>
      <c r="T230" s="6" t="s">
        <v>269</v>
      </c>
      <c r="U230" s="6" t="s">
        <v>251</v>
      </c>
      <c r="V230" s="6" t="s">
        <v>686</v>
      </c>
      <c r="W230" s="12">
        <v>38.955444</v>
      </c>
      <c r="X230" s="12">
        <v>-106.99119399999999</v>
      </c>
      <c r="Y230" s="6" t="s">
        <v>141</v>
      </c>
      <c r="Z230" s="6" t="s">
        <v>271</v>
      </c>
      <c r="AA230" s="1" t="s">
        <v>50</v>
      </c>
      <c r="AB230" s="1" t="s">
        <v>51</v>
      </c>
      <c r="AC230" s="1" t="s">
        <v>52</v>
      </c>
      <c r="AD230" s="6" t="s">
        <v>122</v>
      </c>
      <c r="AE230" s="6" t="s">
        <v>122</v>
      </c>
      <c r="AF230" s="1" t="s">
        <v>53</v>
      </c>
      <c r="AG230" s="1" t="s">
        <v>53</v>
      </c>
      <c r="AH230" s="6" t="s">
        <v>49</v>
      </c>
      <c r="AI230" s="6" t="s">
        <v>272</v>
      </c>
      <c r="AJ230" s="6" t="s">
        <v>49</v>
      </c>
      <c r="AK230" s="6">
        <v>77</v>
      </c>
      <c r="AL230" s="6" t="s">
        <v>49</v>
      </c>
      <c r="AM230" s="6">
        <v>43.818199999999997</v>
      </c>
      <c r="AN230" s="6">
        <v>295.33499999999998</v>
      </c>
      <c r="AO230" s="6" t="s">
        <v>49</v>
      </c>
      <c r="AP230" s="6">
        <v>0</v>
      </c>
      <c r="AQ230" s="6" t="s">
        <v>49</v>
      </c>
      <c r="AR230" s="6">
        <v>295.33499999999998</v>
      </c>
      <c r="AS230" s="6" t="s">
        <v>49</v>
      </c>
      <c r="AT230" s="6" t="s">
        <v>49</v>
      </c>
      <c r="AU230" s="6" t="s">
        <v>49</v>
      </c>
      <c r="AV230" s="6" t="s">
        <v>49</v>
      </c>
    </row>
    <row r="231" spans="1:48" ht="14.4" customHeight="1">
      <c r="A231" s="6" t="s">
        <v>680</v>
      </c>
      <c r="B231" s="6" t="s">
        <v>38</v>
      </c>
      <c r="C231" s="6" t="s">
        <v>38</v>
      </c>
      <c r="D231" s="1" t="s">
        <v>681</v>
      </c>
      <c r="E231" s="1" t="s">
        <v>40</v>
      </c>
      <c r="F231" s="6">
        <v>2000</v>
      </c>
      <c r="G231" s="1" t="s">
        <v>177</v>
      </c>
      <c r="H231" s="6" t="s">
        <v>178</v>
      </c>
      <c r="I231" s="6" t="s">
        <v>179</v>
      </c>
      <c r="J231" s="1" t="str">
        <f t="shared" si="3"/>
        <v>Ipomopsis_aggregata</v>
      </c>
      <c r="K231" s="6" t="s">
        <v>45</v>
      </c>
      <c r="L231" s="6" t="s">
        <v>46</v>
      </c>
      <c r="M231" s="6" t="s">
        <v>115</v>
      </c>
      <c r="N231" s="6" t="s">
        <v>116</v>
      </c>
      <c r="O231" s="6" t="s">
        <v>49</v>
      </c>
      <c r="P231" s="6" t="s">
        <v>49</v>
      </c>
      <c r="Q231" s="6" t="s">
        <v>49</v>
      </c>
      <c r="R231" s="6" t="s">
        <v>49</v>
      </c>
      <c r="S231" s="6" t="s">
        <v>268</v>
      </c>
      <c r="T231" s="6" t="s">
        <v>269</v>
      </c>
      <c r="U231" s="6" t="s">
        <v>251</v>
      </c>
      <c r="V231" s="6" t="s">
        <v>686</v>
      </c>
      <c r="W231" s="12">
        <v>38.955444</v>
      </c>
      <c r="X231" s="12">
        <v>-106.99119399999999</v>
      </c>
      <c r="Y231" s="6" t="s">
        <v>141</v>
      </c>
      <c r="Z231" s="6" t="s">
        <v>271</v>
      </c>
      <c r="AA231" s="1" t="s">
        <v>50</v>
      </c>
      <c r="AB231" s="1" t="s">
        <v>66</v>
      </c>
      <c r="AC231" s="1" t="s">
        <v>67</v>
      </c>
      <c r="AD231" s="1" t="s">
        <v>90</v>
      </c>
      <c r="AE231" s="1" t="s">
        <v>90</v>
      </c>
      <c r="AF231" s="1" t="s">
        <v>60</v>
      </c>
      <c r="AG231" s="1" t="s">
        <v>61</v>
      </c>
      <c r="AH231" s="6" t="s">
        <v>49</v>
      </c>
      <c r="AI231" s="6" t="s">
        <v>272</v>
      </c>
      <c r="AJ231" s="6" t="s">
        <v>49</v>
      </c>
      <c r="AK231" s="6">
        <v>77</v>
      </c>
      <c r="AL231" s="6" t="s">
        <v>49</v>
      </c>
      <c r="AM231" s="6">
        <v>23.7454</v>
      </c>
      <c r="AN231" s="6">
        <v>8.1140000000000008</v>
      </c>
      <c r="AO231" s="6" t="s">
        <v>49</v>
      </c>
      <c r="AP231" s="6">
        <v>0</v>
      </c>
      <c r="AQ231" s="6" t="s">
        <v>49</v>
      </c>
      <c r="AR231" s="6">
        <v>8.1140000000000008</v>
      </c>
      <c r="AS231" s="6" t="s">
        <v>49</v>
      </c>
      <c r="AT231" s="6" t="s">
        <v>49</v>
      </c>
      <c r="AU231" s="6" t="s">
        <v>49</v>
      </c>
      <c r="AV231" s="6" t="s">
        <v>49</v>
      </c>
    </row>
    <row r="232" spans="1:48" ht="14.4" customHeight="1">
      <c r="A232" s="6" t="s">
        <v>680</v>
      </c>
      <c r="B232" s="6" t="s">
        <v>38</v>
      </c>
      <c r="C232" s="6" t="s">
        <v>38</v>
      </c>
      <c r="D232" s="1" t="s">
        <v>681</v>
      </c>
      <c r="E232" s="1" t="s">
        <v>40</v>
      </c>
      <c r="F232" s="6">
        <v>2000</v>
      </c>
      <c r="G232" s="1" t="s">
        <v>177</v>
      </c>
      <c r="H232" s="6" t="s">
        <v>178</v>
      </c>
      <c r="I232" s="6" t="s">
        <v>179</v>
      </c>
      <c r="J232" s="1" t="str">
        <f t="shared" si="3"/>
        <v>Ipomopsis_aggregata</v>
      </c>
      <c r="K232" s="6" t="s">
        <v>45</v>
      </c>
      <c r="L232" s="6" t="s">
        <v>46</v>
      </c>
      <c r="M232" s="6" t="s">
        <v>115</v>
      </c>
      <c r="N232" s="6" t="s">
        <v>116</v>
      </c>
      <c r="O232" s="6" t="s">
        <v>49</v>
      </c>
      <c r="P232" s="6" t="s">
        <v>49</v>
      </c>
      <c r="Q232" s="6" t="s">
        <v>49</v>
      </c>
      <c r="R232" s="6" t="s">
        <v>49</v>
      </c>
      <c r="S232" s="6" t="s">
        <v>268</v>
      </c>
      <c r="T232" s="6" t="s">
        <v>269</v>
      </c>
      <c r="U232" s="6" t="s">
        <v>251</v>
      </c>
      <c r="V232" s="6" t="s">
        <v>686</v>
      </c>
      <c r="W232" s="12">
        <v>38.955444</v>
      </c>
      <c r="X232" s="12">
        <v>-106.99119399999999</v>
      </c>
      <c r="Y232" s="6" t="s">
        <v>141</v>
      </c>
      <c r="Z232" s="6" t="s">
        <v>271</v>
      </c>
      <c r="AA232" s="1" t="s">
        <v>50</v>
      </c>
      <c r="AB232" s="1" t="s">
        <v>66</v>
      </c>
      <c r="AC232" s="1" t="s">
        <v>67</v>
      </c>
      <c r="AD232" s="1" t="s">
        <v>89</v>
      </c>
      <c r="AE232" s="1" t="s">
        <v>89</v>
      </c>
      <c r="AF232" s="1" t="s">
        <v>60</v>
      </c>
      <c r="AG232" s="1" t="s">
        <v>61</v>
      </c>
      <c r="AH232" s="6" t="s">
        <v>49</v>
      </c>
      <c r="AI232" s="6" t="s">
        <v>272</v>
      </c>
      <c r="AJ232" s="6" t="s">
        <v>49</v>
      </c>
      <c r="AK232" s="6">
        <v>77</v>
      </c>
      <c r="AL232" s="6" t="s">
        <v>49</v>
      </c>
      <c r="AM232" s="6">
        <v>2.9906000000000001</v>
      </c>
      <c r="AN232" s="6">
        <v>0.20200000000000001</v>
      </c>
      <c r="AO232" s="6" t="s">
        <v>49</v>
      </c>
      <c r="AP232" s="6">
        <v>0</v>
      </c>
      <c r="AQ232" s="6" t="s">
        <v>49</v>
      </c>
      <c r="AR232" s="6">
        <v>0.20200000000000001</v>
      </c>
      <c r="AS232" s="6" t="s">
        <v>49</v>
      </c>
      <c r="AT232" s="6" t="s">
        <v>49</v>
      </c>
      <c r="AU232" s="6" t="s">
        <v>49</v>
      </c>
      <c r="AV232" s="6" t="s">
        <v>49</v>
      </c>
    </row>
    <row r="233" spans="1:48" ht="14.4" customHeight="1">
      <c r="A233" s="6" t="s">
        <v>680</v>
      </c>
      <c r="B233" s="6" t="s">
        <v>38</v>
      </c>
      <c r="C233" s="6" t="s">
        <v>38</v>
      </c>
      <c r="D233" s="1" t="s">
        <v>681</v>
      </c>
      <c r="E233" s="1" t="s">
        <v>40</v>
      </c>
      <c r="F233" s="6">
        <v>2000</v>
      </c>
      <c r="G233" s="1" t="s">
        <v>177</v>
      </c>
      <c r="H233" s="6" t="s">
        <v>178</v>
      </c>
      <c r="I233" s="6" t="s">
        <v>179</v>
      </c>
      <c r="J233" s="1" t="str">
        <f t="shared" si="3"/>
        <v>Ipomopsis_aggregata</v>
      </c>
      <c r="K233" s="6" t="s">
        <v>45</v>
      </c>
      <c r="L233" s="6" t="s">
        <v>46</v>
      </c>
      <c r="M233" s="6" t="s">
        <v>115</v>
      </c>
      <c r="N233" s="6" t="s">
        <v>116</v>
      </c>
      <c r="O233" s="6" t="s">
        <v>49</v>
      </c>
      <c r="P233" s="6" t="s">
        <v>49</v>
      </c>
      <c r="Q233" s="6" t="s">
        <v>49</v>
      </c>
      <c r="R233" s="6" t="s">
        <v>49</v>
      </c>
      <c r="S233" s="6" t="s">
        <v>268</v>
      </c>
      <c r="T233" s="6" t="s">
        <v>269</v>
      </c>
      <c r="U233" s="6" t="s">
        <v>251</v>
      </c>
      <c r="V233" s="6" t="s">
        <v>686</v>
      </c>
      <c r="W233" s="12">
        <v>38.955444</v>
      </c>
      <c r="X233" s="12">
        <v>-106.99119399999999</v>
      </c>
      <c r="Y233" s="6" t="s">
        <v>141</v>
      </c>
      <c r="Z233" s="6" t="s">
        <v>271</v>
      </c>
      <c r="AA233" s="1" t="s">
        <v>50</v>
      </c>
      <c r="AB233" s="1" t="s">
        <v>185</v>
      </c>
      <c r="AC233" s="1" t="s">
        <v>186</v>
      </c>
      <c r="AD233" s="6" t="s">
        <v>187</v>
      </c>
      <c r="AE233" s="6" t="s">
        <v>187</v>
      </c>
      <c r="AF233" s="1" t="s">
        <v>60</v>
      </c>
      <c r="AG233" s="1" t="s">
        <v>173</v>
      </c>
      <c r="AH233" s="6" t="s">
        <v>49</v>
      </c>
      <c r="AI233" s="6" t="s">
        <v>272</v>
      </c>
      <c r="AJ233" s="6" t="s">
        <v>49</v>
      </c>
      <c r="AK233" s="6">
        <v>77</v>
      </c>
      <c r="AL233" s="6" t="s">
        <v>49</v>
      </c>
      <c r="AM233" s="6">
        <v>3.0636000000000001</v>
      </c>
      <c r="AN233" s="6">
        <v>3.3119999999999998</v>
      </c>
      <c r="AO233" s="6" t="s">
        <v>49</v>
      </c>
      <c r="AP233" s="6">
        <v>0</v>
      </c>
      <c r="AQ233" s="6" t="s">
        <v>49</v>
      </c>
      <c r="AR233" s="6">
        <v>3.3119999999999998</v>
      </c>
      <c r="AS233" s="6" t="s">
        <v>49</v>
      </c>
      <c r="AT233" s="6" t="s">
        <v>49</v>
      </c>
      <c r="AU233" s="6" t="s">
        <v>49</v>
      </c>
      <c r="AV233" s="6" t="s">
        <v>49</v>
      </c>
    </row>
    <row r="234" spans="1:48" ht="14.4" customHeight="1">
      <c r="A234" s="6" t="s">
        <v>680</v>
      </c>
      <c r="B234" s="6" t="s">
        <v>38</v>
      </c>
      <c r="C234" s="6" t="s">
        <v>38</v>
      </c>
      <c r="D234" s="1" t="s">
        <v>681</v>
      </c>
      <c r="E234" s="1" t="s">
        <v>40</v>
      </c>
      <c r="F234" s="6">
        <v>2000</v>
      </c>
      <c r="G234" s="1" t="s">
        <v>177</v>
      </c>
      <c r="H234" s="6" t="s">
        <v>178</v>
      </c>
      <c r="I234" s="6" t="s">
        <v>179</v>
      </c>
      <c r="J234" s="1" t="str">
        <f t="shared" si="3"/>
        <v>Ipomopsis_aggregata</v>
      </c>
      <c r="K234" s="6" t="s">
        <v>45</v>
      </c>
      <c r="L234" s="6" t="s">
        <v>46</v>
      </c>
      <c r="M234" s="6" t="s">
        <v>115</v>
      </c>
      <c r="N234" s="6" t="s">
        <v>116</v>
      </c>
      <c r="O234" s="6" t="s">
        <v>49</v>
      </c>
      <c r="P234" s="6" t="s">
        <v>49</v>
      </c>
      <c r="Q234" s="6" t="s">
        <v>49</v>
      </c>
      <c r="R234" s="6" t="s">
        <v>49</v>
      </c>
      <c r="S234" s="6" t="s">
        <v>268</v>
      </c>
      <c r="T234" s="6" t="s">
        <v>269</v>
      </c>
      <c r="U234" s="6" t="s">
        <v>251</v>
      </c>
      <c r="V234" s="6" t="s">
        <v>686</v>
      </c>
      <c r="W234" s="12">
        <v>38.955444</v>
      </c>
      <c r="X234" s="12">
        <v>-106.99119399999999</v>
      </c>
      <c r="Y234" s="6" t="s">
        <v>141</v>
      </c>
      <c r="Z234" s="6" t="s">
        <v>271</v>
      </c>
      <c r="AA234" s="1" t="s">
        <v>50</v>
      </c>
      <c r="AB234" s="1" t="s">
        <v>96</v>
      </c>
      <c r="AC234" s="1" t="s">
        <v>299</v>
      </c>
      <c r="AD234" s="1" t="s">
        <v>300</v>
      </c>
      <c r="AE234" s="1" t="s">
        <v>300</v>
      </c>
      <c r="AF234" s="1" t="s">
        <v>60</v>
      </c>
      <c r="AG234" s="1" t="s">
        <v>543</v>
      </c>
      <c r="AH234" s="6" t="s">
        <v>49</v>
      </c>
      <c r="AI234" s="6" t="s">
        <v>272</v>
      </c>
      <c r="AJ234" s="6" t="s">
        <v>49</v>
      </c>
      <c r="AK234" s="6">
        <v>77</v>
      </c>
      <c r="AL234" s="6" t="s">
        <v>49</v>
      </c>
      <c r="AM234" s="6">
        <v>0.52239999999999998</v>
      </c>
      <c r="AN234" s="6">
        <v>0.02</v>
      </c>
      <c r="AO234" s="6" t="s">
        <v>49</v>
      </c>
      <c r="AP234" s="6">
        <v>0</v>
      </c>
      <c r="AQ234" s="6" t="s">
        <v>49</v>
      </c>
      <c r="AR234" s="6">
        <v>0.02</v>
      </c>
      <c r="AS234" s="6" t="s">
        <v>49</v>
      </c>
      <c r="AT234" s="6" t="s">
        <v>49</v>
      </c>
      <c r="AU234" s="6" t="s">
        <v>49</v>
      </c>
      <c r="AV234" s="6" t="s">
        <v>49</v>
      </c>
    </row>
    <row r="235" spans="1:48" ht="14.4" customHeight="1">
      <c r="A235" s="6" t="s">
        <v>680</v>
      </c>
      <c r="B235" s="6" t="s">
        <v>38</v>
      </c>
      <c r="C235" s="6" t="s">
        <v>38</v>
      </c>
      <c r="D235" s="1" t="s">
        <v>681</v>
      </c>
      <c r="E235" s="1" t="s">
        <v>40</v>
      </c>
      <c r="F235" s="6">
        <v>2000</v>
      </c>
      <c r="G235" s="1" t="s">
        <v>177</v>
      </c>
      <c r="H235" s="6" t="s">
        <v>178</v>
      </c>
      <c r="I235" s="6" t="s">
        <v>179</v>
      </c>
      <c r="J235" s="1" t="str">
        <f t="shared" si="3"/>
        <v>Ipomopsis_aggregata</v>
      </c>
      <c r="K235" s="6" t="s">
        <v>45</v>
      </c>
      <c r="L235" s="6" t="s">
        <v>46</v>
      </c>
      <c r="M235" s="6" t="s">
        <v>115</v>
      </c>
      <c r="N235" s="6" t="s">
        <v>116</v>
      </c>
      <c r="O235" s="6" t="s">
        <v>49</v>
      </c>
      <c r="P235" s="6" t="s">
        <v>49</v>
      </c>
      <c r="Q235" s="6" t="s">
        <v>49</v>
      </c>
      <c r="R235" s="6" t="s">
        <v>49</v>
      </c>
      <c r="S235" s="6" t="s">
        <v>268</v>
      </c>
      <c r="T235" s="6" t="s">
        <v>269</v>
      </c>
      <c r="U235" s="6" t="s">
        <v>251</v>
      </c>
      <c r="V235" s="6" t="s">
        <v>686</v>
      </c>
      <c r="W235" s="12">
        <v>38.955444</v>
      </c>
      <c r="X235" s="12">
        <v>-106.99119399999999</v>
      </c>
      <c r="Y235" s="6" t="s">
        <v>141</v>
      </c>
      <c r="Z235" s="6" t="s">
        <v>271</v>
      </c>
      <c r="AA235" s="1" t="s">
        <v>49</v>
      </c>
      <c r="AB235" s="1" t="s">
        <v>49</v>
      </c>
      <c r="AC235" s="1" t="s">
        <v>49</v>
      </c>
      <c r="AD235" s="6" t="s">
        <v>122</v>
      </c>
      <c r="AE235" s="1" t="s">
        <v>90</v>
      </c>
      <c r="AF235" s="1" t="s">
        <v>49</v>
      </c>
      <c r="AG235" s="1" t="s">
        <v>49</v>
      </c>
      <c r="AH235" s="6" t="s">
        <v>49</v>
      </c>
      <c r="AI235" s="6" t="s">
        <v>272</v>
      </c>
      <c r="AJ235" s="6" t="s">
        <v>49</v>
      </c>
      <c r="AK235" s="6">
        <v>77</v>
      </c>
      <c r="AL235" s="6" t="s">
        <v>49</v>
      </c>
      <c r="AM235" s="6" t="s">
        <v>49</v>
      </c>
      <c r="AN235" s="6">
        <v>6.4169999999999998</v>
      </c>
      <c r="AO235" s="6" t="s">
        <v>49</v>
      </c>
      <c r="AP235" s="6">
        <v>0</v>
      </c>
      <c r="AQ235" s="6" t="s">
        <v>49</v>
      </c>
      <c r="AR235" s="6">
        <v>6.4169999999999998</v>
      </c>
      <c r="AS235" s="6" t="s">
        <v>49</v>
      </c>
      <c r="AT235" s="6" t="s">
        <v>49</v>
      </c>
      <c r="AU235" s="6" t="s">
        <v>49</v>
      </c>
      <c r="AV235" s="6" t="s">
        <v>49</v>
      </c>
    </row>
    <row r="236" spans="1:48" ht="14.4" customHeight="1">
      <c r="A236" s="6" t="s">
        <v>680</v>
      </c>
      <c r="B236" s="6" t="s">
        <v>38</v>
      </c>
      <c r="C236" s="6" t="s">
        <v>38</v>
      </c>
      <c r="D236" s="1" t="s">
        <v>681</v>
      </c>
      <c r="E236" s="1" t="s">
        <v>40</v>
      </c>
      <c r="F236" s="6">
        <v>2000</v>
      </c>
      <c r="G236" s="1" t="s">
        <v>177</v>
      </c>
      <c r="H236" s="6" t="s">
        <v>178</v>
      </c>
      <c r="I236" s="6" t="s">
        <v>179</v>
      </c>
      <c r="J236" s="1" t="str">
        <f t="shared" si="3"/>
        <v>Ipomopsis_aggregata</v>
      </c>
      <c r="K236" s="6" t="s">
        <v>45</v>
      </c>
      <c r="L236" s="6" t="s">
        <v>46</v>
      </c>
      <c r="M236" s="6" t="s">
        <v>115</v>
      </c>
      <c r="N236" s="6" t="s">
        <v>116</v>
      </c>
      <c r="O236" s="6" t="s">
        <v>49</v>
      </c>
      <c r="P236" s="6" t="s">
        <v>49</v>
      </c>
      <c r="Q236" s="6" t="s">
        <v>49</v>
      </c>
      <c r="R236" s="6" t="s">
        <v>49</v>
      </c>
      <c r="S236" s="6" t="s">
        <v>268</v>
      </c>
      <c r="T236" s="6" t="s">
        <v>269</v>
      </c>
      <c r="U236" s="6" t="s">
        <v>251</v>
      </c>
      <c r="V236" s="6" t="s">
        <v>686</v>
      </c>
      <c r="W236" s="12">
        <v>38.955444</v>
      </c>
      <c r="X236" s="12">
        <v>-106.99119399999999</v>
      </c>
      <c r="Y236" s="6" t="s">
        <v>141</v>
      </c>
      <c r="Z236" s="6" t="s">
        <v>271</v>
      </c>
      <c r="AA236" s="1" t="s">
        <v>49</v>
      </c>
      <c r="AB236" s="1" t="s">
        <v>49</v>
      </c>
      <c r="AC236" s="1" t="s">
        <v>49</v>
      </c>
      <c r="AD236" s="6" t="s">
        <v>122</v>
      </c>
      <c r="AE236" s="1" t="s">
        <v>89</v>
      </c>
      <c r="AF236" s="1" t="s">
        <v>49</v>
      </c>
      <c r="AG236" s="1" t="s">
        <v>49</v>
      </c>
      <c r="AH236" s="6" t="s">
        <v>49</v>
      </c>
      <c r="AI236" s="6" t="s">
        <v>272</v>
      </c>
      <c r="AJ236" s="6" t="s">
        <v>49</v>
      </c>
      <c r="AK236" s="6">
        <v>77</v>
      </c>
      <c r="AL236" s="6" t="s">
        <v>49</v>
      </c>
      <c r="AM236" s="6" t="s">
        <v>49</v>
      </c>
      <c r="AN236" s="6">
        <v>2.5630000000000002</v>
      </c>
      <c r="AO236" s="6" t="s">
        <v>49</v>
      </c>
      <c r="AP236" s="6">
        <v>0</v>
      </c>
      <c r="AQ236" s="6" t="s">
        <v>49</v>
      </c>
      <c r="AR236" s="6">
        <v>2.5630000000000002</v>
      </c>
      <c r="AS236" s="6" t="s">
        <v>49</v>
      </c>
      <c r="AT236" s="6" t="s">
        <v>49</v>
      </c>
      <c r="AU236" s="6" t="s">
        <v>49</v>
      </c>
      <c r="AV236" s="6" t="s">
        <v>49</v>
      </c>
    </row>
    <row r="237" spans="1:48" ht="14.4" customHeight="1">
      <c r="A237" s="6" t="s">
        <v>680</v>
      </c>
      <c r="B237" s="6" t="s">
        <v>38</v>
      </c>
      <c r="C237" s="6" t="s">
        <v>38</v>
      </c>
      <c r="D237" s="1" t="s">
        <v>681</v>
      </c>
      <c r="E237" s="1" t="s">
        <v>40</v>
      </c>
      <c r="F237" s="6">
        <v>2000</v>
      </c>
      <c r="G237" s="1" t="s">
        <v>177</v>
      </c>
      <c r="H237" s="6" t="s">
        <v>178</v>
      </c>
      <c r="I237" s="6" t="s">
        <v>179</v>
      </c>
      <c r="J237" s="1" t="str">
        <f t="shared" si="3"/>
        <v>Ipomopsis_aggregata</v>
      </c>
      <c r="K237" s="6" t="s">
        <v>45</v>
      </c>
      <c r="L237" s="6" t="s">
        <v>46</v>
      </c>
      <c r="M237" s="6" t="s">
        <v>115</v>
      </c>
      <c r="N237" s="6" t="s">
        <v>116</v>
      </c>
      <c r="O237" s="6" t="s">
        <v>49</v>
      </c>
      <c r="P237" s="6" t="s">
        <v>49</v>
      </c>
      <c r="Q237" s="6" t="s">
        <v>49</v>
      </c>
      <c r="R237" s="6" t="s">
        <v>49</v>
      </c>
      <c r="S237" s="6" t="s">
        <v>268</v>
      </c>
      <c r="T237" s="6" t="s">
        <v>269</v>
      </c>
      <c r="U237" s="6" t="s">
        <v>251</v>
      </c>
      <c r="V237" s="6" t="s">
        <v>686</v>
      </c>
      <c r="W237" s="12">
        <v>38.955444</v>
      </c>
      <c r="X237" s="12">
        <v>-106.99119399999999</v>
      </c>
      <c r="Y237" s="6" t="s">
        <v>141</v>
      </c>
      <c r="Z237" s="6" t="s">
        <v>271</v>
      </c>
      <c r="AA237" s="1" t="s">
        <v>49</v>
      </c>
      <c r="AB237" s="1" t="s">
        <v>49</v>
      </c>
      <c r="AC237" s="1" t="s">
        <v>49</v>
      </c>
      <c r="AD237" s="6" t="s">
        <v>122</v>
      </c>
      <c r="AE237" s="6" t="s">
        <v>187</v>
      </c>
      <c r="AF237" s="1" t="s">
        <v>49</v>
      </c>
      <c r="AG237" s="1" t="s">
        <v>49</v>
      </c>
      <c r="AH237" s="6" t="s">
        <v>49</v>
      </c>
      <c r="AI237" s="6" t="s">
        <v>272</v>
      </c>
      <c r="AJ237" s="6" t="s">
        <v>49</v>
      </c>
      <c r="AK237" s="6">
        <v>77</v>
      </c>
      <c r="AL237" s="6" t="s">
        <v>49</v>
      </c>
      <c r="AM237" s="6" t="s">
        <v>49</v>
      </c>
      <c r="AN237" s="6">
        <v>4.4390000000000001</v>
      </c>
      <c r="AO237" s="6" t="s">
        <v>49</v>
      </c>
      <c r="AP237" s="6">
        <v>0</v>
      </c>
      <c r="AQ237" s="6" t="s">
        <v>49</v>
      </c>
      <c r="AR237" s="6">
        <v>4.4390000000000001</v>
      </c>
      <c r="AS237" s="6" t="s">
        <v>49</v>
      </c>
      <c r="AT237" s="6" t="s">
        <v>49</v>
      </c>
      <c r="AU237" s="6" t="s">
        <v>49</v>
      </c>
      <c r="AV237" s="6" t="s">
        <v>49</v>
      </c>
    </row>
    <row r="238" spans="1:48" ht="14.4" customHeight="1">
      <c r="A238" s="6" t="s">
        <v>680</v>
      </c>
      <c r="B238" s="6" t="s">
        <v>38</v>
      </c>
      <c r="C238" s="6" t="s">
        <v>38</v>
      </c>
      <c r="D238" s="1" t="s">
        <v>681</v>
      </c>
      <c r="E238" s="1" t="s">
        <v>40</v>
      </c>
      <c r="F238" s="6">
        <v>2000</v>
      </c>
      <c r="G238" s="1" t="s">
        <v>177</v>
      </c>
      <c r="H238" s="6" t="s">
        <v>178</v>
      </c>
      <c r="I238" s="6" t="s">
        <v>179</v>
      </c>
      <c r="J238" s="1" t="str">
        <f t="shared" si="3"/>
        <v>Ipomopsis_aggregata</v>
      </c>
      <c r="K238" s="6" t="s">
        <v>45</v>
      </c>
      <c r="L238" s="6" t="s">
        <v>46</v>
      </c>
      <c r="M238" s="6" t="s">
        <v>115</v>
      </c>
      <c r="N238" s="6" t="s">
        <v>116</v>
      </c>
      <c r="O238" s="6" t="s">
        <v>49</v>
      </c>
      <c r="P238" s="6" t="s">
        <v>49</v>
      </c>
      <c r="Q238" s="6" t="s">
        <v>49</v>
      </c>
      <c r="R238" s="6" t="s">
        <v>49</v>
      </c>
      <c r="S238" s="6" t="s">
        <v>268</v>
      </c>
      <c r="T238" s="6" t="s">
        <v>269</v>
      </c>
      <c r="U238" s="6" t="s">
        <v>251</v>
      </c>
      <c r="V238" s="6" t="s">
        <v>686</v>
      </c>
      <c r="W238" s="12">
        <v>38.955444</v>
      </c>
      <c r="X238" s="12">
        <v>-106.99119399999999</v>
      </c>
      <c r="Y238" s="6" t="s">
        <v>141</v>
      </c>
      <c r="Z238" s="6" t="s">
        <v>271</v>
      </c>
      <c r="AA238" s="1" t="s">
        <v>49</v>
      </c>
      <c r="AB238" s="1" t="s">
        <v>49</v>
      </c>
      <c r="AC238" s="1" t="s">
        <v>49</v>
      </c>
      <c r="AD238" s="6" t="s">
        <v>122</v>
      </c>
      <c r="AE238" s="1" t="s">
        <v>300</v>
      </c>
      <c r="AF238" s="1" t="s">
        <v>49</v>
      </c>
      <c r="AG238" s="1" t="s">
        <v>49</v>
      </c>
      <c r="AH238" s="6" t="s">
        <v>49</v>
      </c>
      <c r="AI238" s="6" t="s">
        <v>272</v>
      </c>
      <c r="AJ238" s="6" t="s">
        <v>49</v>
      </c>
      <c r="AK238" s="6">
        <v>77</v>
      </c>
      <c r="AL238" s="6" t="s">
        <v>49</v>
      </c>
      <c r="AM238" s="6" t="s">
        <v>49</v>
      </c>
      <c r="AN238" s="6">
        <v>0.08</v>
      </c>
      <c r="AO238" s="6" t="s">
        <v>49</v>
      </c>
      <c r="AP238" s="6">
        <v>0</v>
      </c>
      <c r="AQ238" s="6" t="s">
        <v>49</v>
      </c>
      <c r="AR238" s="6">
        <v>0.08</v>
      </c>
      <c r="AS238" s="6" t="s">
        <v>49</v>
      </c>
      <c r="AT238" s="6" t="s">
        <v>49</v>
      </c>
      <c r="AU238" s="6" t="s">
        <v>49</v>
      </c>
      <c r="AV238" s="6" t="s">
        <v>49</v>
      </c>
    </row>
    <row r="239" spans="1:48" ht="14.4" customHeight="1">
      <c r="A239" s="6" t="s">
        <v>680</v>
      </c>
      <c r="B239" s="6" t="s">
        <v>38</v>
      </c>
      <c r="C239" s="6" t="s">
        <v>38</v>
      </c>
      <c r="D239" s="1" t="s">
        <v>681</v>
      </c>
      <c r="E239" s="1" t="s">
        <v>40</v>
      </c>
      <c r="F239" s="6">
        <v>2000</v>
      </c>
      <c r="G239" s="1" t="s">
        <v>177</v>
      </c>
      <c r="H239" s="6" t="s">
        <v>178</v>
      </c>
      <c r="I239" s="6" t="s">
        <v>179</v>
      </c>
      <c r="J239" s="1" t="str">
        <f t="shared" si="3"/>
        <v>Ipomopsis_aggregata</v>
      </c>
      <c r="K239" s="6" t="s">
        <v>45</v>
      </c>
      <c r="L239" s="6" t="s">
        <v>46</v>
      </c>
      <c r="M239" s="6" t="s">
        <v>115</v>
      </c>
      <c r="N239" s="6" t="s">
        <v>116</v>
      </c>
      <c r="O239" s="6" t="s">
        <v>49</v>
      </c>
      <c r="P239" s="6" t="s">
        <v>49</v>
      </c>
      <c r="Q239" s="6" t="s">
        <v>49</v>
      </c>
      <c r="R239" s="6" t="s">
        <v>49</v>
      </c>
      <c r="S239" s="6" t="s">
        <v>268</v>
      </c>
      <c r="T239" s="6" t="s">
        <v>269</v>
      </c>
      <c r="U239" s="6" t="s">
        <v>251</v>
      </c>
      <c r="V239" s="6" t="s">
        <v>686</v>
      </c>
      <c r="W239" s="12">
        <v>38.955444</v>
      </c>
      <c r="X239" s="12">
        <v>-106.99119399999999</v>
      </c>
      <c r="Y239" s="6" t="s">
        <v>141</v>
      </c>
      <c r="Z239" s="6" t="s">
        <v>271</v>
      </c>
      <c r="AA239" s="1" t="s">
        <v>49</v>
      </c>
      <c r="AB239" s="1" t="s">
        <v>49</v>
      </c>
      <c r="AC239" s="1" t="s">
        <v>49</v>
      </c>
      <c r="AD239" s="1" t="s">
        <v>90</v>
      </c>
      <c r="AE239" s="1" t="s">
        <v>89</v>
      </c>
      <c r="AF239" s="1" t="s">
        <v>49</v>
      </c>
      <c r="AG239" s="1" t="s">
        <v>49</v>
      </c>
      <c r="AH239" s="6" t="s">
        <v>49</v>
      </c>
      <c r="AI239" s="6" t="s">
        <v>272</v>
      </c>
      <c r="AJ239" s="6" t="s">
        <v>49</v>
      </c>
      <c r="AK239" s="6">
        <v>77</v>
      </c>
      <c r="AL239" s="6" t="s">
        <v>49</v>
      </c>
      <c r="AM239" s="6" t="s">
        <v>49</v>
      </c>
      <c r="AN239" s="6">
        <v>0.54800000000000004</v>
      </c>
      <c r="AO239" s="6" t="s">
        <v>49</v>
      </c>
      <c r="AP239" s="6">
        <v>0</v>
      </c>
      <c r="AQ239" s="6" t="s">
        <v>49</v>
      </c>
      <c r="AR239" s="6">
        <v>0.54800000000000004</v>
      </c>
      <c r="AS239" s="6" t="s">
        <v>49</v>
      </c>
      <c r="AT239" s="6" t="s">
        <v>49</v>
      </c>
      <c r="AU239" s="6" t="s">
        <v>49</v>
      </c>
      <c r="AV239" s="6" t="s">
        <v>49</v>
      </c>
    </row>
    <row r="240" spans="1:48" ht="14.4" customHeight="1">
      <c r="A240" s="6" t="s">
        <v>680</v>
      </c>
      <c r="B240" s="6" t="s">
        <v>38</v>
      </c>
      <c r="C240" s="6" t="s">
        <v>38</v>
      </c>
      <c r="D240" s="1" t="s">
        <v>681</v>
      </c>
      <c r="E240" s="1" t="s">
        <v>40</v>
      </c>
      <c r="F240" s="6">
        <v>2000</v>
      </c>
      <c r="G240" s="1" t="s">
        <v>177</v>
      </c>
      <c r="H240" s="6" t="s">
        <v>178</v>
      </c>
      <c r="I240" s="6" t="s">
        <v>179</v>
      </c>
      <c r="J240" s="1" t="str">
        <f t="shared" si="3"/>
        <v>Ipomopsis_aggregata</v>
      </c>
      <c r="K240" s="6" t="s">
        <v>45</v>
      </c>
      <c r="L240" s="6" t="s">
        <v>46</v>
      </c>
      <c r="M240" s="6" t="s">
        <v>115</v>
      </c>
      <c r="N240" s="6" t="s">
        <v>116</v>
      </c>
      <c r="O240" s="6" t="s">
        <v>49</v>
      </c>
      <c r="P240" s="6" t="s">
        <v>49</v>
      </c>
      <c r="Q240" s="6" t="s">
        <v>49</v>
      </c>
      <c r="R240" s="6" t="s">
        <v>49</v>
      </c>
      <c r="S240" s="6" t="s">
        <v>268</v>
      </c>
      <c r="T240" s="6" t="s">
        <v>269</v>
      </c>
      <c r="U240" s="6" t="s">
        <v>251</v>
      </c>
      <c r="V240" s="6" t="s">
        <v>686</v>
      </c>
      <c r="W240" s="12">
        <v>38.955444</v>
      </c>
      <c r="X240" s="12">
        <v>-106.99119399999999</v>
      </c>
      <c r="Y240" s="6" t="s">
        <v>141</v>
      </c>
      <c r="Z240" s="6" t="s">
        <v>271</v>
      </c>
      <c r="AA240" s="1" t="s">
        <v>49</v>
      </c>
      <c r="AB240" s="1" t="s">
        <v>49</v>
      </c>
      <c r="AC240" s="1" t="s">
        <v>49</v>
      </c>
      <c r="AD240" s="1" t="s">
        <v>90</v>
      </c>
      <c r="AE240" s="6" t="s">
        <v>187</v>
      </c>
      <c r="AF240" s="1" t="s">
        <v>49</v>
      </c>
      <c r="AG240" s="1" t="s">
        <v>49</v>
      </c>
      <c r="AH240" s="6" t="s">
        <v>49</v>
      </c>
      <c r="AI240" s="6" t="s">
        <v>272</v>
      </c>
      <c r="AJ240" s="6" t="s">
        <v>49</v>
      </c>
      <c r="AK240" s="6">
        <v>77</v>
      </c>
      <c r="AL240" s="6" t="s">
        <v>49</v>
      </c>
      <c r="AM240" s="6" t="s">
        <v>49</v>
      </c>
      <c r="AN240" s="6">
        <v>0.63900000000000001</v>
      </c>
      <c r="AO240" s="6" t="s">
        <v>49</v>
      </c>
      <c r="AP240" s="6">
        <v>0</v>
      </c>
      <c r="AQ240" s="6" t="s">
        <v>49</v>
      </c>
      <c r="AR240" s="6">
        <v>0.63900000000000001</v>
      </c>
      <c r="AS240" s="6" t="s">
        <v>49</v>
      </c>
      <c r="AT240" s="6" t="s">
        <v>49</v>
      </c>
      <c r="AU240" s="6" t="s">
        <v>49</v>
      </c>
      <c r="AV240" s="6" t="s">
        <v>49</v>
      </c>
    </row>
    <row r="241" spans="1:48" ht="14.4" customHeight="1">
      <c r="A241" s="6" t="s">
        <v>680</v>
      </c>
      <c r="B241" s="6" t="s">
        <v>38</v>
      </c>
      <c r="C241" s="6" t="s">
        <v>38</v>
      </c>
      <c r="D241" s="1" t="s">
        <v>681</v>
      </c>
      <c r="E241" s="1" t="s">
        <v>40</v>
      </c>
      <c r="F241" s="6">
        <v>2000</v>
      </c>
      <c r="G241" s="1" t="s">
        <v>177</v>
      </c>
      <c r="H241" s="6" t="s">
        <v>178</v>
      </c>
      <c r="I241" s="6" t="s">
        <v>179</v>
      </c>
      <c r="J241" s="1" t="str">
        <f t="shared" si="3"/>
        <v>Ipomopsis_aggregata</v>
      </c>
      <c r="K241" s="6" t="s">
        <v>45</v>
      </c>
      <c r="L241" s="6" t="s">
        <v>46</v>
      </c>
      <c r="M241" s="6" t="s">
        <v>115</v>
      </c>
      <c r="N241" s="6" t="s">
        <v>116</v>
      </c>
      <c r="O241" s="6" t="s">
        <v>49</v>
      </c>
      <c r="P241" s="6" t="s">
        <v>49</v>
      </c>
      <c r="Q241" s="6" t="s">
        <v>49</v>
      </c>
      <c r="R241" s="6" t="s">
        <v>49</v>
      </c>
      <c r="S241" s="6" t="s">
        <v>268</v>
      </c>
      <c r="T241" s="6" t="s">
        <v>269</v>
      </c>
      <c r="U241" s="6" t="s">
        <v>251</v>
      </c>
      <c r="V241" s="6" t="s">
        <v>686</v>
      </c>
      <c r="W241" s="12">
        <v>38.955444</v>
      </c>
      <c r="X241" s="12">
        <v>-106.99119399999999</v>
      </c>
      <c r="Y241" s="6" t="s">
        <v>141</v>
      </c>
      <c r="Z241" s="6" t="s">
        <v>271</v>
      </c>
      <c r="AA241" s="1" t="s">
        <v>49</v>
      </c>
      <c r="AB241" s="1" t="s">
        <v>49</v>
      </c>
      <c r="AC241" s="1" t="s">
        <v>49</v>
      </c>
      <c r="AD241" s="1" t="s">
        <v>90</v>
      </c>
      <c r="AE241" s="1" t="s">
        <v>300</v>
      </c>
      <c r="AF241" s="1" t="s">
        <v>49</v>
      </c>
      <c r="AG241" s="1" t="s">
        <v>49</v>
      </c>
      <c r="AH241" s="6" t="s">
        <v>49</v>
      </c>
      <c r="AI241" s="6" t="s">
        <v>272</v>
      </c>
      <c r="AJ241" s="6" t="s">
        <v>49</v>
      </c>
      <c r="AK241" s="6">
        <v>77</v>
      </c>
      <c r="AL241" s="6" t="s">
        <v>49</v>
      </c>
      <c r="AM241" s="6" t="s">
        <v>49</v>
      </c>
      <c r="AN241" s="6">
        <v>-2.5999999999999999E-2</v>
      </c>
      <c r="AO241" s="6" t="s">
        <v>49</v>
      </c>
      <c r="AP241" s="6">
        <v>0</v>
      </c>
      <c r="AQ241" s="6" t="s">
        <v>49</v>
      </c>
      <c r="AR241" s="6">
        <v>-2.5999999999999999E-2</v>
      </c>
      <c r="AS241" s="6" t="s">
        <v>49</v>
      </c>
      <c r="AT241" s="6" t="s">
        <v>49</v>
      </c>
      <c r="AU241" s="6" t="s">
        <v>49</v>
      </c>
      <c r="AV241" s="6" t="s">
        <v>49</v>
      </c>
    </row>
    <row r="242" spans="1:48" ht="14.4" customHeight="1">
      <c r="A242" s="6" t="s">
        <v>680</v>
      </c>
      <c r="B242" s="6" t="s">
        <v>38</v>
      </c>
      <c r="C242" s="6" t="s">
        <v>38</v>
      </c>
      <c r="D242" s="1" t="s">
        <v>681</v>
      </c>
      <c r="E242" s="1" t="s">
        <v>40</v>
      </c>
      <c r="F242" s="6">
        <v>2000</v>
      </c>
      <c r="G242" s="1" t="s">
        <v>177</v>
      </c>
      <c r="H242" s="6" t="s">
        <v>178</v>
      </c>
      <c r="I242" s="6" t="s">
        <v>179</v>
      </c>
      <c r="J242" s="1" t="str">
        <f t="shared" si="3"/>
        <v>Ipomopsis_aggregata</v>
      </c>
      <c r="K242" s="6" t="s">
        <v>45</v>
      </c>
      <c r="L242" s="6" t="s">
        <v>46</v>
      </c>
      <c r="M242" s="6" t="s">
        <v>115</v>
      </c>
      <c r="N242" s="6" t="s">
        <v>116</v>
      </c>
      <c r="O242" s="6" t="s">
        <v>49</v>
      </c>
      <c r="P242" s="6" t="s">
        <v>49</v>
      </c>
      <c r="Q242" s="6" t="s">
        <v>49</v>
      </c>
      <c r="R242" s="6" t="s">
        <v>49</v>
      </c>
      <c r="S242" s="6" t="s">
        <v>268</v>
      </c>
      <c r="T242" s="6" t="s">
        <v>269</v>
      </c>
      <c r="U242" s="6" t="s">
        <v>251</v>
      </c>
      <c r="V242" s="6" t="s">
        <v>686</v>
      </c>
      <c r="W242" s="12">
        <v>38.955444</v>
      </c>
      <c r="X242" s="12">
        <v>-106.99119399999999</v>
      </c>
      <c r="Y242" s="6" t="s">
        <v>141</v>
      </c>
      <c r="Z242" s="6" t="s">
        <v>271</v>
      </c>
      <c r="AA242" s="1" t="s">
        <v>49</v>
      </c>
      <c r="AB242" s="1" t="s">
        <v>49</v>
      </c>
      <c r="AC242" s="1" t="s">
        <v>49</v>
      </c>
      <c r="AD242" s="1" t="s">
        <v>89</v>
      </c>
      <c r="AE242" s="6" t="s">
        <v>187</v>
      </c>
      <c r="AF242" s="1" t="s">
        <v>49</v>
      </c>
      <c r="AG242" s="1" t="s">
        <v>49</v>
      </c>
      <c r="AH242" s="6" t="s">
        <v>49</v>
      </c>
      <c r="AI242" s="6" t="s">
        <v>272</v>
      </c>
      <c r="AJ242" s="6" t="s">
        <v>49</v>
      </c>
      <c r="AK242" s="6">
        <v>77</v>
      </c>
      <c r="AL242" s="6" t="s">
        <v>49</v>
      </c>
      <c r="AM242" s="6" t="s">
        <v>49</v>
      </c>
      <c r="AN242" s="6">
        <v>6.5000000000000002E-2</v>
      </c>
      <c r="AO242" s="6" t="s">
        <v>49</v>
      </c>
      <c r="AP242" s="6">
        <v>0</v>
      </c>
      <c r="AQ242" s="6" t="s">
        <v>49</v>
      </c>
      <c r="AR242" s="6">
        <v>6.5000000000000002E-2</v>
      </c>
      <c r="AS242" s="6" t="s">
        <v>49</v>
      </c>
      <c r="AT242" s="6" t="s">
        <v>49</v>
      </c>
      <c r="AU242" s="6" t="s">
        <v>49</v>
      </c>
      <c r="AV242" s="6" t="s">
        <v>49</v>
      </c>
    </row>
    <row r="243" spans="1:48" ht="14.4" customHeight="1">
      <c r="A243" s="6" t="s">
        <v>680</v>
      </c>
      <c r="B243" s="6" t="s">
        <v>38</v>
      </c>
      <c r="C243" s="6" t="s">
        <v>38</v>
      </c>
      <c r="D243" s="1" t="s">
        <v>681</v>
      </c>
      <c r="E243" s="1" t="s">
        <v>40</v>
      </c>
      <c r="F243" s="6">
        <v>2000</v>
      </c>
      <c r="G243" s="1" t="s">
        <v>177</v>
      </c>
      <c r="H243" s="6" t="s">
        <v>178</v>
      </c>
      <c r="I243" s="6" t="s">
        <v>179</v>
      </c>
      <c r="J243" s="1" t="str">
        <f t="shared" si="3"/>
        <v>Ipomopsis_aggregata</v>
      </c>
      <c r="K243" s="6" t="s">
        <v>45</v>
      </c>
      <c r="L243" s="6" t="s">
        <v>46</v>
      </c>
      <c r="M243" s="6" t="s">
        <v>115</v>
      </c>
      <c r="N243" s="6" t="s">
        <v>116</v>
      </c>
      <c r="O243" s="6" t="s">
        <v>49</v>
      </c>
      <c r="P243" s="6" t="s">
        <v>49</v>
      </c>
      <c r="Q243" s="6" t="s">
        <v>49</v>
      </c>
      <c r="R243" s="6" t="s">
        <v>49</v>
      </c>
      <c r="S243" s="6" t="s">
        <v>268</v>
      </c>
      <c r="T243" s="6" t="s">
        <v>269</v>
      </c>
      <c r="U243" s="6" t="s">
        <v>251</v>
      </c>
      <c r="V243" s="6" t="s">
        <v>686</v>
      </c>
      <c r="W243" s="12">
        <v>38.955444</v>
      </c>
      <c r="X243" s="12">
        <v>-106.99119399999999</v>
      </c>
      <c r="Y243" s="6" t="s">
        <v>141</v>
      </c>
      <c r="Z243" s="6" t="s">
        <v>271</v>
      </c>
      <c r="AA243" s="1" t="s">
        <v>49</v>
      </c>
      <c r="AB243" s="1" t="s">
        <v>49</v>
      </c>
      <c r="AC243" s="1" t="s">
        <v>49</v>
      </c>
      <c r="AD243" s="1" t="s">
        <v>89</v>
      </c>
      <c r="AE243" s="1" t="s">
        <v>300</v>
      </c>
      <c r="AF243" s="1" t="s">
        <v>49</v>
      </c>
      <c r="AG243" s="1" t="s">
        <v>49</v>
      </c>
      <c r="AH243" s="6" t="s">
        <v>49</v>
      </c>
      <c r="AI243" s="6" t="s">
        <v>272</v>
      </c>
      <c r="AJ243" s="6" t="s">
        <v>49</v>
      </c>
      <c r="AK243" s="6">
        <v>77</v>
      </c>
      <c r="AL243" s="6" t="s">
        <v>49</v>
      </c>
      <c r="AM243" s="6" t="s">
        <v>49</v>
      </c>
      <c r="AN243" s="6">
        <v>-8.0000000000000002E-3</v>
      </c>
      <c r="AO243" s="6" t="s">
        <v>49</v>
      </c>
      <c r="AP243" s="6">
        <v>0</v>
      </c>
      <c r="AQ243" s="6" t="s">
        <v>49</v>
      </c>
      <c r="AR243" s="6">
        <v>-8.0000000000000002E-3</v>
      </c>
      <c r="AS243" s="6" t="s">
        <v>49</v>
      </c>
      <c r="AT243" s="6" t="s">
        <v>49</v>
      </c>
      <c r="AU243" s="6" t="s">
        <v>49</v>
      </c>
      <c r="AV243" s="6" t="s">
        <v>49</v>
      </c>
    </row>
    <row r="244" spans="1:48" ht="14.4" customHeight="1">
      <c r="A244" s="6" t="s">
        <v>680</v>
      </c>
      <c r="B244" s="6" t="s">
        <v>38</v>
      </c>
      <c r="C244" s="6" t="s">
        <v>38</v>
      </c>
      <c r="D244" s="1" t="s">
        <v>681</v>
      </c>
      <c r="E244" s="1" t="s">
        <v>40</v>
      </c>
      <c r="F244" s="6">
        <v>2000</v>
      </c>
      <c r="G244" s="1" t="s">
        <v>177</v>
      </c>
      <c r="H244" s="6" t="s">
        <v>178</v>
      </c>
      <c r="I244" s="6" t="s">
        <v>179</v>
      </c>
      <c r="J244" s="1" t="str">
        <f t="shared" si="3"/>
        <v>Ipomopsis_aggregata</v>
      </c>
      <c r="K244" s="6" t="s">
        <v>45</v>
      </c>
      <c r="L244" s="6" t="s">
        <v>46</v>
      </c>
      <c r="M244" s="6" t="s">
        <v>115</v>
      </c>
      <c r="N244" s="6" t="s">
        <v>116</v>
      </c>
      <c r="O244" s="6" t="s">
        <v>49</v>
      </c>
      <c r="P244" s="6" t="s">
        <v>49</v>
      </c>
      <c r="Q244" s="6" t="s">
        <v>49</v>
      </c>
      <c r="R244" s="6" t="s">
        <v>49</v>
      </c>
      <c r="S244" s="6" t="s">
        <v>268</v>
      </c>
      <c r="T244" s="6" t="s">
        <v>269</v>
      </c>
      <c r="U244" s="6" t="s">
        <v>251</v>
      </c>
      <c r="V244" s="6" t="s">
        <v>686</v>
      </c>
      <c r="W244" s="12">
        <v>38.955444</v>
      </c>
      <c r="X244" s="12">
        <v>-106.99119399999999</v>
      </c>
      <c r="Y244" s="6" t="s">
        <v>141</v>
      </c>
      <c r="Z244" s="6" t="s">
        <v>271</v>
      </c>
      <c r="AA244" s="1" t="s">
        <v>49</v>
      </c>
      <c r="AB244" s="1" t="s">
        <v>49</v>
      </c>
      <c r="AC244" s="1" t="s">
        <v>49</v>
      </c>
      <c r="AD244" s="6" t="s">
        <v>187</v>
      </c>
      <c r="AE244" s="1" t="s">
        <v>300</v>
      </c>
      <c r="AF244" s="1" t="s">
        <v>49</v>
      </c>
      <c r="AG244" s="1" t="s">
        <v>49</v>
      </c>
      <c r="AH244" s="6" t="s">
        <v>49</v>
      </c>
      <c r="AI244" s="6" t="s">
        <v>272</v>
      </c>
      <c r="AJ244" s="6" t="s">
        <v>49</v>
      </c>
      <c r="AK244" s="6">
        <v>77</v>
      </c>
      <c r="AL244" s="6" t="s">
        <v>49</v>
      </c>
      <c r="AM244" s="6" t="s">
        <v>49</v>
      </c>
      <c r="AN244" s="6">
        <v>-3.6999999999999998E-2</v>
      </c>
      <c r="AO244" s="6" t="s">
        <v>49</v>
      </c>
      <c r="AP244" s="6">
        <v>0</v>
      </c>
      <c r="AQ244" s="6" t="s">
        <v>49</v>
      </c>
      <c r="AR244" s="6">
        <v>-3.6999999999999998E-2</v>
      </c>
      <c r="AS244" s="6" t="s">
        <v>49</v>
      </c>
      <c r="AT244" s="6" t="s">
        <v>49</v>
      </c>
      <c r="AU244" s="6" t="s">
        <v>49</v>
      </c>
      <c r="AV244" s="6" t="s">
        <v>49</v>
      </c>
    </row>
    <row r="245" spans="1:48" ht="14.4" customHeight="1">
      <c r="A245" s="6" t="s">
        <v>680</v>
      </c>
      <c r="B245" s="6" t="s">
        <v>38</v>
      </c>
      <c r="C245" s="6" t="s">
        <v>38</v>
      </c>
      <c r="D245" s="1" t="s">
        <v>681</v>
      </c>
      <c r="E245" s="1" t="s">
        <v>40</v>
      </c>
      <c r="F245" s="6">
        <v>2000</v>
      </c>
      <c r="G245" s="1" t="s">
        <v>177</v>
      </c>
      <c r="H245" s="6" t="s">
        <v>178</v>
      </c>
      <c r="I245" s="6" t="s">
        <v>179</v>
      </c>
      <c r="J245" s="1" t="str">
        <f t="shared" si="3"/>
        <v>Ipomopsis_aggregata</v>
      </c>
      <c r="K245" s="6" t="s">
        <v>45</v>
      </c>
      <c r="L245" s="6" t="s">
        <v>46</v>
      </c>
      <c r="M245" s="6" t="s">
        <v>115</v>
      </c>
      <c r="N245" s="6" t="s">
        <v>116</v>
      </c>
      <c r="O245" s="6" t="s">
        <v>49</v>
      </c>
      <c r="P245" s="6" t="s">
        <v>49</v>
      </c>
      <c r="Q245" s="6" t="s">
        <v>49</v>
      </c>
      <c r="R245" s="6" t="s">
        <v>49</v>
      </c>
      <c r="S245" s="6" t="s">
        <v>268</v>
      </c>
      <c r="T245" s="6" t="s">
        <v>269</v>
      </c>
      <c r="U245" s="6" t="s">
        <v>251</v>
      </c>
      <c r="V245" s="6" t="s">
        <v>687</v>
      </c>
      <c r="W245" s="12">
        <v>38.955444</v>
      </c>
      <c r="X245" s="12">
        <v>-106.99119399999999</v>
      </c>
      <c r="Y245" s="6" t="s">
        <v>141</v>
      </c>
      <c r="Z245" s="6" t="s">
        <v>271</v>
      </c>
      <c r="AA245" s="1" t="s">
        <v>50</v>
      </c>
      <c r="AB245" s="1" t="s">
        <v>51</v>
      </c>
      <c r="AC245" s="1" t="s">
        <v>52</v>
      </c>
      <c r="AD245" s="6" t="s">
        <v>122</v>
      </c>
      <c r="AE245" s="6" t="s">
        <v>122</v>
      </c>
      <c r="AF245" s="1" t="s">
        <v>53</v>
      </c>
      <c r="AG245" s="1" t="s">
        <v>53</v>
      </c>
      <c r="AH245" s="6" t="s">
        <v>49</v>
      </c>
      <c r="AI245" s="6" t="s">
        <v>272</v>
      </c>
      <c r="AJ245" s="6" t="s">
        <v>49</v>
      </c>
      <c r="AK245" s="6">
        <v>67</v>
      </c>
      <c r="AL245" s="6" t="s">
        <v>49</v>
      </c>
      <c r="AM245" s="6">
        <v>51.134300000000003</v>
      </c>
      <c r="AN245" s="6">
        <v>733.48199999999997</v>
      </c>
      <c r="AO245" s="6" t="s">
        <v>49</v>
      </c>
      <c r="AP245" s="6">
        <v>0</v>
      </c>
      <c r="AQ245" s="6" t="s">
        <v>49</v>
      </c>
      <c r="AR245" s="6">
        <v>733.48199999999997</v>
      </c>
      <c r="AS245" s="6" t="s">
        <v>49</v>
      </c>
      <c r="AT245" s="6" t="s">
        <v>49</v>
      </c>
      <c r="AU245" s="6" t="s">
        <v>49</v>
      </c>
      <c r="AV245" s="6" t="s">
        <v>49</v>
      </c>
    </row>
    <row r="246" spans="1:48" ht="14.4" customHeight="1">
      <c r="A246" s="6" t="s">
        <v>680</v>
      </c>
      <c r="B246" s="6" t="s">
        <v>38</v>
      </c>
      <c r="C246" s="6" t="s">
        <v>38</v>
      </c>
      <c r="D246" s="1" t="s">
        <v>681</v>
      </c>
      <c r="E246" s="1" t="s">
        <v>40</v>
      </c>
      <c r="F246" s="6">
        <v>2000</v>
      </c>
      <c r="G246" s="1" t="s">
        <v>177</v>
      </c>
      <c r="H246" s="6" t="s">
        <v>178</v>
      </c>
      <c r="I246" s="6" t="s">
        <v>179</v>
      </c>
      <c r="J246" s="1" t="str">
        <f t="shared" si="3"/>
        <v>Ipomopsis_aggregata</v>
      </c>
      <c r="K246" s="6" t="s">
        <v>45</v>
      </c>
      <c r="L246" s="6" t="s">
        <v>46</v>
      </c>
      <c r="M246" s="6" t="s">
        <v>115</v>
      </c>
      <c r="N246" s="6" t="s">
        <v>116</v>
      </c>
      <c r="O246" s="6" t="s">
        <v>49</v>
      </c>
      <c r="P246" s="6" t="s">
        <v>49</v>
      </c>
      <c r="Q246" s="6" t="s">
        <v>49</v>
      </c>
      <c r="R246" s="6" t="s">
        <v>49</v>
      </c>
      <c r="S246" s="6" t="s">
        <v>268</v>
      </c>
      <c r="T246" s="6" t="s">
        <v>269</v>
      </c>
      <c r="U246" s="6" t="s">
        <v>251</v>
      </c>
      <c r="V246" s="6" t="s">
        <v>687</v>
      </c>
      <c r="W246" s="12">
        <v>38.955444</v>
      </c>
      <c r="X246" s="12">
        <v>-106.99119399999999</v>
      </c>
      <c r="Y246" s="6" t="s">
        <v>141</v>
      </c>
      <c r="Z246" s="6" t="s">
        <v>271</v>
      </c>
      <c r="AA246" s="1" t="s">
        <v>50</v>
      </c>
      <c r="AB246" s="1" t="s">
        <v>66</v>
      </c>
      <c r="AC246" s="1" t="s">
        <v>67</v>
      </c>
      <c r="AD246" s="1" t="s">
        <v>90</v>
      </c>
      <c r="AE246" s="1" t="s">
        <v>90</v>
      </c>
      <c r="AF246" s="1" t="s">
        <v>60</v>
      </c>
      <c r="AG246" s="1" t="s">
        <v>61</v>
      </c>
      <c r="AH246" s="6" t="s">
        <v>49</v>
      </c>
      <c r="AI246" s="6" t="s">
        <v>272</v>
      </c>
      <c r="AJ246" s="6" t="s">
        <v>49</v>
      </c>
      <c r="AK246" s="6">
        <v>67</v>
      </c>
      <c r="AL246" s="6" t="s">
        <v>49</v>
      </c>
      <c r="AM246" s="6">
        <v>24.083500000000001</v>
      </c>
      <c r="AN246" s="6">
        <v>10.262</v>
      </c>
      <c r="AO246" s="6" t="s">
        <v>49</v>
      </c>
      <c r="AP246" s="6">
        <v>0</v>
      </c>
      <c r="AQ246" s="6" t="s">
        <v>49</v>
      </c>
      <c r="AR246" s="6">
        <v>10.262</v>
      </c>
      <c r="AS246" s="6" t="s">
        <v>49</v>
      </c>
      <c r="AT246" s="6" t="s">
        <v>49</v>
      </c>
      <c r="AU246" s="6" t="s">
        <v>49</v>
      </c>
      <c r="AV246" s="6" t="s">
        <v>49</v>
      </c>
    </row>
    <row r="247" spans="1:48" ht="14.4" customHeight="1">
      <c r="A247" s="6" t="s">
        <v>680</v>
      </c>
      <c r="B247" s="6" t="s">
        <v>38</v>
      </c>
      <c r="C247" s="6" t="s">
        <v>38</v>
      </c>
      <c r="D247" s="1" t="s">
        <v>681</v>
      </c>
      <c r="E247" s="1" t="s">
        <v>40</v>
      </c>
      <c r="F247" s="6">
        <v>2000</v>
      </c>
      <c r="G247" s="1" t="s">
        <v>177</v>
      </c>
      <c r="H247" s="6" t="s">
        <v>178</v>
      </c>
      <c r="I247" s="6" t="s">
        <v>179</v>
      </c>
      <c r="J247" s="1" t="str">
        <f t="shared" si="3"/>
        <v>Ipomopsis_aggregata</v>
      </c>
      <c r="K247" s="6" t="s">
        <v>45</v>
      </c>
      <c r="L247" s="6" t="s">
        <v>46</v>
      </c>
      <c r="M247" s="6" t="s">
        <v>115</v>
      </c>
      <c r="N247" s="6" t="s">
        <v>116</v>
      </c>
      <c r="O247" s="6" t="s">
        <v>49</v>
      </c>
      <c r="P247" s="6" t="s">
        <v>49</v>
      </c>
      <c r="Q247" s="6" t="s">
        <v>49</v>
      </c>
      <c r="R247" s="6" t="s">
        <v>49</v>
      </c>
      <c r="S247" s="6" t="s">
        <v>268</v>
      </c>
      <c r="T247" s="6" t="s">
        <v>269</v>
      </c>
      <c r="U247" s="6" t="s">
        <v>251</v>
      </c>
      <c r="V247" s="6" t="s">
        <v>687</v>
      </c>
      <c r="W247" s="12">
        <v>38.955444</v>
      </c>
      <c r="X247" s="12">
        <v>-106.99119399999999</v>
      </c>
      <c r="Y247" s="6" t="s">
        <v>141</v>
      </c>
      <c r="Z247" s="6" t="s">
        <v>271</v>
      </c>
      <c r="AA247" s="1" t="s">
        <v>50</v>
      </c>
      <c r="AB247" s="1" t="s">
        <v>66</v>
      </c>
      <c r="AC247" s="1" t="s">
        <v>67</v>
      </c>
      <c r="AD247" s="1" t="s">
        <v>89</v>
      </c>
      <c r="AE247" s="1" t="s">
        <v>89</v>
      </c>
      <c r="AF247" s="1" t="s">
        <v>60</v>
      </c>
      <c r="AG247" s="1" t="s">
        <v>61</v>
      </c>
      <c r="AH247" s="6" t="s">
        <v>49</v>
      </c>
      <c r="AI247" s="6" t="s">
        <v>272</v>
      </c>
      <c r="AJ247" s="6" t="s">
        <v>49</v>
      </c>
      <c r="AK247" s="6">
        <v>67</v>
      </c>
      <c r="AL247" s="6" t="s">
        <v>49</v>
      </c>
      <c r="AM247" s="6">
        <v>3.1213000000000002</v>
      </c>
      <c r="AN247" s="6">
        <v>0.19900000000000001</v>
      </c>
      <c r="AO247" s="6" t="s">
        <v>49</v>
      </c>
      <c r="AP247" s="6">
        <v>0</v>
      </c>
      <c r="AQ247" s="6" t="s">
        <v>49</v>
      </c>
      <c r="AR247" s="6">
        <v>0.19900000000000001</v>
      </c>
      <c r="AS247" s="6" t="s">
        <v>49</v>
      </c>
      <c r="AT247" s="6" t="s">
        <v>49</v>
      </c>
      <c r="AU247" s="6" t="s">
        <v>49</v>
      </c>
      <c r="AV247" s="6" t="s">
        <v>49</v>
      </c>
    </row>
    <row r="248" spans="1:48" ht="14.4" customHeight="1">
      <c r="A248" s="6" t="s">
        <v>680</v>
      </c>
      <c r="B248" s="6" t="s">
        <v>38</v>
      </c>
      <c r="C248" s="6" t="s">
        <v>38</v>
      </c>
      <c r="D248" s="1" t="s">
        <v>681</v>
      </c>
      <c r="E248" s="1" t="s">
        <v>40</v>
      </c>
      <c r="F248" s="6">
        <v>2000</v>
      </c>
      <c r="G248" s="1" t="s">
        <v>177</v>
      </c>
      <c r="H248" s="6" t="s">
        <v>178</v>
      </c>
      <c r="I248" s="6" t="s">
        <v>179</v>
      </c>
      <c r="J248" s="1" t="str">
        <f t="shared" si="3"/>
        <v>Ipomopsis_aggregata</v>
      </c>
      <c r="K248" s="6" t="s">
        <v>45</v>
      </c>
      <c r="L248" s="6" t="s">
        <v>46</v>
      </c>
      <c r="M248" s="6" t="s">
        <v>115</v>
      </c>
      <c r="N248" s="6" t="s">
        <v>116</v>
      </c>
      <c r="O248" s="6" t="s">
        <v>49</v>
      </c>
      <c r="P248" s="6" t="s">
        <v>49</v>
      </c>
      <c r="Q248" s="6" t="s">
        <v>49</v>
      </c>
      <c r="R248" s="6" t="s">
        <v>49</v>
      </c>
      <c r="S248" s="6" t="s">
        <v>268</v>
      </c>
      <c r="T248" s="6" t="s">
        <v>269</v>
      </c>
      <c r="U248" s="6" t="s">
        <v>251</v>
      </c>
      <c r="V248" s="6" t="s">
        <v>687</v>
      </c>
      <c r="W248" s="12">
        <v>38.955444</v>
      </c>
      <c r="X248" s="12">
        <v>-106.99119399999999</v>
      </c>
      <c r="Y248" s="6" t="s">
        <v>141</v>
      </c>
      <c r="Z248" s="6" t="s">
        <v>271</v>
      </c>
      <c r="AA248" s="1" t="s">
        <v>50</v>
      </c>
      <c r="AB248" s="1" t="s">
        <v>185</v>
      </c>
      <c r="AC248" s="1" t="s">
        <v>186</v>
      </c>
      <c r="AD248" s="6" t="s">
        <v>187</v>
      </c>
      <c r="AE248" s="6" t="s">
        <v>187</v>
      </c>
      <c r="AF248" s="1" t="s">
        <v>60</v>
      </c>
      <c r="AG248" s="1" t="s">
        <v>173</v>
      </c>
      <c r="AH248" s="6" t="s">
        <v>49</v>
      </c>
      <c r="AI248" s="6" t="s">
        <v>272</v>
      </c>
      <c r="AJ248" s="6" t="s">
        <v>49</v>
      </c>
      <c r="AK248" s="6">
        <v>67</v>
      </c>
      <c r="AL248" s="6" t="s">
        <v>49</v>
      </c>
      <c r="AM248" s="6">
        <v>2.5045000000000002</v>
      </c>
      <c r="AN248" s="6">
        <v>3.0529999999999999</v>
      </c>
      <c r="AO248" s="6" t="s">
        <v>49</v>
      </c>
      <c r="AP248" s="6">
        <v>0</v>
      </c>
      <c r="AQ248" s="6" t="s">
        <v>49</v>
      </c>
      <c r="AR248" s="6">
        <v>3.0529999999999999</v>
      </c>
      <c r="AS248" s="6" t="s">
        <v>49</v>
      </c>
      <c r="AT248" s="6" t="s">
        <v>49</v>
      </c>
      <c r="AU248" s="6" t="s">
        <v>49</v>
      </c>
      <c r="AV248" s="6" t="s">
        <v>49</v>
      </c>
    </row>
    <row r="249" spans="1:48" ht="14.4" customHeight="1">
      <c r="A249" s="6" t="s">
        <v>680</v>
      </c>
      <c r="B249" s="6" t="s">
        <v>38</v>
      </c>
      <c r="C249" s="6" t="s">
        <v>38</v>
      </c>
      <c r="D249" s="1" t="s">
        <v>681</v>
      </c>
      <c r="E249" s="1" t="s">
        <v>40</v>
      </c>
      <c r="F249" s="6">
        <v>2000</v>
      </c>
      <c r="G249" s="1" t="s">
        <v>177</v>
      </c>
      <c r="H249" s="6" t="s">
        <v>178</v>
      </c>
      <c r="I249" s="6" t="s">
        <v>179</v>
      </c>
      <c r="J249" s="1" t="str">
        <f t="shared" si="3"/>
        <v>Ipomopsis_aggregata</v>
      </c>
      <c r="K249" s="6" t="s">
        <v>45</v>
      </c>
      <c r="L249" s="6" t="s">
        <v>46</v>
      </c>
      <c r="M249" s="6" t="s">
        <v>115</v>
      </c>
      <c r="N249" s="6" t="s">
        <v>116</v>
      </c>
      <c r="O249" s="6" t="s">
        <v>49</v>
      </c>
      <c r="P249" s="6" t="s">
        <v>49</v>
      </c>
      <c r="Q249" s="6" t="s">
        <v>49</v>
      </c>
      <c r="R249" s="6" t="s">
        <v>49</v>
      </c>
      <c r="S249" s="6" t="s">
        <v>268</v>
      </c>
      <c r="T249" s="6" t="s">
        <v>269</v>
      </c>
      <c r="U249" s="6" t="s">
        <v>251</v>
      </c>
      <c r="V249" s="6" t="s">
        <v>687</v>
      </c>
      <c r="W249" s="12">
        <v>38.955444</v>
      </c>
      <c r="X249" s="12">
        <v>-106.99119399999999</v>
      </c>
      <c r="Y249" s="6" t="s">
        <v>141</v>
      </c>
      <c r="Z249" s="6" t="s">
        <v>271</v>
      </c>
      <c r="AA249" s="1" t="s">
        <v>50</v>
      </c>
      <c r="AB249" s="1" t="s">
        <v>96</v>
      </c>
      <c r="AC249" s="1" t="s">
        <v>299</v>
      </c>
      <c r="AD249" s="1" t="s">
        <v>300</v>
      </c>
      <c r="AE249" s="1" t="s">
        <v>300</v>
      </c>
      <c r="AF249" s="1" t="s">
        <v>60</v>
      </c>
      <c r="AG249" s="1" t="s">
        <v>543</v>
      </c>
      <c r="AH249" s="6" t="s">
        <v>49</v>
      </c>
      <c r="AI249" s="6" t="s">
        <v>272</v>
      </c>
      <c r="AJ249" s="6" t="s">
        <v>49</v>
      </c>
      <c r="AK249" s="6">
        <v>67</v>
      </c>
      <c r="AL249" s="6" t="s">
        <v>49</v>
      </c>
      <c r="AM249" s="6">
        <v>0.4914</v>
      </c>
      <c r="AN249" s="6">
        <v>0.03</v>
      </c>
      <c r="AO249" s="6" t="s">
        <v>49</v>
      </c>
      <c r="AP249" s="6">
        <v>0</v>
      </c>
      <c r="AQ249" s="6" t="s">
        <v>49</v>
      </c>
      <c r="AR249" s="6">
        <v>0.03</v>
      </c>
      <c r="AS249" s="6" t="s">
        <v>49</v>
      </c>
      <c r="AT249" s="6" t="s">
        <v>49</v>
      </c>
      <c r="AU249" s="6" t="s">
        <v>49</v>
      </c>
      <c r="AV249" s="6" t="s">
        <v>49</v>
      </c>
    </row>
    <row r="250" spans="1:48" ht="14.4" customHeight="1">
      <c r="A250" s="6" t="s">
        <v>680</v>
      </c>
      <c r="B250" s="6" t="s">
        <v>38</v>
      </c>
      <c r="C250" s="6" t="s">
        <v>38</v>
      </c>
      <c r="D250" s="1" t="s">
        <v>681</v>
      </c>
      <c r="E250" s="1" t="s">
        <v>40</v>
      </c>
      <c r="F250" s="6">
        <v>2000</v>
      </c>
      <c r="G250" s="1" t="s">
        <v>177</v>
      </c>
      <c r="H250" s="6" t="s">
        <v>178</v>
      </c>
      <c r="I250" s="6" t="s">
        <v>179</v>
      </c>
      <c r="J250" s="1" t="str">
        <f t="shared" si="3"/>
        <v>Ipomopsis_aggregata</v>
      </c>
      <c r="K250" s="6" t="s">
        <v>45</v>
      </c>
      <c r="L250" s="6" t="s">
        <v>46</v>
      </c>
      <c r="M250" s="6" t="s">
        <v>115</v>
      </c>
      <c r="N250" s="6" t="s">
        <v>116</v>
      </c>
      <c r="O250" s="6" t="s">
        <v>49</v>
      </c>
      <c r="P250" s="6" t="s">
        <v>49</v>
      </c>
      <c r="Q250" s="6" t="s">
        <v>49</v>
      </c>
      <c r="R250" s="6" t="s">
        <v>49</v>
      </c>
      <c r="S250" s="6" t="s">
        <v>268</v>
      </c>
      <c r="T250" s="6" t="s">
        <v>269</v>
      </c>
      <c r="U250" s="6" t="s">
        <v>251</v>
      </c>
      <c r="V250" s="6" t="s">
        <v>687</v>
      </c>
      <c r="W250" s="12">
        <v>38.955444</v>
      </c>
      <c r="X250" s="12">
        <v>-106.99119399999999</v>
      </c>
      <c r="Y250" s="6" t="s">
        <v>141</v>
      </c>
      <c r="Z250" s="6" t="s">
        <v>271</v>
      </c>
      <c r="AA250" s="1" t="s">
        <v>49</v>
      </c>
      <c r="AB250" s="1" t="s">
        <v>49</v>
      </c>
      <c r="AC250" s="1" t="s">
        <v>49</v>
      </c>
      <c r="AD250" s="6" t="s">
        <v>122</v>
      </c>
      <c r="AE250" s="1" t="s">
        <v>90</v>
      </c>
      <c r="AF250" s="1" t="s">
        <v>49</v>
      </c>
      <c r="AG250" s="1" t="s">
        <v>49</v>
      </c>
      <c r="AH250" s="6" t="s">
        <v>49</v>
      </c>
      <c r="AI250" s="6" t="s">
        <v>272</v>
      </c>
      <c r="AJ250" s="6" t="s">
        <v>49</v>
      </c>
      <c r="AK250" s="6">
        <v>67</v>
      </c>
      <c r="AL250" s="6" t="s">
        <v>49</v>
      </c>
      <c r="AM250" s="6" t="s">
        <v>49</v>
      </c>
      <c r="AN250" s="6">
        <v>9.282</v>
      </c>
      <c r="AO250" s="6" t="s">
        <v>49</v>
      </c>
      <c r="AP250" s="6">
        <v>0</v>
      </c>
      <c r="AQ250" s="6" t="s">
        <v>49</v>
      </c>
      <c r="AR250" s="6">
        <v>9.282</v>
      </c>
      <c r="AS250" s="6" t="s">
        <v>49</v>
      </c>
      <c r="AT250" s="6" t="s">
        <v>49</v>
      </c>
      <c r="AU250" s="6" t="s">
        <v>49</v>
      </c>
      <c r="AV250" s="6" t="s">
        <v>49</v>
      </c>
    </row>
    <row r="251" spans="1:48" ht="14.4" customHeight="1">
      <c r="A251" s="6" t="s">
        <v>680</v>
      </c>
      <c r="B251" s="6" t="s">
        <v>38</v>
      </c>
      <c r="C251" s="6" t="s">
        <v>38</v>
      </c>
      <c r="D251" s="1" t="s">
        <v>681</v>
      </c>
      <c r="E251" s="1" t="s">
        <v>40</v>
      </c>
      <c r="F251" s="6">
        <v>2000</v>
      </c>
      <c r="G251" s="1" t="s">
        <v>177</v>
      </c>
      <c r="H251" s="6" t="s">
        <v>178</v>
      </c>
      <c r="I251" s="6" t="s">
        <v>179</v>
      </c>
      <c r="J251" s="1" t="str">
        <f t="shared" si="3"/>
        <v>Ipomopsis_aggregata</v>
      </c>
      <c r="K251" s="6" t="s">
        <v>45</v>
      </c>
      <c r="L251" s="6" t="s">
        <v>46</v>
      </c>
      <c r="M251" s="6" t="s">
        <v>115</v>
      </c>
      <c r="N251" s="6" t="s">
        <v>116</v>
      </c>
      <c r="O251" s="6" t="s">
        <v>49</v>
      </c>
      <c r="P251" s="6" t="s">
        <v>49</v>
      </c>
      <c r="Q251" s="6" t="s">
        <v>49</v>
      </c>
      <c r="R251" s="6" t="s">
        <v>49</v>
      </c>
      <c r="S251" s="6" t="s">
        <v>268</v>
      </c>
      <c r="T251" s="6" t="s">
        <v>269</v>
      </c>
      <c r="U251" s="6" t="s">
        <v>251</v>
      </c>
      <c r="V251" s="6" t="s">
        <v>687</v>
      </c>
      <c r="W251" s="12">
        <v>38.955444</v>
      </c>
      <c r="X251" s="12">
        <v>-106.99119399999999</v>
      </c>
      <c r="Y251" s="6" t="s">
        <v>141</v>
      </c>
      <c r="Z251" s="6" t="s">
        <v>271</v>
      </c>
      <c r="AA251" s="1" t="s">
        <v>49</v>
      </c>
      <c r="AB251" s="1" t="s">
        <v>49</v>
      </c>
      <c r="AC251" s="1" t="s">
        <v>49</v>
      </c>
      <c r="AD251" s="6" t="s">
        <v>122</v>
      </c>
      <c r="AE251" s="1" t="s">
        <v>89</v>
      </c>
      <c r="AF251" s="1" t="s">
        <v>49</v>
      </c>
      <c r="AG251" s="1" t="s">
        <v>49</v>
      </c>
      <c r="AH251" s="6" t="s">
        <v>49</v>
      </c>
      <c r="AI251" s="6" t="s">
        <v>272</v>
      </c>
      <c r="AJ251" s="6" t="s">
        <v>49</v>
      </c>
      <c r="AK251" s="6">
        <v>67</v>
      </c>
      <c r="AL251" s="6" t="s">
        <v>49</v>
      </c>
      <c r="AM251" s="6" t="s">
        <v>49</v>
      </c>
      <c r="AN251" s="6">
        <v>0.46600000000000003</v>
      </c>
      <c r="AO251" s="6" t="s">
        <v>49</v>
      </c>
      <c r="AP251" s="6">
        <v>0</v>
      </c>
      <c r="AQ251" s="6" t="s">
        <v>49</v>
      </c>
      <c r="AR251" s="6">
        <v>0.46600000000000003</v>
      </c>
      <c r="AS251" s="6" t="s">
        <v>49</v>
      </c>
      <c r="AT251" s="6" t="s">
        <v>49</v>
      </c>
      <c r="AU251" s="6" t="s">
        <v>49</v>
      </c>
      <c r="AV251" s="6" t="s">
        <v>49</v>
      </c>
    </row>
    <row r="252" spans="1:48" ht="14.4" customHeight="1">
      <c r="A252" s="6" t="s">
        <v>680</v>
      </c>
      <c r="B252" s="6" t="s">
        <v>38</v>
      </c>
      <c r="C252" s="6" t="s">
        <v>38</v>
      </c>
      <c r="D252" s="1" t="s">
        <v>681</v>
      </c>
      <c r="E252" s="1" t="s">
        <v>40</v>
      </c>
      <c r="F252" s="6">
        <v>2000</v>
      </c>
      <c r="G252" s="1" t="s">
        <v>177</v>
      </c>
      <c r="H252" s="6" t="s">
        <v>178</v>
      </c>
      <c r="I252" s="6" t="s">
        <v>179</v>
      </c>
      <c r="J252" s="1" t="str">
        <f t="shared" si="3"/>
        <v>Ipomopsis_aggregata</v>
      </c>
      <c r="K252" s="6" t="s">
        <v>45</v>
      </c>
      <c r="L252" s="6" t="s">
        <v>46</v>
      </c>
      <c r="M252" s="6" t="s">
        <v>115</v>
      </c>
      <c r="N252" s="6" t="s">
        <v>116</v>
      </c>
      <c r="O252" s="6" t="s">
        <v>49</v>
      </c>
      <c r="P252" s="6" t="s">
        <v>49</v>
      </c>
      <c r="Q252" s="6" t="s">
        <v>49</v>
      </c>
      <c r="R252" s="6" t="s">
        <v>49</v>
      </c>
      <c r="S252" s="6" t="s">
        <v>268</v>
      </c>
      <c r="T252" s="6" t="s">
        <v>269</v>
      </c>
      <c r="U252" s="6" t="s">
        <v>251</v>
      </c>
      <c r="V252" s="6" t="s">
        <v>687</v>
      </c>
      <c r="W252" s="12">
        <v>38.955444</v>
      </c>
      <c r="X252" s="12">
        <v>-106.99119399999999</v>
      </c>
      <c r="Y252" s="6" t="s">
        <v>141</v>
      </c>
      <c r="Z252" s="6" t="s">
        <v>271</v>
      </c>
      <c r="AA252" s="1" t="s">
        <v>49</v>
      </c>
      <c r="AB252" s="1" t="s">
        <v>49</v>
      </c>
      <c r="AC252" s="1" t="s">
        <v>49</v>
      </c>
      <c r="AD252" s="6" t="s">
        <v>122</v>
      </c>
      <c r="AE252" s="6" t="s">
        <v>187</v>
      </c>
      <c r="AF252" s="1" t="s">
        <v>49</v>
      </c>
      <c r="AG252" s="1" t="s">
        <v>49</v>
      </c>
      <c r="AH252" s="6" t="s">
        <v>49</v>
      </c>
      <c r="AI252" s="6" t="s">
        <v>272</v>
      </c>
      <c r="AJ252" s="6" t="s">
        <v>49</v>
      </c>
      <c r="AK252" s="6">
        <v>67</v>
      </c>
      <c r="AL252" s="6" t="s">
        <v>49</v>
      </c>
      <c r="AM252" s="6" t="s">
        <v>49</v>
      </c>
      <c r="AN252" s="6">
        <v>-1.5469999999999999</v>
      </c>
      <c r="AO252" s="6" t="s">
        <v>49</v>
      </c>
      <c r="AP252" s="6">
        <v>0</v>
      </c>
      <c r="AQ252" s="6" t="s">
        <v>49</v>
      </c>
      <c r="AR252" s="6">
        <v>-1.5469999999999999</v>
      </c>
      <c r="AS252" s="6" t="s">
        <v>49</v>
      </c>
      <c r="AT252" s="6" t="s">
        <v>49</v>
      </c>
      <c r="AU252" s="6" t="s">
        <v>49</v>
      </c>
      <c r="AV252" s="6" t="s">
        <v>49</v>
      </c>
    </row>
    <row r="253" spans="1:48" ht="14.4" customHeight="1">
      <c r="A253" s="6" t="s">
        <v>680</v>
      </c>
      <c r="B253" s="6" t="s">
        <v>38</v>
      </c>
      <c r="C253" s="6" t="s">
        <v>38</v>
      </c>
      <c r="D253" s="1" t="s">
        <v>681</v>
      </c>
      <c r="E253" s="1" t="s">
        <v>40</v>
      </c>
      <c r="F253" s="6">
        <v>2000</v>
      </c>
      <c r="G253" s="1" t="s">
        <v>177</v>
      </c>
      <c r="H253" s="6" t="s">
        <v>178</v>
      </c>
      <c r="I253" s="6" t="s">
        <v>179</v>
      </c>
      <c r="J253" s="1" t="str">
        <f t="shared" si="3"/>
        <v>Ipomopsis_aggregata</v>
      </c>
      <c r="K253" s="6" t="s">
        <v>45</v>
      </c>
      <c r="L253" s="6" t="s">
        <v>46</v>
      </c>
      <c r="M253" s="6" t="s">
        <v>115</v>
      </c>
      <c r="N253" s="6" t="s">
        <v>116</v>
      </c>
      <c r="O253" s="6" t="s">
        <v>49</v>
      </c>
      <c r="P253" s="6" t="s">
        <v>49</v>
      </c>
      <c r="Q253" s="6" t="s">
        <v>49</v>
      </c>
      <c r="R253" s="6" t="s">
        <v>49</v>
      </c>
      <c r="S253" s="6" t="s">
        <v>268</v>
      </c>
      <c r="T253" s="6" t="s">
        <v>269</v>
      </c>
      <c r="U253" s="6" t="s">
        <v>251</v>
      </c>
      <c r="V253" s="6" t="s">
        <v>687</v>
      </c>
      <c r="W253" s="12">
        <v>38.955444</v>
      </c>
      <c r="X253" s="12">
        <v>-106.99119399999999</v>
      </c>
      <c r="Y253" s="6" t="s">
        <v>141</v>
      </c>
      <c r="Z253" s="6" t="s">
        <v>271</v>
      </c>
      <c r="AA253" s="1" t="s">
        <v>49</v>
      </c>
      <c r="AB253" s="1" t="s">
        <v>49</v>
      </c>
      <c r="AC253" s="1" t="s">
        <v>49</v>
      </c>
      <c r="AD253" s="6" t="s">
        <v>122</v>
      </c>
      <c r="AE253" s="1" t="s">
        <v>300</v>
      </c>
      <c r="AF253" s="1" t="s">
        <v>49</v>
      </c>
      <c r="AG253" s="1" t="s">
        <v>49</v>
      </c>
      <c r="AH253" s="6" t="s">
        <v>49</v>
      </c>
      <c r="AI253" s="6" t="s">
        <v>272</v>
      </c>
      <c r="AJ253" s="6" t="s">
        <v>49</v>
      </c>
      <c r="AK253" s="6">
        <v>67</v>
      </c>
      <c r="AL253" s="6" t="s">
        <v>49</v>
      </c>
      <c r="AM253" s="6" t="s">
        <v>49</v>
      </c>
      <c r="AN253" s="6">
        <v>-0.46300000000000002</v>
      </c>
      <c r="AO253" s="6" t="s">
        <v>49</v>
      </c>
      <c r="AP253" s="6">
        <v>0</v>
      </c>
      <c r="AQ253" s="6" t="s">
        <v>49</v>
      </c>
      <c r="AR253" s="6">
        <v>-0.46300000000000002</v>
      </c>
      <c r="AS253" s="6" t="s">
        <v>49</v>
      </c>
      <c r="AT253" s="6" t="s">
        <v>49</v>
      </c>
      <c r="AU253" s="6" t="s">
        <v>49</v>
      </c>
      <c r="AV253" s="6" t="s">
        <v>49</v>
      </c>
    </row>
    <row r="254" spans="1:48" ht="14.4" customHeight="1">
      <c r="A254" s="6" t="s">
        <v>680</v>
      </c>
      <c r="B254" s="6" t="s">
        <v>38</v>
      </c>
      <c r="C254" s="6" t="s">
        <v>38</v>
      </c>
      <c r="D254" s="1" t="s">
        <v>681</v>
      </c>
      <c r="E254" s="1" t="s">
        <v>40</v>
      </c>
      <c r="F254" s="6">
        <v>2000</v>
      </c>
      <c r="G254" s="1" t="s">
        <v>177</v>
      </c>
      <c r="H254" s="6" t="s">
        <v>178</v>
      </c>
      <c r="I254" s="6" t="s">
        <v>179</v>
      </c>
      <c r="J254" s="1" t="str">
        <f t="shared" si="3"/>
        <v>Ipomopsis_aggregata</v>
      </c>
      <c r="K254" s="6" t="s">
        <v>45</v>
      </c>
      <c r="L254" s="6" t="s">
        <v>46</v>
      </c>
      <c r="M254" s="6" t="s">
        <v>115</v>
      </c>
      <c r="N254" s="6" t="s">
        <v>116</v>
      </c>
      <c r="O254" s="6" t="s">
        <v>49</v>
      </c>
      <c r="P254" s="6" t="s">
        <v>49</v>
      </c>
      <c r="Q254" s="6" t="s">
        <v>49</v>
      </c>
      <c r="R254" s="6" t="s">
        <v>49</v>
      </c>
      <c r="S254" s="6" t="s">
        <v>268</v>
      </c>
      <c r="T254" s="6" t="s">
        <v>269</v>
      </c>
      <c r="U254" s="6" t="s">
        <v>251</v>
      </c>
      <c r="V254" s="6" t="s">
        <v>687</v>
      </c>
      <c r="W254" s="12">
        <v>38.955444</v>
      </c>
      <c r="X254" s="12">
        <v>-106.99119399999999</v>
      </c>
      <c r="Y254" s="6" t="s">
        <v>141</v>
      </c>
      <c r="Z254" s="6" t="s">
        <v>271</v>
      </c>
      <c r="AA254" s="1" t="s">
        <v>49</v>
      </c>
      <c r="AB254" s="1" t="s">
        <v>49</v>
      </c>
      <c r="AC254" s="1" t="s">
        <v>49</v>
      </c>
      <c r="AD254" s="1" t="s">
        <v>90</v>
      </c>
      <c r="AE254" s="1" t="s">
        <v>89</v>
      </c>
      <c r="AF254" s="1" t="s">
        <v>49</v>
      </c>
      <c r="AG254" s="1" t="s">
        <v>49</v>
      </c>
      <c r="AH254" s="6" t="s">
        <v>49</v>
      </c>
      <c r="AI254" s="6" t="s">
        <v>272</v>
      </c>
      <c r="AJ254" s="6" t="s">
        <v>49</v>
      </c>
      <c r="AK254" s="6">
        <v>67</v>
      </c>
      <c r="AL254" s="6" t="s">
        <v>49</v>
      </c>
      <c r="AM254" s="6" t="s">
        <v>49</v>
      </c>
      <c r="AN254" s="6">
        <v>0.186</v>
      </c>
      <c r="AO254" s="6" t="s">
        <v>49</v>
      </c>
      <c r="AP254" s="6">
        <v>0</v>
      </c>
      <c r="AQ254" s="6" t="s">
        <v>49</v>
      </c>
      <c r="AR254" s="6">
        <v>0.186</v>
      </c>
      <c r="AS254" s="6" t="s">
        <v>49</v>
      </c>
      <c r="AT254" s="6" t="s">
        <v>49</v>
      </c>
      <c r="AU254" s="6" t="s">
        <v>49</v>
      </c>
      <c r="AV254" s="6" t="s">
        <v>49</v>
      </c>
    </row>
    <row r="255" spans="1:48" ht="14.4" customHeight="1">
      <c r="A255" s="6" t="s">
        <v>680</v>
      </c>
      <c r="B255" s="6" t="s">
        <v>38</v>
      </c>
      <c r="C255" s="6" t="s">
        <v>38</v>
      </c>
      <c r="D255" s="1" t="s">
        <v>681</v>
      </c>
      <c r="E255" s="1" t="s">
        <v>40</v>
      </c>
      <c r="F255" s="6">
        <v>2000</v>
      </c>
      <c r="G255" s="1" t="s">
        <v>177</v>
      </c>
      <c r="H255" s="6" t="s">
        <v>178</v>
      </c>
      <c r="I255" s="6" t="s">
        <v>179</v>
      </c>
      <c r="J255" s="1" t="str">
        <f t="shared" si="3"/>
        <v>Ipomopsis_aggregata</v>
      </c>
      <c r="K255" s="6" t="s">
        <v>45</v>
      </c>
      <c r="L255" s="6" t="s">
        <v>46</v>
      </c>
      <c r="M255" s="6" t="s">
        <v>115</v>
      </c>
      <c r="N255" s="6" t="s">
        <v>116</v>
      </c>
      <c r="O255" s="6" t="s">
        <v>49</v>
      </c>
      <c r="P255" s="6" t="s">
        <v>49</v>
      </c>
      <c r="Q255" s="6" t="s">
        <v>49</v>
      </c>
      <c r="R255" s="6" t="s">
        <v>49</v>
      </c>
      <c r="S255" s="6" t="s">
        <v>268</v>
      </c>
      <c r="T255" s="6" t="s">
        <v>269</v>
      </c>
      <c r="U255" s="6" t="s">
        <v>251</v>
      </c>
      <c r="V255" s="6" t="s">
        <v>687</v>
      </c>
      <c r="W255" s="12">
        <v>38.955444</v>
      </c>
      <c r="X255" s="12">
        <v>-106.99119399999999</v>
      </c>
      <c r="Y255" s="6" t="s">
        <v>141</v>
      </c>
      <c r="Z255" s="6" t="s">
        <v>271</v>
      </c>
      <c r="AA255" s="1" t="s">
        <v>49</v>
      </c>
      <c r="AB255" s="1" t="s">
        <v>49</v>
      </c>
      <c r="AC255" s="1" t="s">
        <v>49</v>
      </c>
      <c r="AD255" s="1" t="s">
        <v>90</v>
      </c>
      <c r="AE255" s="6" t="s">
        <v>187</v>
      </c>
      <c r="AF255" s="1" t="s">
        <v>49</v>
      </c>
      <c r="AG255" s="1" t="s">
        <v>49</v>
      </c>
      <c r="AH255" s="6" t="s">
        <v>49</v>
      </c>
      <c r="AI255" s="6" t="s">
        <v>272</v>
      </c>
      <c r="AJ255" s="6" t="s">
        <v>49</v>
      </c>
      <c r="AK255" s="6">
        <v>67</v>
      </c>
      <c r="AL255" s="6" t="s">
        <v>49</v>
      </c>
      <c r="AM255" s="6" t="s">
        <v>49</v>
      </c>
      <c r="AN255" s="6">
        <v>0.129</v>
      </c>
      <c r="AO255" s="6" t="s">
        <v>49</v>
      </c>
      <c r="AP255" s="6">
        <v>0</v>
      </c>
      <c r="AQ255" s="6" t="s">
        <v>49</v>
      </c>
      <c r="AR255" s="6">
        <v>0.129</v>
      </c>
      <c r="AS255" s="6" t="s">
        <v>49</v>
      </c>
      <c r="AT255" s="6" t="s">
        <v>49</v>
      </c>
      <c r="AU255" s="6" t="s">
        <v>49</v>
      </c>
      <c r="AV255" s="6" t="s">
        <v>49</v>
      </c>
    </row>
    <row r="256" spans="1:48" ht="14.4" customHeight="1">
      <c r="A256" s="6" t="s">
        <v>680</v>
      </c>
      <c r="B256" s="6" t="s">
        <v>38</v>
      </c>
      <c r="C256" s="6" t="s">
        <v>38</v>
      </c>
      <c r="D256" s="1" t="s">
        <v>681</v>
      </c>
      <c r="E256" s="1" t="s">
        <v>40</v>
      </c>
      <c r="F256" s="6">
        <v>2000</v>
      </c>
      <c r="G256" s="1" t="s">
        <v>177</v>
      </c>
      <c r="H256" s="6" t="s">
        <v>178</v>
      </c>
      <c r="I256" s="6" t="s">
        <v>179</v>
      </c>
      <c r="J256" s="1" t="str">
        <f t="shared" si="3"/>
        <v>Ipomopsis_aggregata</v>
      </c>
      <c r="K256" s="6" t="s">
        <v>45</v>
      </c>
      <c r="L256" s="6" t="s">
        <v>46</v>
      </c>
      <c r="M256" s="6" t="s">
        <v>115</v>
      </c>
      <c r="N256" s="6" t="s">
        <v>116</v>
      </c>
      <c r="O256" s="6" t="s">
        <v>49</v>
      </c>
      <c r="P256" s="6" t="s">
        <v>49</v>
      </c>
      <c r="Q256" s="6" t="s">
        <v>49</v>
      </c>
      <c r="R256" s="6" t="s">
        <v>49</v>
      </c>
      <c r="S256" s="6" t="s">
        <v>268</v>
      </c>
      <c r="T256" s="6" t="s">
        <v>269</v>
      </c>
      <c r="U256" s="6" t="s">
        <v>251</v>
      </c>
      <c r="V256" s="6" t="s">
        <v>687</v>
      </c>
      <c r="W256" s="12">
        <v>38.955444</v>
      </c>
      <c r="X256" s="12">
        <v>-106.99119399999999</v>
      </c>
      <c r="Y256" s="6" t="s">
        <v>141</v>
      </c>
      <c r="Z256" s="6" t="s">
        <v>271</v>
      </c>
      <c r="AA256" s="1" t="s">
        <v>49</v>
      </c>
      <c r="AB256" s="1" t="s">
        <v>49</v>
      </c>
      <c r="AC256" s="1" t="s">
        <v>49</v>
      </c>
      <c r="AD256" s="1" t="s">
        <v>90</v>
      </c>
      <c r="AE256" s="1" t="s">
        <v>300</v>
      </c>
      <c r="AF256" s="1" t="s">
        <v>49</v>
      </c>
      <c r="AG256" s="1" t="s">
        <v>49</v>
      </c>
      <c r="AH256" s="6" t="s">
        <v>49</v>
      </c>
      <c r="AI256" s="6" t="s">
        <v>272</v>
      </c>
      <c r="AJ256" s="6" t="s">
        <v>49</v>
      </c>
      <c r="AK256" s="6">
        <v>67</v>
      </c>
      <c r="AL256" s="6" t="s">
        <v>49</v>
      </c>
      <c r="AM256" s="6" t="s">
        <v>49</v>
      </c>
      <c r="AN256" s="6">
        <v>6.0000000000000001E-3</v>
      </c>
      <c r="AO256" s="6" t="s">
        <v>49</v>
      </c>
      <c r="AP256" s="6">
        <v>0</v>
      </c>
      <c r="AQ256" s="6" t="s">
        <v>49</v>
      </c>
      <c r="AR256" s="6">
        <v>6.0000000000000001E-3</v>
      </c>
      <c r="AS256" s="6" t="s">
        <v>49</v>
      </c>
      <c r="AT256" s="6" t="s">
        <v>49</v>
      </c>
      <c r="AU256" s="6" t="s">
        <v>49</v>
      </c>
      <c r="AV256" s="6" t="s">
        <v>49</v>
      </c>
    </row>
    <row r="257" spans="1:48" ht="14.4" customHeight="1">
      <c r="A257" s="6" t="s">
        <v>680</v>
      </c>
      <c r="B257" s="6" t="s">
        <v>38</v>
      </c>
      <c r="C257" s="6" t="s">
        <v>38</v>
      </c>
      <c r="D257" s="1" t="s">
        <v>681</v>
      </c>
      <c r="E257" s="1" t="s">
        <v>40</v>
      </c>
      <c r="F257" s="6">
        <v>2000</v>
      </c>
      <c r="G257" s="1" t="s">
        <v>177</v>
      </c>
      <c r="H257" s="6" t="s">
        <v>178</v>
      </c>
      <c r="I257" s="6" t="s">
        <v>179</v>
      </c>
      <c r="J257" s="1" t="str">
        <f t="shared" si="3"/>
        <v>Ipomopsis_aggregata</v>
      </c>
      <c r="K257" s="6" t="s">
        <v>45</v>
      </c>
      <c r="L257" s="6" t="s">
        <v>46</v>
      </c>
      <c r="M257" s="6" t="s">
        <v>115</v>
      </c>
      <c r="N257" s="6" t="s">
        <v>116</v>
      </c>
      <c r="O257" s="6" t="s">
        <v>49</v>
      </c>
      <c r="P257" s="6" t="s">
        <v>49</v>
      </c>
      <c r="Q257" s="6" t="s">
        <v>49</v>
      </c>
      <c r="R257" s="6" t="s">
        <v>49</v>
      </c>
      <c r="S257" s="6" t="s">
        <v>268</v>
      </c>
      <c r="T257" s="6" t="s">
        <v>269</v>
      </c>
      <c r="U257" s="6" t="s">
        <v>251</v>
      </c>
      <c r="V257" s="6" t="s">
        <v>687</v>
      </c>
      <c r="W257" s="12">
        <v>38.955444</v>
      </c>
      <c r="X257" s="12">
        <v>-106.99119399999999</v>
      </c>
      <c r="Y257" s="6" t="s">
        <v>141</v>
      </c>
      <c r="Z257" s="6" t="s">
        <v>271</v>
      </c>
      <c r="AA257" s="1" t="s">
        <v>49</v>
      </c>
      <c r="AB257" s="1" t="s">
        <v>49</v>
      </c>
      <c r="AC257" s="1" t="s">
        <v>49</v>
      </c>
      <c r="AD257" s="1" t="s">
        <v>89</v>
      </c>
      <c r="AE257" s="6" t="s">
        <v>187</v>
      </c>
      <c r="AF257" s="1" t="s">
        <v>49</v>
      </c>
      <c r="AG257" s="1" t="s">
        <v>49</v>
      </c>
      <c r="AH257" s="6" t="s">
        <v>49</v>
      </c>
      <c r="AI257" s="6" t="s">
        <v>272</v>
      </c>
      <c r="AJ257" s="6" t="s">
        <v>49</v>
      </c>
      <c r="AK257" s="6">
        <v>67</v>
      </c>
      <c r="AL257" s="6" t="s">
        <v>49</v>
      </c>
      <c r="AM257" s="6" t="s">
        <v>49</v>
      </c>
      <c r="AN257" s="6">
        <v>-0.109</v>
      </c>
      <c r="AO257" s="6" t="s">
        <v>49</v>
      </c>
      <c r="AP257" s="6">
        <v>0</v>
      </c>
      <c r="AQ257" s="6" t="s">
        <v>49</v>
      </c>
      <c r="AR257" s="6">
        <v>-0.109</v>
      </c>
      <c r="AS257" s="6" t="s">
        <v>49</v>
      </c>
      <c r="AT257" s="6" t="s">
        <v>49</v>
      </c>
      <c r="AU257" s="6" t="s">
        <v>49</v>
      </c>
      <c r="AV257" s="6" t="s">
        <v>49</v>
      </c>
    </row>
    <row r="258" spans="1:48" ht="14.4" customHeight="1">
      <c r="A258" s="6" t="s">
        <v>680</v>
      </c>
      <c r="B258" s="6" t="s">
        <v>38</v>
      </c>
      <c r="C258" s="6" t="s">
        <v>38</v>
      </c>
      <c r="D258" s="1" t="s">
        <v>681</v>
      </c>
      <c r="E258" s="1" t="s">
        <v>40</v>
      </c>
      <c r="F258" s="6">
        <v>2000</v>
      </c>
      <c r="G258" s="1" t="s">
        <v>177</v>
      </c>
      <c r="H258" s="6" t="s">
        <v>178</v>
      </c>
      <c r="I258" s="6" t="s">
        <v>179</v>
      </c>
      <c r="J258" s="1" t="str">
        <f t="shared" si="3"/>
        <v>Ipomopsis_aggregata</v>
      </c>
      <c r="K258" s="6" t="s">
        <v>45</v>
      </c>
      <c r="L258" s="6" t="s">
        <v>46</v>
      </c>
      <c r="M258" s="6" t="s">
        <v>115</v>
      </c>
      <c r="N258" s="6" t="s">
        <v>116</v>
      </c>
      <c r="O258" s="6" t="s">
        <v>49</v>
      </c>
      <c r="P258" s="6" t="s">
        <v>49</v>
      </c>
      <c r="Q258" s="6" t="s">
        <v>49</v>
      </c>
      <c r="R258" s="6" t="s">
        <v>49</v>
      </c>
      <c r="S258" s="6" t="s">
        <v>268</v>
      </c>
      <c r="T258" s="6" t="s">
        <v>269</v>
      </c>
      <c r="U258" s="6" t="s">
        <v>251</v>
      </c>
      <c r="V258" s="6" t="s">
        <v>687</v>
      </c>
      <c r="W258" s="12">
        <v>38.955444</v>
      </c>
      <c r="X258" s="12">
        <v>-106.99119399999999</v>
      </c>
      <c r="Y258" s="6" t="s">
        <v>141</v>
      </c>
      <c r="Z258" s="6" t="s">
        <v>271</v>
      </c>
      <c r="AA258" s="1" t="s">
        <v>49</v>
      </c>
      <c r="AB258" s="1" t="s">
        <v>49</v>
      </c>
      <c r="AC258" s="1" t="s">
        <v>49</v>
      </c>
      <c r="AD258" s="1" t="s">
        <v>89</v>
      </c>
      <c r="AE258" s="1" t="s">
        <v>300</v>
      </c>
      <c r="AF258" s="1" t="s">
        <v>49</v>
      </c>
      <c r="AG258" s="1" t="s">
        <v>49</v>
      </c>
      <c r="AH258" s="6" t="s">
        <v>49</v>
      </c>
      <c r="AI258" s="6" t="s">
        <v>272</v>
      </c>
      <c r="AJ258" s="6" t="s">
        <v>49</v>
      </c>
      <c r="AK258" s="6">
        <v>67</v>
      </c>
      <c r="AL258" s="6" t="s">
        <v>49</v>
      </c>
      <c r="AM258" s="6" t="s">
        <v>49</v>
      </c>
      <c r="AN258" s="6">
        <v>1.6E-2</v>
      </c>
      <c r="AO258" s="6" t="s">
        <v>49</v>
      </c>
      <c r="AP258" s="6">
        <v>0</v>
      </c>
      <c r="AQ258" s="6" t="s">
        <v>49</v>
      </c>
      <c r="AR258" s="6">
        <v>1.6E-2</v>
      </c>
      <c r="AS258" s="6" t="s">
        <v>49</v>
      </c>
      <c r="AT258" s="6" t="s">
        <v>49</v>
      </c>
      <c r="AU258" s="6" t="s">
        <v>49</v>
      </c>
      <c r="AV258" s="6" t="s">
        <v>49</v>
      </c>
    </row>
    <row r="259" spans="1:48" ht="14.4" customHeight="1">
      <c r="A259" s="6" t="s">
        <v>680</v>
      </c>
      <c r="B259" s="6" t="s">
        <v>38</v>
      </c>
      <c r="C259" s="6" t="s">
        <v>38</v>
      </c>
      <c r="D259" s="1" t="s">
        <v>681</v>
      </c>
      <c r="E259" s="1" t="s">
        <v>40</v>
      </c>
      <c r="F259" s="6">
        <v>2000</v>
      </c>
      <c r="G259" s="1" t="s">
        <v>177</v>
      </c>
      <c r="H259" s="6" t="s">
        <v>178</v>
      </c>
      <c r="I259" s="6" t="s">
        <v>179</v>
      </c>
      <c r="J259" s="1" t="str">
        <f t="shared" ref="J259:J274" si="4">H259&amp;"_"&amp;I259</f>
        <v>Ipomopsis_aggregata</v>
      </c>
      <c r="K259" s="6" t="s">
        <v>45</v>
      </c>
      <c r="L259" s="6" t="s">
        <v>46</v>
      </c>
      <c r="M259" s="6" t="s">
        <v>115</v>
      </c>
      <c r="N259" s="6" t="s">
        <v>116</v>
      </c>
      <c r="O259" s="6" t="s">
        <v>49</v>
      </c>
      <c r="P259" s="6" t="s">
        <v>49</v>
      </c>
      <c r="Q259" s="6" t="s">
        <v>49</v>
      </c>
      <c r="R259" s="6" t="s">
        <v>49</v>
      </c>
      <c r="S259" s="6" t="s">
        <v>268</v>
      </c>
      <c r="T259" s="6" t="s">
        <v>269</v>
      </c>
      <c r="U259" s="6" t="s">
        <v>251</v>
      </c>
      <c r="V259" s="6" t="s">
        <v>687</v>
      </c>
      <c r="W259" s="12">
        <v>38.955444</v>
      </c>
      <c r="X259" s="12">
        <v>-106.99119399999999</v>
      </c>
      <c r="Y259" s="6" t="s">
        <v>141</v>
      </c>
      <c r="Z259" s="6" t="s">
        <v>271</v>
      </c>
      <c r="AA259" s="1" t="s">
        <v>49</v>
      </c>
      <c r="AB259" s="1" t="s">
        <v>49</v>
      </c>
      <c r="AC259" s="1" t="s">
        <v>49</v>
      </c>
      <c r="AD259" s="6" t="s">
        <v>187</v>
      </c>
      <c r="AE259" s="1" t="s">
        <v>300</v>
      </c>
      <c r="AF259" s="1" t="s">
        <v>49</v>
      </c>
      <c r="AG259" s="1" t="s">
        <v>49</v>
      </c>
      <c r="AH259" s="6" t="s">
        <v>49</v>
      </c>
      <c r="AI259" s="6" t="s">
        <v>272</v>
      </c>
      <c r="AJ259" s="6" t="s">
        <v>49</v>
      </c>
      <c r="AK259" s="6">
        <v>67</v>
      </c>
      <c r="AL259" s="6" t="s">
        <v>49</v>
      </c>
      <c r="AM259" s="6" t="s">
        <v>49</v>
      </c>
      <c r="AN259" s="6">
        <v>1.4E-2</v>
      </c>
      <c r="AO259" s="6" t="s">
        <v>49</v>
      </c>
      <c r="AP259" s="6">
        <v>0</v>
      </c>
      <c r="AQ259" s="6" t="s">
        <v>49</v>
      </c>
      <c r="AR259" s="6">
        <v>1.4E-2</v>
      </c>
      <c r="AS259" s="6" t="s">
        <v>49</v>
      </c>
      <c r="AT259" s="6" t="s">
        <v>49</v>
      </c>
      <c r="AU259" s="6" t="s">
        <v>49</v>
      </c>
      <c r="AV259" s="6" t="s">
        <v>49</v>
      </c>
    </row>
    <row r="260" spans="1:48" ht="14.4" customHeight="1">
      <c r="A260" s="6" t="s">
        <v>680</v>
      </c>
      <c r="B260" s="6" t="s">
        <v>38</v>
      </c>
      <c r="C260" s="6" t="s">
        <v>38</v>
      </c>
      <c r="D260" s="1" t="s">
        <v>681</v>
      </c>
      <c r="E260" s="1" t="s">
        <v>40</v>
      </c>
      <c r="F260" s="6">
        <v>2000</v>
      </c>
      <c r="G260" s="1" t="s">
        <v>177</v>
      </c>
      <c r="H260" s="6" t="s">
        <v>178</v>
      </c>
      <c r="I260" s="6" t="s">
        <v>179</v>
      </c>
      <c r="J260" s="1" t="str">
        <f t="shared" si="4"/>
        <v>Ipomopsis_aggregata</v>
      </c>
      <c r="K260" s="6" t="s">
        <v>45</v>
      </c>
      <c r="L260" s="6" t="s">
        <v>46</v>
      </c>
      <c r="M260" s="6" t="s">
        <v>115</v>
      </c>
      <c r="N260" s="6" t="s">
        <v>116</v>
      </c>
      <c r="O260" s="6" t="s">
        <v>49</v>
      </c>
      <c r="P260" s="6" t="s">
        <v>49</v>
      </c>
      <c r="Q260" s="6" t="s">
        <v>49</v>
      </c>
      <c r="R260" s="6" t="s">
        <v>49</v>
      </c>
      <c r="S260" s="6" t="s">
        <v>268</v>
      </c>
      <c r="T260" s="6" t="s">
        <v>269</v>
      </c>
      <c r="U260" s="6" t="s">
        <v>251</v>
      </c>
      <c r="V260" s="6" t="s">
        <v>688</v>
      </c>
      <c r="W260" s="12">
        <v>38.955444</v>
      </c>
      <c r="X260" s="12">
        <v>-106.99119399999999</v>
      </c>
      <c r="Y260" s="6" t="s">
        <v>141</v>
      </c>
      <c r="Z260" s="6" t="s">
        <v>271</v>
      </c>
      <c r="AA260" s="1" t="s">
        <v>50</v>
      </c>
      <c r="AB260" s="1" t="s">
        <v>51</v>
      </c>
      <c r="AC260" s="1" t="s">
        <v>52</v>
      </c>
      <c r="AD260" s="6" t="s">
        <v>122</v>
      </c>
      <c r="AE260" s="6" t="s">
        <v>122</v>
      </c>
      <c r="AF260" s="1" t="s">
        <v>53</v>
      </c>
      <c r="AG260" s="1" t="s">
        <v>53</v>
      </c>
      <c r="AH260" s="6" t="s">
        <v>49</v>
      </c>
      <c r="AI260" s="6" t="s">
        <v>272</v>
      </c>
      <c r="AJ260" s="6" t="s">
        <v>49</v>
      </c>
      <c r="AK260" s="6">
        <v>79</v>
      </c>
      <c r="AL260" s="6" t="s">
        <v>49</v>
      </c>
      <c r="AM260" s="6">
        <v>54.873399999999997</v>
      </c>
      <c r="AN260" s="6">
        <v>716.83</v>
      </c>
      <c r="AO260" s="6" t="s">
        <v>49</v>
      </c>
      <c r="AP260" s="6">
        <v>0</v>
      </c>
      <c r="AQ260" s="6" t="s">
        <v>49</v>
      </c>
      <c r="AR260" s="6">
        <v>716.83</v>
      </c>
      <c r="AS260" s="6" t="s">
        <v>49</v>
      </c>
      <c r="AT260" s="6" t="s">
        <v>49</v>
      </c>
      <c r="AU260" s="6" t="s">
        <v>49</v>
      </c>
      <c r="AV260" s="6" t="s">
        <v>49</v>
      </c>
    </row>
    <row r="261" spans="1:48" ht="14.4" customHeight="1">
      <c r="A261" s="6" t="s">
        <v>680</v>
      </c>
      <c r="B261" s="6" t="s">
        <v>38</v>
      </c>
      <c r="C261" s="6" t="s">
        <v>38</v>
      </c>
      <c r="D261" s="1" t="s">
        <v>681</v>
      </c>
      <c r="E261" s="1" t="s">
        <v>40</v>
      </c>
      <c r="F261" s="6">
        <v>2000</v>
      </c>
      <c r="G261" s="1" t="s">
        <v>177</v>
      </c>
      <c r="H261" s="6" t="s">
        <v>178</v>
      </c>
      <c r="I261" s="6" t="s">
        <v>179</v>
      </c>
      <c r="J261" s="1" t="str">
        <f t="shared" si="4"/>
        <v>Ipomopsis_aggregata</v>
      </c>
      <c r="K261" s="6" t="s">
        <v>45</v>
      </c>
      <c r="L261" s="6" t="s">
        <v>46</v>
      </c>
      <c r="M261" s="6" t="s">
        <v>115</v>
      </c>
      <c r="N261" s="6" t="s">
        <v>116</v>
      </c>
      <c r="O261" s="6" t="s">
        <v>49</v>
      </c>
      <c r="P261" s="6" t="s">
        <v>49</v>
      </c>
      <c r="Q261" s="6" t="s">
        <v>49</v>
      </c>
      <c r="R261" s="6" t="s">
        <v>49</v>
      </c>
      <c r="S261" s="6" t="s">
        <v>268</v>
      </c>
      <c r="T261" s="6" t="s">
        <v>269</v>
      </c>
      <c r="U261" s="6" t="s">
        <v>251</v>
      </c>
      <c r="V261" s="6" t="s">
        <v>688</v>
      </c>
      <c r="W261" s="12">
        <v>38.955444</v>
      </c>
      <c r="X261" s="12">
        <v>-106.99119399999999</v>
      </c>
      <c r="Y261" s="6" t="s">
        <v>141</v>
      </c>
      <c r="Z261" s="6" t="s">
        <v>271</v>
      </c>
      <c r="AA261" s="1" t="s">
        <v>50</v>
      </c>
      <c r="AB261" s="1" t="s">
        <v>66</v>
      </c>
      <c r="AC261" s="1" t="s">
        <v>67</v>
      </c>
      <c r="AD261" s="1" t="s">
        <v>90</v>
      </c>
      <c r="AE261" s="1" t="s">
        <v>90</v>
      </c>
      <c r="AF261" s="1" t="s">
        <v>60</v>
      </c>
      <c r="AG261" s="1" t="s">
        <v>61</v>
      </c>
      <c r="AH261" s="6" t="s">
        <v>49</v>
      </c>
      <c r="AI261" s="6" t="s">
        <v>272</v>
      </c>
      <c r="AJ261" s="6" t="s">
        <v>49</v>
      </c>
      <c r="AK261" s="6">
        <v>79</v>
      </c>
      <c r="AL261" s="6" t="s">
        <v>49</v>
      </c>
      <c r="AM261" s="6">
        <v>25.16</v>
      </c>
      <c r="AN261" s="6">
        <v>4.9379999999999997</v>
      </c>
      <c r="AO261" s="6" t="s">
        <v>49</v>
      </c>
      <c r="AP261" s="6">
        <v>0</v>
      </c>
      <c r="AQ261" s="6" t="s">
        <v>49</v>
      </c>
      <c r="AR261" s="6">
        <v>4.9379999999999997</v>
      </c>
      <c r="AS261" s="6" t="s">
        <v>49</v>
      </c>
      <c r="AT261" s="6" t="s">
        <v>49</v>
      </c>
      <c r="AU261" s="6" t="s">
        <v>49</v>
      </c>
      <c r="AV261" s="6" t="s">
        <v>49</v>
      </c>
    </row>
    <row r="262" spans="1:48" ht="14.4" customHeight="1">
      <c r="A262" s="6" t="s">
        <v>680</v>
      </c>
      <c r="B262" s="6" t="s">
        <v>38</v>
      </c>
      <c r="C262" s="6" t="s">
        <v>38</v>
      </c>
      <c r="D262" s="1" t="s">
        <v>681</v>
      </c>
      <c r="E262" s="1" t="s">
        <v>40</v>
      </c>
      <c r="F262" s="6">
        <v>2000</v>
      </c>
      <c r="G262" s="1" t="s">
        <v>177</v>
      </c>
      <c r="H262" s="6" t="s">
        <v>178</v>
      </c>
      <c r="I262" s="6" t="s">
        <v>179</v>
      </c>
      <c r="J262" s="1" t="str">
        <f t="shared" si="4"/>
        <v>Ipomopsis_aggregata</v>
      </c>
      <c r="K262" s="6" t="s">
        <v>45</v>
      </c>
      <c r="L262" s="6" t="s">
        <v>46</v>
      </c>
      <c r="M262" s="6" t="s">
        <v>115</v>
      </c>
      <c r="N262" s="6" t="s">
        <v>116</v>
      </c>
      <c r="O262" s="6" t="s">
        <v>49</v>
      </c>
      <c r="P262" s="6" t="s">
        <v>49</v>
      </c>
      <c r="Q262" s="6" t="s">
        <v>49</v>
      </c>
      <c r="R262" s="6" t="s">
        <v>49</v>
      </c>
      <c r="S262" s="6" t="s">
        <v>268</v>
      </c>
      <c r="T262" s="6" t="s">
        <v>269</v>
      </c>
      <c r="U262" s="6" t="s">
        <v>251</v>
      </c>
      <c r="V262" s="6" t="s">
        <v>688</v>
      </c>
      <c r="W262" s="12">
        <v>38.955444</v>
      </c>
      <c r="X262" s="12">
        <v>-106.99119399999999</v>
      </c>
      <c r="Y262" s="6" t="s">
        <v>141</v>
      </c>
      <c r="Z262" s="6" t="s">
        <v>271</v>
      </c>
      <c r="AA262" s="1" t="s">
        <v>50</v>
      </c>
      <c r="AB262" s="1" t="s">
        <v>66</v>
      </c>
      <c r="AC262" s="1" t="s">
        <v>67</v>
      </c>
      <c r="AD262" s="1" t="s">
        <v>89</v>
      </c>
      <c r="AE262" s="1" t="s">
        <v>89</v>
      </c>
      <c r="AF262" s="1" t="s">
        <v>60</v>
      </c>
      <c r="AG262" s="1" t="s">
        <v>61</v>
      </c>
      <c r="AH262" s="6" t="s">
        <v>49</v>
      </c>
      <c r="AI262" s="6" t="s">
        <v>272</v>
      </c>
      <c r="AJ262" s="6" t="s">
        <v>49</v>
      </c>
      <c r="AK262" s="6">
        <v>79</v>
      </c>
      <c r="AL262" s="6" t="s">
        <v>49</v>
      </c>
      <c r="AM262" s="6">
        <v>2.7477</v>
      </c>
      <c r="AN262" s="6">
        <v>0.14599999999999999</v>
      </c>
      <c r="AO262" s="6" t="s">
        <v>49</v>
      </c>
      <c r="AP262" s="6">
        <v>0</v>
      </c>
      <c r="AQ262" s="6" t="s">
        <v>49</v>
      </c>
      <c r="AR262" s="6">
        <v>0.14599999999999999</v>
      </c>
      <c r="AS262" s="6" t="s">
        <v>49</v>
      </c>
      <c r="AT262" s="6" t="s">
        <v>49</v>
      </c>
      <c r="AU262" s="6" t="s">
        <v>49</v>
      </c>
      <c r="AV262" s="6" t="s">
        <v>49</v>
      </c>
    </row>
    <row r="263" spans="1:48" ht="14.4" customHeight="1">
      <c r="A263" s="6" t="s">
        <v>680</v>
      </c>
      <c r="B263" s="6" t="s">
        <v>38</v>
      </c>
      <c r="C263" s="6" t="s">
        <v>38</v>
      </c>
      <c r="D263" s="1" t="s">
        <v>681</v>
      </c>
      <c r="E263" s="1" t="s">
        <v>40</v>
      </c>
      <c r="F263" s="6">
        <v>2000</v>
      </c>
      <c r="G263" s="1" t="s">
        <v>177</v>
      </c>
      <c r="H263" s="6" t="s">
        <v>178</v>
      </c>
      <c r="I263" s="6" t="s">
        <v>179</v>
      </c>
      <c r="J263" s="1" t="str">
        <f t="shared" si="4"/>
        <v>Ipomopsis_aggregata</v>
      </c>
      <c r="K263" s="6" t="s">
        <v>45</v>
      </c>
      <c r="L263" s="6" t="s">
        <v>46</v>
      </c>
      <c r="M263" s="6" t="s">
        <v>115</v>
      </c>
      <c r="N263" s="6" t="s">
        <v>116</v>
      </c>
      <c r="O263" s="6" t="s">
        <v>49</v>
      </c>
      <c r="P263" s="6" t="s">
        <v>49</v>
      </c>
      <c r="Q263" s="6" t="s">
        <v>49</v>
      </c>
      <c r="R263" s="6" t="s">
        <v>49</v>
      </c>
      <c r="S263" s="6" t="s">
        <v>268</v>
      </c>
      <c r="T263" s="6" t="s">
        <v>269</v>
      </c>
      <c r="U263" s="6" t="s">
        <v>251</v>
      </c>
      <c r="V263" s="6" t="s">
        <v>688</v>
      </c>
      <c r="W263" s="12">
        <v>38.955444</v>
      </c>
      <c r="X263" s="12">
        <v>-106.99119399999999</v>
      </c>
      <c r="Y263" s="6" t="s">
        <v>141</v>
      </c>
      <c r="Z263" s="6" t="s">
        <v>271</v>
      </c>
      <c r="AA263" s="1" t="s">
        <v>50</v>
      </c>
      <c r="AB263" s="1" t="s">
        <v>185</v>
      </c>
      <c r="AC263" s="1" t="s">
        <v>186</v>
      </c>
      <c r="AD263" s="6" t="s">
        <v>187</v>
      </c>
      <c r="AE263" s="6" t="s">
        <v>187</v>
      </c>
      <c r="AF263" s="1" t="s">
        <v>60</v>
      </c>
      <c r="AG263" s="1" t="s">
        <v>173</v>
      </c>
      <c r="AH263" s="6" t="s">
        <v>49</v>
      </c>
      <c r="AI263" s="6" t="s">
        <v>272</v>
      </c>
      <c r="AJ263" s="6" t="s">
        <v>49</v>
      </c>
      <c r="AK263" s="6">
        <v>79</v>
      </c>
      <c r="AL263" s="6" t="s">
        <v>49</v>
      </c>
      <c r="AM263" s="6">
        <v>2.7025000000000001</v>
      </c>
      <c r="AN263" s="6">
        <v>3.234</v>
      </c>
      <c r="AO263" s="6" t="s">
        <v>49</v>
      </c>
      <c r="AP263" s="6">
        <v>0</v>
      </c>
      <c r="AQ263" s="6" t="s">
        <v>49</v>
      </c>
      <c r="AR263" s="6">
        <v>3.234</v>
      </c>
      <c r="AS263" s="6" t="s">
        <v>49</v>
      </c>
      <c r="AT263" s="6" t="s">
        <v>49</v>
      </c>
      <c r="AU263" s="6" t="s">
        <v>49</v>
      </c>
      <c r="AV263" s="6" t="s">
        <v>49</v>
      </c>
    </row>
    <row r="264" spans="1:48" ht="14.4" customHeight="1">
      <c r="A264" s="6" t="s">
        <v>680</v>
      </c>
      <c r="B264" s="6" t="s">
        <v>38</v>
      </c>
      <c r="C264" s="6" t="s">
        <v>38</v>
      </c>
      <c r="D264" s="1" t="s">
        <v>681</v>
      </c>
      <c r="E264" s="1" t="s">
        <v>40</v>
      </c>
      <c r="F264" s="6">
        <v>2000</v>
      </c>
      <c r="G264" s="1" t="s">
        <v>177</v>
      </c>
      <c r="H264" s="6" t="s">
        <v>178</v>
      </c>
      <c r="I264" s="6" t="s">
        <v>179</v>
      </c>
      <c r="J264" s="1" t="str">
        <f t="shared" si="4"/>
        <v>Ipomopsis_aggregata</v>
      </c>
      <c r="K264" s="6" t="s">
        <v>45</v>
      </c>
      <c r="L264" s="6" t="s">
        <v>46</v>
      </c>
      <c r="M264" s="6" t="s">
        <v>115</v>
      </c>
      <c r="N264" s="6" t="s">
        <v>116</v>
      </c>
      <c r="O264" s="6" t="s">
        <v>49</v>
      </c>
      <c r="P264" s="6" t="s">
        <v>49</v>
      </c>
      <c r="Q264" s="6" t="s">
        <v>49</v>
      </c>
      <c r="R264" s="6" t="s">
        <v>49</v>
      </c>
      <c r="S264" s="6" t="s">
        <v>268</v>
      </c>
      <c r="T264" s="6" t="s">
        <v>269</v>
      </c>
      <c r="U264" s="6" t="s">
        <v>251</v>
      </c>
      <c r="V264" s="6" t="s">
        <v>688</v>
      </c>
      <c r="W264" s="12">
        <v>38.955444</v>
      </c>
      <c r="X264" s="12">
        <v>-106.99119399999999</v>
      </c>
      <c r="Y264" s="6" t="s">
        <v>141</v>
      </c>
      <c r="Z264" s="6" t="s">
        <v>271</v>
      </c>
      <c r="AA264" s="1" t="s">
        <v>50</v>
      </c>
      <c r="AB264" s="1" t="s">
        <v>96</v>
      </c>
      <c r="AC264" s="1" t="s">
        <v>299</v>
      </c>
      <c r="AD264" s="1" t="s">
        <v>300</v>
      </c>
      <c r="AE264" s="1" t="s">
        <v>300</v>
      </c>
      <c r="AF264" s="1" t="s">
        <v>60</v>
      </c>
      <c r="AG264" s="1" t="s">
        <v>543</v>
      </c>
      <c r="AH264" s="6" t="s">
        <v>49</v>
      </c>
      <c r="AI264" s="6" t="s">
        <v>272</v>
      </c>
      <c r="AJ264" s="6" t="s">
        <v>49</v>
      </c>
      <c r="AK264" s="6">
        <v>79</v>
      </c>
      <c r="AL264" s="6" t="s">
        <v>49</v>
      </c>
      <c r="AM264" s="6">
        <v>0.61739999999999995</v>
      </c>
      <c r="AN264" s="6">
        <v>4.1000000000000002E-2</v>
      </c>
      <c r="AO264" s="6" t="s">
        <v>49</v>
      </c>
      <c r="AP264" s="6">
        <v>0</v>
      </c>
      <c r="AQ264" s="6" t="s">
        <v>49</v>
      </c>
      <c r="AR264" s="6">
        <v>4.1000000000000002E-2</v>
      </c>
      <c r="AS264" s="6" t="s">
        <v>49</v>
      </c>
      <c r="AT264" s="6" t="s">
        <v>49</v>
      </c>
      <c r="AU264" s="6" t="s">
        <v>49</v>
      </c>
      <c r="AV264" s="6" t="s">
        <v>49</v>
      </c>
    </row>
    <row r="265" spans="1:48" ht="14.4" customHeight="1">
      <c r="A265" s="6" t="s">
        <v>680</v>
      </c>
      <c r="B265" s="6" t="s">
        <v>38</v>
      </c>
      <c r="C265" s="6" t="s">
        <v>38</v>
      </c>
      <c r="D265" s="1" t="s">
        <v>681</v>
      </c>
      <c r="E265" s="1" t="s">
        <v>40</v>
      </c>
      <c r="F265" s="6">
        <v>2000</v>
      </c>
      <c r="G265" s="1" t="s">
        <v>177</v>
      </c>
      <c r="H265" s="6" t="s">
        <v>178</v>
      </c>
      <c r="I265" s="6" t="s">
        <v>179</v>
      </c>
      <c r="J265" s="1" t="str">
        <f t="shared" si="4"/>
        <v>Ipomopsis_aggregata</v>
      </c>
      <c r="K265" s="6" t="s">
        <v>45</v>
      </c>
      <c r="L265" s="6" t="s">
        <v>46</v>
      </c>
      <c r="M265" s="6" t="s">
        <v>115</v>
      </c>
      <c r="N265" s="6" t="s">
        <v>116</v>
      </c>
      <c r="O265" s="6" t="s">
        <v>49</v>
      </c>
      <c r="P265" s="6" t="s">
        <v>49</v>
      </c>
      <c r="Q265" s="6" t="s">
        <v>49</v>
      </c>
      <c r="R265" s="6" t="s">
        <v>49</v>
      </c>
      <c r="S265" s="6" t="s">
        <v>268</v>
      </c>
      <c r="T265" s="6" t="s">
        <v>269</v>
      </c>
      <c r="U265" s="6" t="s">
        <v>251</v>
      </c>
      <c r="V265" s="6" t="s">
        <v>688</v>
      </c>
      <c r="W265" s="12">
        <v>38.955444</v>
      </c>
      <c r="X265" s="12">
        <v>-106.99119399999999</v>
      </c>
      <c r="Y265" s="6" t="s">
        <v>141</v>
      </c>
      <c r="Z265" s="6" t="s">
        <v>271</v>
      </c>
      <c r="AA265" s="1" t="s">
        <v>49</v>
      </c>
      <c r="AB265" s="1" t="s">
        <v>49</v>
      </c>
      <c r="AC265" s="1" t="s">
        <v>49</v>
      </c>
      <c r="AD265" s="6" t="s">
        <v>122</v>
      </c>
      <c r="AE265" s="1" t="s">
        <v>90</v>
      </c>
      <c r="AF265" s="1" t="s">
        <v>49</v>
      </c>
      <c r="AG265" s="1" t="s">
        <v>49</v>
      </c>
      <c r="AH265" s="6" t="s">
        <v>49</v>
      </c>
      <c r="AI265" s="6" t="s">
        <v>272</v>
      </c>
      <c r="AJ265" s="6" t="s">
        <v>49</v>
      </c>
      <c r="AK265" s="6">
        <v>79</v>
      </c>
      <c r="AL265" s="6" t="s">
        <v>49</v>
      </c>
      <c r="AM265" s="6" t="s">
        <v>49</v>
      </c>
      <c r="AN265" s="6">
        <v>9.0440000000000005</v>
      </c>
      <c r="AO265" s="6" t="s">
        <v>49</v>
      </c>
      <c r="AP265" s="6">
        <v>0</v>
      </c>
      <c r="AQ265" s="6" t="s">
        <v>49</v>
      </c>
      <c r="AR265" s="6">
        <v>9.0440000000000005</v>
      </c>
      <c r="AS265" s="6" t="s">
        <v>49</v>
      </c>
      <c r="AT265" s="6" t="s">
        <v>49</v>
      </c>
      <c r="AU265" s="6" t="s">
        <v>49</v>
      </c>
      <c r="AV265" s="6" t="s">
        <v>49</v>
      </c>
    </row>
    <row r="266" spans="1:48" ht="14.4" customHeight="1">
      <c r="A266" s="6" t="s">
        <v>680</v>
      </c>
      <c r="B266" s="6" t="s">
        <v>38</v>
      </c>
      <c r="C266" s="6" t="s">
        <v>38</v>
      </c>
      <c r="D266" s="1" t="s">
        <v>681</v>
      </c>
      <c r="E266" s="1" t="s">
        <v>40</v>
      </c>
      <c r="F266" s="6">
        <v>2000</v>
      </c>
      <c r="G266" s="1" t="s">
        <v>177</v>
      </c>
      <c r="H266" s="6" t="s">
        <v>178</v>
      </c>
      <c r="I266" s="6" t="s">
        <v>179</v>
      </c>
      <c r="J266" s="1" t="str">
        <f t="shared" si="4"/>
        <v>Ipomopsis_aggregata</v>
      </c>
      <c r="K266" s="6" t="s">
        <v>45</v>
      </c>
      <c r="L266" s="6" t="s">
        <v>46</v>
      </c>
      <c r="M266" s="6" t="s">
        <v>115</v>
      </c>
      <c r="N266" s="6" t="s">
        <v>116</v>
      </c>
      <c r="O266" s="6" t="s">
        <v>49</v>
      </c>
      <c r="P266" s="6" t="s">
        <v>49</v>
      </c>
      <c r="Q266" s="6" t="s">
        <v>49</v>
      </c>
      <c r="R266" s="6" t="s">
        <v>49</v>
      </c>
      <c r="S266" s="6" t="s">
        <v>268</v>
      </c>
      <c r="T266" s="6" t="s">
        <v>269</v>
      </c>
      <c r="U266" s="6" t="s">
        <v>251</v>
      </c>
      <c r="V266" s="6" t="s">
        <v>688</v>
      </c>
      <c r="W266" s="12">
        <v>38.955444</v>
      </c>
      <c r="X266" s="12">
        <v>-106.99119399999999</v>
      </c>
      <c r="Y266" s="6" t="s">
        <v>141</v>
      </c>
      <c r="Z266" s="6" t="s">
        <v>271</v>
      </c>
      <c r="AA266" s="1" t="s">
        <v>49</v>
      </c>
      <c r="AB266" s="1" t="s">
        <v>49</v>
      </c>
      <c r="AC266" s="1" t="s">
        <v>49</v>
      </c>
      <c r="AD266" s="6" t="s">
        <v>122</v>
      </c>
      <c r="AE266" s="1" t="s">
        <v>89</v>
      </c>
      <c r="AF266" s="1" t="s">
        <v>49</v>
      </c>
      <c r="AG266" s="1" t="s">
        <v>49</v>
      </c>
      <c r="AH266" s="6" t="s">
        <v>49</v>
      </c>
      <c r="AI266" s="6" t="s">
        <v>272</v>
      </c>
      <c r="AJ266" s="6" t="s">
        <v>49</v>
      </c>
      <c r="AK266" s="6">
        <v>79</v>
      </c>
      <c r="AL266" s="6" t="s">
        <v>49</v>
      </c>
      <c r="AM266" s="6" t="s">
        <v>49</v>
      </c>
      <c r="AN266" s="6">
        <v>3.2719999999999998</v>
      </c>
      <c r="AO266" s="6" t="s">
        <v>49</v>
      </c>
      <c r="AP266" s="6">
        <v>0</v>
      </c>
      <c r="AQ266" s="6" t="s">
        <v>49</v>
      </c>
      <c r="AR266" s="6">
        <v>3.2719999999999998</v>
      </c>
      <c r="AS266" s="6" t="s">
        <v>49</v>
      </c>
      <c r="AT266" s="6" t="s">
        <v>49</v>
      </c>
      <c r="AU266" s="6" t="s">
        <v>49</v>
      </c>
      <c r="AV266" s="6" t="s">
        <v>49</v>
      </c>
    </row>
    <row r="267" spans="1:48" ht="14.4" customHeight="1">
      <c r="A267" s="6" t="s">
        <v>680</v>
      </c>
      <c r="B267" s="6" t="s">
        <v>38</v>
      </c>
      <c r="C267" s="6" t="s">
        <v>38</v>
      </c>
      <c r="D267" s="1" t="s">
        <v>681</v>
      </c>
      <c r="E267" s="1" t="s">
        <v>40</v>
      </c>
      <c r="F267" s="6">
        <v>2000</v>
      </c>
      <c r="G267" s="1" t="s">
        <v>177</v>
      </c>
      <c r="H267" s="6" t="s">
        <v>178</v>
      </c>
      <c r="I267" s="6" t="s">
        <v>179</v>
      </c>
      <c r="J267" s="1" t="str">
        <f t="shared" si="4"/>
        <v>Ipomopsis_aggregata</v>
      </c>
      <c r="K267" s="6" t="s">
        <v>45</v>
      </c>
      <c r="L267" s="6" t="s">
        <v>46</v>
      </c>
      <c r="M267" s="6" t="s">
        <v>115</v>
      </c>
      <c r="N267" s="6" t="s">
        <v>116</v>
      </c>
      <c r="O267" s="6" t="s">
        <v>49</v>
      </c>
      <c r="P267" s="6" t="s">
        <v>49</v>
      </c>
      <c r="Q267" s="6" t="s">
        <v>49</v>
      </c>
      <c r="R267" s="6" t="s">
        <v>49</v>
      </c>
      <c r="S267" s="6" t="s">
        <v>268</v>
      </c>
      <c r="T267" s="6" t="s">
        <v>269</v>
      </c>
      <c r="U267" s="6" t="s">
        <v>251</v>
      </c>
      <c r="V267" s="6" t="s">
        <v>688</v>
      </c>
      <c r="W267" s="12">
        <v>38.955444</v>
      </c>
      <c r="X267" s="12">
        <v>-106.99119399999999</v>
      </c>
      <c r="Y267" s="6" t="s">
        <v>141</v>
      </c>
      <c r="Z267" s="6" t="s">
        <v>271</v>
      </c>
      <c r="AA267" s="1" t="s">
        <v>49</v>
      </c>
      <c r="AB267" s="1" t="s">
        <v>49</v>
      </c>
      <c r="AC267" s="1" t="s">
        <v>49</v>
      </c>
      <c r="AD267" s="6" t="s">
        <v>122</v>
      </c>
      <c r="AE267" s="6" t="s">
        <v>187</v>
      </c>
      <c r="AF267" s="1" t="s">
        <v>49</v>
      </c>
      <c r="AG267" s="1" t="s">
        <v>49</v>
      </c>
      <c r="AH267" s="6" t="s">
        <v>49</v>
      </c>
      <c r="AI267" s="6" t="s">
        <v>272</v>
      </c>
      <c r="AJ267" s="6" t="s">
        <v>49</v>
      </c>
      <c r="AK267" s="6">
        <v>79</v>
      </c>
      <c r="AL267" s="6" t="s">
        <v>49</v>
      </c>
      <c r="AM267" s="6" t="s">
        <v>49</v>
      </c>
      <c r="AN267" s="6">
        <v>7.6710000000000003</v>
      </c>
      <c r="AO267" s="6" t="s">
        <v>49</v>
      </c>
      <c r="AP267" s="6">
        <v>0</v>
      </c>
      <c r="AQ267" s="6" t="s">
        <v>49</v>
      </c>
      <c r="AR267" s="6">
        <v>7.6710000000000003</v>
      </c>
      <c r="AS267" s="6" t="s">
        <v>49</v>
      </c>
      <c r="AT267" s="6" t="s">
        <v>49</v>
      </c>
      <c r="AU267" s="6" t="s">
        <v>49</v>
      </c>
      <c r="AV267" s="6" t="s">
        <v>49</v>
      </c>
    </row>
    <row r="268" spans="1:48" ht="14.4" customHeight="1">
      <c r="A268" s="6" t="s">
        <v>680</v>
      </c>
      <c r="B268" s="6" t="s">
        <v>38</v>
      </c>
      <c r="C268" s="6" t="s">
        <v>38</v>
      </c>
      <c r="D268" s="1" t="s">
        <v>681</v>
      </c>
      <c r="E268" s="1" t="s">
        <v>40</v>
      </c>
      <c r="F268" s="6">
        <v>2000</v>
      </c>
      <c r="G268" s="1" t="s">
        <v>177</v>
      </c>
      <c r="H268" s="6" t="s">
        <v>178</v>
      </c>
      <c r="I268" s="6" t="s">
        <v>179</v>
      </c>
      <c r="J268" s="1" t="str">
        <f t="shared" si="4"/>
        <v>Ipomopsis_aggregata</v>
      </c>
      <c r="K268" s="6" t="s">
        <v>45</v>
      </c>
      <c r="L268" s="6" t="s">
        <v>46</v>
      </c>
      <c r="M268" s="6" t="s">
        <v>115</v>
      </c>
      <c r="N268" s="6" t="s">
        <v>116</v>
      </c>
      <c r="O268" s="6" t="s">
        <v>49</v>
      </c>
      <c r="P268" s="6" t="s">
        <v>49</v>
      </c>
      <c r="Q268" s="6" t="s">
        <v>49</v>
      </c>
      <c r="R268" s="6" t="s">
        <v>49</v>
      </c>
      <c r="S268" s="6" t="s">
        <v>268</v>
      </c>
      <c r="T268" s="6" t="s">
        <v>269</v>
      </c>
      <c r="U268" s="6" t="s">
        <v>251</v>
      </c>
      <c r="V268" s="6" t="s">
        <v>688</v>
      </c>
      <c r="W268" s="12">
        <v>38.955444</v>
      </c>
      <c r="X268" s="12">
        <v>-106.99119399999999</v>
      </c>
      <c r="Y268" s="6" t="s">
        <v>141</v>
      </c>
      <c r="Z268" s="6" t="s">
        <v>271</v>
      </c>
      <c r="AA268" s="1" t="s">
        <v>49</v>
      </c>
      <c r="AB268" s="1" t="s">
        <v>49</v>
      </c>
      <c r="AC268" s="1" t="s">
        <v>49</v>
      </c>
      <c r="AD268" s="6" t="s">
        <v>122</v>
      </c>
      <c r="AE268" s="1" t="s">
        <v>300</v>
      </c>
      <c r="AF268" s="1" t="s">
        <v>49</v>
      </c>
      <c r="AG268" s="1" t="s">
        <v>49</v>
      </c>
      <c r="AH268" s="6" t="s">
        <v>49</v>
      </c>
      <c r="AI268" s="6" t="s">
        <v>272</v>
      </c>
      <c r="AJ268" s="6" t="s">
        <v>49</v>
      </c>
      <c r="AK268" s="6">
        <v>79</v>
      </c>
      <c r="AL268" s="6" t="s">
        <v>49</v>
      </c>
      <c r="AM268" s="6" t="s">
        <v>49</v>
      </c>
      <c r="AN268" s="6">
        <v>0.99099999999999999</v>
      </c>
      <c r="AO268" s="6" t="s">
        <v>49</v>
      </c>
      <c r="AP268" s="6">
        <v>0</v>
      </c>
      <c r="AQ268" s="6" t="s">
        <v>49</v>
      </c>
      <c r="AR268" s="6">
        <v>0.99099999999999999</v>
      </c>
      <c r="AS268" s="6" t="s">
        <v>49</v>
      </c>
      <c r="AT268" s="6" t="s">
        <v>49</v>
      </c>
      <c r="AU268" s="6" t="s">
        <v>49</v>
      </c>
      <c r="AV268" s="6" t="s">
        <v>49</v>
      </c>
    </row>
    <row r="269" spans="1:48" ht="14.4" customHeight="1">
      <c r="A269" s="6" t="s">
        <v>680</v>
      </c>
      <c r="B269" s="6" t="s">
        <v>38</v>
      </c>
      <c r="C269" s="6" t="s">
        <v>38</v>
      </c>
      <c r="D269" s="1" t="s">
        <v>681</v>
      </c>
      <c r="E269" s="1" t="s">
        <v>40</v>
      </c>
      <c r="F269" s="6">
        <v>2000</v>
      </c>
      <c r="G269" s="1" t="s">
        <v>177</v>
      </c>
      <c r="H269" s="6" t="s">
        <v>178</v>
      </c>
      <c r="I269" s="6" t="s">
        <v>179</v>
      </c>
      <c r="J269" s="1" t="str">
        <f t="shared" si="4"/>
        <v>Ipomopsis_aggregata</v>
      </c>
      <c r="K269" s="6" t="s">
        <v>45</v>
      </c>
      <c r="L269" s="6" t="s">
        <v>46</v>
      </c>
      <c r="M269" s="6" t="s">
        <v>115</v>
      </c>
      <c r="N269" s="6" t="s">
        <v>116</v>
      </c>
      <c r="O269" s="6" t="s">
        <v>49</v>
      </c>
      <c r="P269" s="6" t="s">
        <v>49</v>
      </c>
      <c r="Q269" s="6" t="s">
        <v>49</v>
      </c>
      <c r="R269" s="6" t="s">
        <v>49</v>
      </c>
      <c r="S269" s="6" t="s">
        <v>268</v>
      </c>
      <c r="T269" s="6" t="s">
        <v>269</v>
      </c>
      <c r="U269" s="6" t="s">
        <v>251</v>
      </c>
      <c r="V269" s="6" t="s">
        <v>688</v>
      </c>
      <c r="W269" s="12">
        <v>38.955444</v>
      </c>
      <c r="X269" s="12">
        <v>-106.99119399999999</v>
      </c>
      <c r="Y269" s="6" t="s">
        <v>141</v>
      </c>
      <c r="Z269" s="6" t="s">
        <v>271</v>
      </c>
      <c r="AA269" s="1" t="s">
        <v>49</v>
      </c>
      <c r="AB269" s="1" t="s">
        <v>49</v>
      </c>
      <c r="AC269" s="1" t="s">
        <v>49</v>
      </c>
      <c r="AD269" s="1" t="s">
        <v>90</v>
      </c>
      <c r="AE269" s="1" t="s">
        <v>89</v>
      </c>
      <c r="AF269" s="1" t="s">
        <v>49</v>
      </c>
      <c r="AG269" s="1" t="s">
        <v>49</v>
      </c>
      <c r="AH269" s="6" t="s">
        <v>49</v>
      </c>
      <c r="AI269" s="6" t="s">
        <v>272</v>
      </c>
      <c r="AJ269" s="6" t="s">
        <v>49</v>
      </c>
      <c r="AK269" s="6">
        <v>79</v>
      </c>
      <c r="AL269" s="6" t="s">
        <v>49</v>
      </c>
      <c r="AM269" s="6" t="s">
        <v>49</v>
      </c>
      <c r="AN269" s="6">
        <v>-1.7999999999999999E-2</v>
      </c>
      <c r="AO269" s="6" t="s">
        <v>49</v>
      </c>
      <c r="AP269" s="6">
        <v>0</v>
      </c>
      <c r="AQ269" s="6" t="s">
        <v>49</v>
      </c>
      <c r="AR269" s="6">
        <v>-1.7999999999999999E-2</v>
      </c>
      <c r="AS269" s="6" t="s">
        <v>49</v>
      </c>
      <c r="AT269" s="6" t="s">
        <v>49</v>
      </c>
      <c r="AU269" s="6" t="s">
        <v>49</v>
      </c>
      <c r="AV269" s="6" t="s">
        <v>49</v>
      </c>
    </row>
    <row r="270" spans="1:48" ht="14.4" customHeight="1">
      <c r="A270" s="6" t="s">
        <v>680</v>
      </c>
      <c r="B270" s="6" t="s">
        <v>38</v>
      </c>
      <c r="C270" s="6" t="s">
        <v>38</v>
      </c>
      <c r="D270" s="1" t="s">
        <v>681</v>
      </c>
      <c r="E270" s="1" t="s">
        <v>40</v>
      </c>
      <c r="F270" s="6">
        <v>2000</v>
      </c>
      <c r="G270" s="1" t="s">
        <v>177</v>
      </c>
      <c r="H270" s="6" t="s">
        <v>178</v>
      </c>
      <c r="I270" s="6" t="s">
        <v>179</v>
      </c>
      <c r="J270" s="1" t="str">
        <f t="shared" si="4"/>
        <v>Ipomopsis_aggregata</v>
      </c>
      <c r="K270" s="6" t="s">
        <v>45</v>
      </c>
      <c r="L270" s="6" t="s">
        <v>46</v>
      </c>
      <c r="M270" s="6" t="s">
        <v>115</v>
      </c>
      <c r="N270" s="6" t="s">
        <v>116</v>
      </c>
      <c r="O270" s="6" t="s">
        <v>49</v>
      </c>
      <c r="P270" s="6" t="s">
        <v>49</v>
      </c>
      <c r="Q270" s="6" t="s">
        <v>49</v>
      </c>
      <c r="R270" s="6" t="s">
        <v>49</v>
      </c>
      <c r="S270" s="6" t="s">
        <v>268</v>
      </c>
      <c r="T270" s="6" t="s">
        <v>269</v>
      </c>
      <c r="U270" s="6" t="s">
        <v>251</v>
      </c>
      <c r="V270" s="6" t="s">
        <v>688</v>
      </c>
      <c r="W270" s="12">
        <v>38.955444</v>
      </c>
      <c r="X270" s="12">
        <v>-106.99119399999999</v>
      </c>
      <c r="Y270" s="6" t="s">
        <v>141</v>
      </c>
      <c r="Z270" s="6" t="s">
        <v>271</v>
      </c>
      <c r="AA270" s="1" t="s">
        <v>49</v>
      </c>
      <c r="AB270" s="1" t="s">
        <v>49</v>
      </c>
      <c r="AC270" s="1" t="s">
        <v>49</v>
      </c>
      <c r="AD270" s="1" t="s">
        <v>90</v>
      </c>
      <c r="AE270" s="6" t="s">
        <v>187</v>
      </c>
      <c r="AF270" s="1" t="s">
        <v>49</v>
      </c>
      <c r="AG270" s="1" t="s">
        <v>49</v>
      </c>
      <c r="AH270" s="6" t="s">
        <v>49</v>
      </c>
      <c r="AI270" s="6" t="s">
        <v>272</v>
      </c>
      <c r="AJ270" s="6" t="s">
        <v>49</v>
      </c>
      <c r="AK270" s="6">
        <v>79</v>
      </c>
      <c r="AL270" s="6" t="s">
        <v>49</v>
      </c>
      <c r="AM270" s="6" t="s">
        <v>49</v>
      </c>
      <c r="AN270" s="6">
        <v>0.13400000000000001</v>
      </c>
      <c r="AO270" s="6" t="s">
        <v>49</v>
      </c>
      <c r="AP270" s="6">
        <v>0</v>
      </c>
      <c r="AQ270" s="6" t="s">
        <v>49</v>
      </c>
      <c r="AR270" s="6">
        <v>0.13400000000000001</v>
      </c>
      <c r="AS270" s="6" t="s">
        <v>49</v>
      </c>
      <c r="AT270" s="6" t="s">
        <v>49</v>
      </c>
      <c r="AU270" s="6" t="s">
        <v>49</v>
      </c>
      <c r="AV270" s="6" t="s">
        <v>49</v>
      </c>
    </row>
    <row r="271" spans="1:48" ht="14.4" customHeight="1">
      <c r="A271" s="6" t="s">
        <v>680</v>
      </c>
      <c r="B271" s="6" t="s">
        <v>38</v>
      </c>
      <c r="C271" s="6" t="s">
        <v>38</v>
      </c>
      <c r="D271" s="1" t="s">
        <v>681</v>
      </c>
      <c r="E271" s="1" t="s">
        <v>40</v>
      </c>
      <c r="F271" s="6">
        <v>2000</v>
      </c>
      <c r="G271" s="1" t="s">
        <v>177</v>
      </c>
      <c r="H271" s="6" t="s">
        <v>178</v>
      </c>
      <c r="I271" s="6" t="s">
        <v>179</v>
      </c>
      <c r="J271" s="1" t="str">
        <f t="shared" si="4"/>
        <v>Ipomopsis_aggregata</v>
      </c>
      <c r="K271" s="6" t="s">
        <v>45</v>
      </c>
      <c r="L271" s="6" t="s">
        <v>46</v>
      </c>
      <c r="M271" s="6" t="s">
        <v>115</v>
      </c>
      <c r="N271" s="6" t="s">
        <v>116</v>
      </c>
      <c r="O271" s="6" t="s">
        <v>49</v>
      </c>
      <c r="P271" s="6" t="s">
        <v>49</v>
      </c>
      <c r="Q271" s="6" t="s">
        <v>49</v>
      </c>
      <c r="R271" s="6" t="s">
        <v>49</v>
      </c>
      <c r="S271" s="6" t="s">
        <v>268</v>
      </c>
      <c r="T271" s="6" t="s">
        <v>269</v>
      </c>
      <c r="U271" s="6" t="s">
        <v>251</v>
      </c>
      <c r="V271" s="6" t="s">
        <v>688</v>
      </c>
      <c r="W271" s="12">
        <v>38.955444</v>
      </c>
      <c r="X271" s="12">
        <v>-106.99119399999999</v>
      </c>
      <c r="Y271" s="6" t="s">
        <v>141</v>
      </c>
      <c r="Z271" s="6" t="s">
        <v>271</v>
      </c>
      <c r="AA271" s="1" t="s">
        <v>49</v>
      </c>
      <c r="AB271" s="1" t="s">
        <v>49</v>
      </c>
      <c r="AC271" s="1" t="s">
        <v>49</v>
      </c>
      <c r="AD271" s="1" t="s">
        <v>90</v>
      </c>
      <c r="AE271" s="1" t="s">
        <v>300</v>
      </c>
      <c r="AF271" s="1" t="s">
        <v>49</v>
      </c>
      <c r="AG271" s="1" t="s">
        <v>49</v>
      </c>
      <c r="AH271" s="6" t="s">
        <v>49</v>
      </c>
      <c r="AI271" s="6" t="s">
        <v>272</v>
      </c>
      <c r="AJ271" s="6" t="s">
        <v>49</v>
      </c>
      <c r="AK271" s="6">
        <v>79</v>
      </c>
      <c r="AL271" s="6" t="s">
        <v>49</v>
      </c>
      <c r="AM271" s="6" t="s">
        <v>49</v>
      </c>
      <c r="AN271" s="6">
        <v>-4.7E-2</v>
      </c>
      <c r="AO271" s="6" t="s">
        <v>49</v>
      </c>
      <c r="AP271" s="6">
        <v>0</v>
      </c>
      <c r="AQ271" s="6" t="s">
        <v>49</v>
      </c>
      <c r="AR271" s="6">
        <v>-4.7E-2</v>
      </c>
      <c r="AS271" s="6" t="s">
        <v>49</v>
      </c>
      <c r="AT271" s="6" t="s">
        <v>49</v>
      </c>
      <c r="AU271" s="6" t="s">
        <v>49</v>
      </c>
      <c r="AV271" s="6" t="s">
        <v>49</v>
      </c>
    </row>
    <row r="272" spans="1:48" ht="14.4" customHeight="1">
      <c r="A272" s="6" t="s">
        <v>680</v>
      </c>
      <c r="B272" s="6" t="s">
        <v>38</v>
      </c>
      <c r="C272" s="6" t="s">
        <v>38</v>
      </c>
      <c r="D272" s="1" t="s">
        <v>681</v>
      </c>
      <c r="E272" s="1" t="s">
        <v>40</v>
      </c>
      <c r="F272" s="6">
        <v>2000</v>
      </c>
      <c r="G272" s="1" t="s">
        <v>177</v>
      </c>
      <c r="H272" s="6" t="s">
        <v>178</v>
      </c>
      <c r="I272" s="6" t="s">
        <v>179</v>
      </c>
      <c r="J272" s="1" t="str">
        <f t="shared" si="4"/>
        <v>Ipomopsis_aggregata</v>
      </c>
      <c r="K272" s="6" t="s">
        <v>45</v>
      </c>
      <c r="L272" s="6" t="s">
        <v>46</v>
      </c>
      <c r="M272" s="6" t="s">
        <v>115</v>
      </c>
      <c r="N272" s="6" t="s">
        <v>116</v>
      </c>
      <c r="O272" s="6" t="s">
        <v>49</v>
      </c>
      <c r="P272" s="6" t="s">
        <v>49</v>
      </c>
      <c r="Q272" s="6" t="s">
        <v>49</v>
      </c>
      <c r="R272" s="6" t="s">
        <v>49</v>
      </c>
      <c r="S272" s="6" t="s">
        <v>268</v>
      </c>
      <c r="T272" s="6" t="s">
        <v>269</v>
      </c>
      <c r="U272" s="6" t="s">
        <v>251</v>
      </c>
      <c r="V272" s="6" t="s">
        <v>688</v>
      </c>
      <c r="W272" s="12">
        <v>38.955444</v>
      </c>
      <c r="X272" s="12">
        <v>-106.99119399999999</v>
      </c>
      <c r="Y272" s="6" t="s">
        <v>141</v>
      </c>
      <c r="Z272" s="6" t="s">
        <v>271</v>
      </c>
      <c r="AA272" s="1" t="s">
        <v>49</v>
      </c>
      <c r="AB272" s="1" t="s">
        <v>49</v>
      </c>
      <c r="AC272" s="1" t="s">
        <v>49</v>
      </c>
      <c r="AD272" s="1" t="s">
        <v>89</v>
      </c>
      <c r="AE272" s="6" t="s">
        <v>187</v>
      </c>
      <c r="AF272" s="1" t="s">
        <v>49</v>
      </c>
      <c r="AG272" s="1" t="s">
        <v>49</v>
      </c>
      <c r="AH272" s="6" t="s">
        <v>49</v>
      </c>
      <c r="AI272" s="6" t="s">
        <v>272</v>
      </c>
      <c r="AJ272" s="6" t="s">
        <v>49</v>
      </c>
      <c r="AK272" s="6">
        <v>79</v>
      </c>
      <c r="AL272" s="6" t="s">
        <v>49</v>
      </c>
      <c r="AM272" s="6" t="s">
        <v>49</v>
      </c>
      <c r="AN272" s="6">
        <v>0.15</v>
      </c>
      <c r="AO272" s="6" t="s">
        <v>49</v>
      </c>
      <c r="AP272" s="6">
        <v>0</v>
      </c>
      <c r="AQ272" s="6" t="s">
        <v>49</v>
      </c>
      <c r="AR272" s="6">
        <v>0.15</v>
      </c>
      <c r="AS272" s="6" t="s">
        <v>49</v>
      </c>
      <c r="AT272" s="6" t="s">
        <v>49</v>
      </c>
      <c r="AU272" s="6" t="s">
        <v>49</v>
      </c>
      <c r="AV272" s="6" t="s">
        <v>49</v>
      </c>
    </row>
    <row r="273" spans="1:51" ht="14.4" customHeight="1">
      <c r="A273" s="6" t="s">
        <v>680</v>
      </c>
      <c r="B273" s="6" t="s">
        <v>38</v>
      </c>
      <c r="C273" s="6" t="s">
        <v>38</v>
      </c>
      <c r="D273" s="1" t="s">
        <v>681</v>
      </c>
      <c r="E273" s="1" t="s">
        <v>40</v>
      </c>
      <c r="F273" s="6">
        <v>2000</v>
      </c>
      <c r="G273" s="1" t="s">
        <v>177</v>
      </c>
      <c r="H273" s="6" t="s">
        <v>178</v>
      </c>
      <c r="I273" s="6" t="s">
        <v>179</v>
      </c>
      <c r="J273" s="1" t="str">
        <f t="shared" si="4"/>
        <v>Ipomopsis_aggregata</v>
      </c>
      <c r="K273" s="6" t="s">
        <v>45</v>
      </c>
      <c r="L273" s="6" t="s">
        <v>46</v>
      </c>
      <c r="M273" s="6" t="s">
        <v>115</v>
      </c>
      <c r="N273" s="6" t="s">
        <v>116</v>
      </c>
      <c r="O273" s="6" t="s">
        <v>49</v>
      </c>
      <c r="P273" s="6" t="s">
        <v>49</v>
      </c>
      <c r="Q273" s="6" t="s">
        <v>49</v>
      </c>
      <c r="R273" s="6" t="s">
        <v>49</v>
      </c>
      <c r="S273" s="6" t="s">
        <v>268</v>
      </c>
      <c r="T273" s="6" t="s">
        <v>269</v>
      </c>
      <c r="U273" s="6" t="s">
        <v>251</v>
      </c>
      <c r="V273" s="6" t="s">
        <v>688</v>
      </c>
      <c r="W273" s="12">
        <v>38.955444</v>
      </c>
      <c r="X273" s="12">
        <v>-106.99119399999999</v>
      </c>
      <c r="Y273" s="6" t="s">
        <v>141</v>
      </c>
      <c r="Z273" s="6" t="s">
        <v>271</v>
      </c>
      <c r="AA273" s="1" t="s">
        <v>49</v>
      </c>
      <c r="AB273" s="1" t="s">
        <v>49</v>
      </c>
      <c r="AC273" s="1" t="s">
        <v>49</v>
      </c>
      <c r="AD273" s="1" t="s">
        <v>89</v>
      </c>
      <c r="AE273" s="1" t="s">
        <v>300</v>
      </c>
      <c r="AF273" s="1" t="s">
        <v>49</v>
      </c>
      <c r="AG273" s="1" t="s">
        <v>49</v>
      </c>
      <c r="AH273" s="6" t="s">
        <v>49</v>
      </c>
      <c r="AI273" s="6" t="s">
        <v>272</v>
      </c>
      <c r="AJ273" s="6" t="s">
        <v>49</v>
      </c>
      <c r="AK273" s="6">
        <v>79</v>
      </c>
      <c r="AL273" s="6" t="s">
        <v>49</v>
      </c>
      <c r="AM273" s="6" t="s">
        <v>49</v>
      </c>
      <c r="AN273" s="6">
        <v>2.1000000000000001E-2</v>
      </c>
      <c r="AO273" s="6" t="s">
        <v>49</v>
      </c>
      <c r="AP273" s="6">
        <v>0</v>
      </c>
      <c r="AQ273" s="6" t="s">
        <v>49</v>
      </c>
      <c r="AR273" s="6">
        <v>2.1000000000000001E-2</v>
      </c>
      <c r="AS273" s="6" t="s">
        <v>49</v>
      </c>
      <c r="AT273" s="6" t="s">
        <v>49</v>
      </c>
      <c r="AU273" s="6" t="s">
        <v>49</v>
      </c>
      <c r="AV273" s="6" t="s">
        <v>49</v>
      </c>
    </row>
    <row r="274" spans="1:51" ht="14.4" customHeight="1">
      <c r="A274" s="6" t="s">
        <v>680</v>
      </c>
      <c r="B274" s="6" t="s">
        <v>38</v>
      </c>
      <c r="C274" s="6" t="s">
        <v>38</v>
      </c>
      <c r="D274" s="1" t="s">
        <v>681</v>
      </c>
      <c r="E274" s="1" t="s">
        <v>40</v>
      </c>
      <c r="F274" s="6">
        <v>2000</v>
      </c>
      <c r="G274" s="1" t="s">
        <v>177</v>
      </c>
      <c r="H274" s="6" t="s">
        <v>178</v>
      </c>
      <c r="I274" s="6" t="s">
        <v>179</v>
      </c>
      <c r="J274" s="1" t="str">
        <f t="shared" si="4"/>
        <v>Ipomopsis_aggregata</v>
      </c>
      <c r="K274" s="6" t="s">
        <v>45</v>
      </c>
      <c r="L274" s="6" t="s">
        <v>46</v>
      </c>
      <c r="M274" s="6" t="s">
        <v>115</v>
      </c>
      <c r="N274" s="6" t="s">
        <v>116</v>
      </c>
      <c r="O274" s="6" t="s">
        <v>49</v>
      </c>
      <c r="P274" s="6" t="s">
        <v>49</v>
      </c>
      <c r="Q274" s="6" t="s">
        <v>49</v>
      </c>
      <c r="R274" s="6" t="s">
        <v>49</v>
      </c>
      <c r="S274" s="6" t="s">
        <v>268</v>
      </c>
      <c r="T274" s="6" t="s">
        <v>269</v>
      </c>
      <c r="U274" s="6" t="s">
        <v>251</v>
      </c>
      <c r="V274" s="6" t="s">
        <v>688</v>
      </c>
      <c r="W274" s="12">
        <v>38.955444</v>
      </c>
      <c r="X274" s="12">
        <v>-106.99119399999999</v>
      </c>
      <c r="Y274" s="6" t="s">
        <v>141</v>
      </c>
      <c r="Z274" s="6" t="s">
        <v>271</v>
      </c>
      <c r="AA274" s="1" t="s">
        <v>49</v>
      </c>
      <c r="AB274" s="1" t="s">
        <v>49</v>
      </c>
      <c r="AC274" s="1" t="s">
        <v>49</v>
      </c>
      <c r="AD274" s="6" t="s">
        <v>187</v>
      </c>
      <c r="AE274" s="1" t="s">
        <v>300</v>
      </c>
      <c r="AF274" s="1" t="s">
        <v>49</v>
      </c>
      <c r="AG274" s="1" t="s">
        <v>49</v>
      </c>
      <c r="AH274" s="6" t="s">
        <v>49</v>
      </c>
      <c r="AI274" s="6" t="s">
        <v>272</v>
      </c>
      <c r="AJ274" s="6" t="s">
        <v>49</v>
      </c>
      <c r="AK274" s="6">
        <v>79</v>
      </c>
      <c r="AL274" s="6" t="s">
        <v>49</v>
      </c>
      <c r="AM274" s="6" t="s">
        <v>49</v>
      </c>
      <c r="AN274" s="6">
        <v>9.0999999999999998E-2</v>
      </c>
      <c r="AO274" s="6" t="s">
        <v>49</v>
      </c>
      <c r="AP274" s="6">
        <v>0</v>
      </c>
      <c r="AQ274" s="6" t="s">
        <v>49</v>
      </c>
      <c r="AR274" s="6">
        <v>9.0999999999999998E-2</v>
      </c>
      <c r="AS274" s="6" t="s">
        <v>49</v>
      </c>
      <c r="AT274" s="6" t="s">
        <v>49</v>
      </c>
      <c r="AU274" s="6" t="s">
        <v>49</v>
      </c>
      <c r="AV274" s="6" t="s">
        <v>49</v>
      </c>
    </row>
    <row r="275" spans="1:51" s="6" customFormat="1" ht="14.4" customHeight="1">
      <c r="A275" s="1">
        <v>16</v>
      </c>
      <c r="B275" s="1" t="s">
        <v>38</v>
      </c>
      <c r="C275" s="1" t="s">
        <v>38</v>
      </c>
      <c r="D275" s="3" t="s">
        <v>176</v>
      </c>
      <c r="E275" s="3" t="s">
        <v>40</v>
      </c>
      <c r="F275" s="3">
        <v>1996</v>
      </c>
      <c r="G275" s="3" t="s">
        <v>177</v>
      </c>
      <c r="H275" s="3" t="s">
        <v>178</v>
      </c>
      <c r="I275" s="3" t="s">
        <v>179</v>
      </c>
      <c r="J275" s="3" t="s">
        <v>180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181</v>
      </c>
      <c r="T275" s="1" t="s">
        <v>181</v>
      </c>
      <c r="U275" s="1" t="s">
        <v>119</v>
      </c>
      <c r="V275" s="3" t="s">
        <v>182</v>
      </c>
      <c r="W275" s="3">
        <v>38.96</v>
      </c>
      <c r="X275" s="3">
        <v>-106.99</v>
      </c>
      <c r="Y275" s="3" t="s">
        <v>141</v>
      </c>
      <c r="Z275" s="1" t="s">
        <v>49</v>
      </c>
      <c r="AA275" s="1" t="s">
        <v>50</v>
      </c>
      <c r="AB275" s="1" t="s">
        <v>57</v>
      </c>
      <c r="AC275" s="1" t="s">
        <v>86</v>
      </c>
      <c r="AD275" s="1" t="s">
        <v>184</v>
      </c>
      <c r="AE275" s="1" t="s">
        <v>184</v>
      </c>
      <c r="AF275" s="1" t="s">
        <v>60</v>
      </c>
      <c r="AG275" s="1" t="s">
        <v>61</v>
      </c>
      <c r="AH275" s="1" t="s">
        <v>183</v>
      </c>
      <c r="AI275" s="1" t="s">
        <v>55</v>
      </c>
      <c r="AJ275" s="1">
        <v>32</v>
      </c>
      <c r="AK275" s="1">
        <v>375</v>
      </c>
      <c r="AL275" s="6" t="s">
        <v>49</v>
      </c>
      <c r="AM275" s="1">
        <v>25.22</v>
      </c>
      <c r="AN275" s="1">
        <v>5.3479999999999999</v>
      </c>
      <c r="AO275" s="6" t="s">
        <v>49</v>
      </c>
      <c r="AP275" s="6">
        <v>1</v>
      </c>
      <c r="AQ275" s="6" t="s">
        <v>49</v>
      </c>
      <c r="AR275" s="1">
        <v>5.3479999999999999</v>
      </c>
      <c r="AS275" s="6" t="s">
        <v>49</v>
      </c>
      <c r="AT275" s="5">
        <v>0</v>
      </c>
      <c r="AU275" s="6" t="s">
        <v>49</v>
      </c>
      <c r="AV275" s="29" t="s">
        <v>189</v>
      </c>
    </row>
    <row r="276" spans="1:51" s="6" customFormat="1" ht="14.4" customHeight="1">
      <c r="A276" s="1">
        <v>16</v>
      </c>
      <c r="B276" s="1" t="s">
        <v>38</v>
      </c>
      <c r="C276" s="1" t="s">
        <v>38</v>
      </c>
      <c r="D276" s="3" t="s">
        <v>176</v>
      </c>
      <c r="E276" s="3" t="s">
        <v>40</v>
      </c>
      <c r="F276" s="3">
        <v>1996</v>
      </c>
      <c r="G276" s="3" t="s">
        <v>177</v>
      </c>
      <c r="H276" s="3" t="s">
        <v>178</v>
      </c>
      <c r="I276" s="3" t="s">
        <v>179</v>
      </c>
      <c r="J276" s="3" t="s">
        <v>180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181</v>
      </c>
      <c r="T276" s="1" t="s">
        <v>181</v>
      </c>
      <c r="U276" s="1" t="s">
        <v>119</v>
      </c>
      <c r="V276" s="3" t="s">
        <v>182</v>
      </c>
      <c r="W276" s="3">
        <v>38.96</v>
      </c>
      <c r="X276" s="3">
        <v>-106.99</v>
      </c>
      <c r="Y276" s="3" t="s">
        <v>141</v>
      </c>
      <c r="Z276" s="1" t="s">
        <v>49</v>
      </c>
      <c r="AA276" s="1" t="s">
        <v>50</v>
      </c>
      <c r="AB276" s="1" t="s">
        <v>66</v>
      </c>
      <c r="AC276" s="1" t="s">
        <v>67</v>
      </c>
      <c r="AD276" s="1" t="s">
        <v>90</v>
      </c>
      <c r="AE276" s="1" t="s">
        <v>90</v>
      </c>
      <c r="AF276" s="1" t="s">
        <v>60</v>
      </c>
      <c r="AG276" s="1" t="s">
        <v>61</v>
      </c>
      <c r="AH276" s="1" t="s">
        <v>183</v>
      </c>
      <c r="AI276" s="1" t="s">
        <v>55</v>
      </c>
      <c r="AJ276" s="1">
        <v>32</v>
      </c>
      <c r="AK276" s="1">
        <v>375</v>
      </c>
      <c r="AL276" s="6" t="s">
        <v>49</v>
      </c>
      <c r="AM276" s="1">
        <v>25.01</v>
      </c>
      <c r="AN276" s="1">
        <v>5.0389999999999997</v>
      </c>
      <c r="AO276" s="6" t="s">
        <v>49</v>
      </c>
      <c r="AP276" s="6">
        <v>1</v>
      </c>
      <c r="AQ276" s="6" t="s">
        <v>49</v>
      </c>
      <c r="AR276" s="1">
        <v>5.0389999999999997</v>
      </c>
      <c r="AS276" s="6" t="s">
        <v>49</v>
      </c>
      <c r="AT276" s="5">
        <v>0</v>
      </c>
      <c r="AU276" s="6" t="s">
        <v>49</v>
      </c>
      <c r="AV276" s="29" t="s">
        <v>189</v>
      </c>
    </row>
    <row r="277" spans="1:51" s="6" customFormat="1" ht="14.4" customHeight="1">
      <c r="A277" s="1">
        <v>16</v>
      </c>
      <c r="B277" s="1" t="s">
        <v>38</v>
      </c>
      <c r="C277" s="1" t="s">
        <v>38</v>
      </c>
      <c r="D277" s="3" t="s">
        <v>176</v>
      </c>
      <c r="E277" s="3" t="s">
        <v>40</v>
      </c>
      <c r="F277" s="3">
        <v>1996</v>
      </c>
      <c r="G277" s="3" t="s">
        <v>177</v>
      </c>
      <c r="H277" s="3" t="s">
        <v>178</v>
      </c>
      <c r="I277" s="3" t="s">
        <v>179</v>
      </c>
      <c r="J277" s="3" t="s">
        <v>180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181</v>
      </c>
      <c r="T277" s="1" t="s">
        <v>181</v>
      </c>
      <c r="U277" s="1" t="s">
        <v>119</v>
      </c>
      <c r="V277" s="3" t="s">
        <v>182</v>
      </c>
      <c r="W277" s="3">
        <v>38.96</v>
      </c>
      <c r="X277" s="3">
        <v>-106.99</v>
      </c>
      <c r="Y277" s="3" t="s">
        <v>141</v>
      </c>
      <c r="Z277" s="1" t="s">
        <v>49</v>
      </c>
      <c r="AA277" s="1" t="s">
        <v>50</v>
      </c>
      <c r="AB277" s="1" t="s">
        <v>66</v>
      </c>
      <c r="AC277" s="1" t="s">
        <v>67</v>
      </c>
      <c r="AD277" s="1" t="s">
        <v>89</v>
      </c>
      <c r="AE277" s="1" t="s">
        <v>89</v>
      </c>
      <c r="AF277" s="1" t="s">
        <v>60</v>
      </c>
      <c r="AG277" s="1" t="s">
        <v>61</v>
      </c>
      <c r="AH277" s="1" t="s">
        <v>183</v>
      </c>
      <c r="AI277" s="1" t="s">
        <v>55</v>
      </c>
      <c r="AJ277" s="1">
        <v>32</v>
      </c>
      <c r="AK277" s="1">
        <v>375</v>
      </c>
      <c r="AL277" s="6" t="s">
        <v>49</v>
      </c>
      <c r="AM277" s="1">
        <v>3.61</v>
      </c>
      <c r="AN277" s="1">
        <v>8.8999999999999996E-2</v>
      </c>
      <c r="AO277" s="6" t="s">
        <v>49</v>
      </c>
      <c r="AP277" s="6">
        <v>1</v>
      </c>
      <c r="AQ277" s="6" t="s">
        <v>49</v>
      </c>
      <c r="AR277" s="1">
        <v>8.8999999999999996E-2</v>
      </c>
      <c r="AS277" s="6" t="s">
        <v>49</v>
      </c>
      <c r="AT277" s="5">
        <v>0</v>
      </c>
      <c r="AU277" s="6" t="s">
        <v>49</v>
      </c>
      <c r="AV277" s="29" t="s">
        <v>189</v>
      </c>
    </row>
    <row r="278" spans="1:51" s="6" customFormat="1" ht="14.4" customHeight="1">
      <c r="A278" s="1">
        <v>16</v>
      </c>
      <c r="B278" s="1" t="s">
        <v>38</v>
      </c>
      <c r="C278" s="1" t="s">
        <v>38</v>
      </c>
      <c r="D278" s="3" t="s">
        <v>176</v>
      </c>
      <c r="E278" s="3" t="s">
        <v>40</v>
      </c>
      <c r="F278" s="3">
        <v>1996</v>
      </c>
      <c r="G278" s="3" t="s">
        <v>177</v>
      </c>
      <c r="H278" s="3" t="s">
        <v>178</v>
      </c>
      <c r="I278" s="3" t="s">
        <v>179</v>
      </c>
      <c r="J278" s="3" t="s">
        <v>180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181</v>
      </c>
      <c r="T278" s="1" t="s">
        <v>181</v>
      </c>
      <c r="U278" s="1" t="s">
        <v>119</v>
      </c>
      <c r="V278" s="3" t="s">
        <v>182</v>
      </c>
      <c r="W278" s="3">
        <v>38.96</v>
      </c>
      <c r="X278" s="3">
        <v>-106.99</v>
      </c>
      <c r="Y278" s="3" t="s">
        <v>141</v>
      </c>
      <c r="Z278" s="1" t="s">
        <v>49</v>
      </c>
      <c r="AA278" s="1" t="s">
        <v>50</v>
      </c>
      <c r="AB278" s="1" t="s">
        <v>96</v>
      </c>
      <c r="AC278" s="1" t="s">
        <v>299</v>
      </c>
      <c r="AD278" s="1" t="s">
        <v>300</v>
      </c>
      <c r="AE278" s="1" t="s">
        <v>300</v>
      </c>
      <c r="AF278" s="1" t="s">
        <v>60</v>
      </c>
      <c r="AG278" s="1" t="s">
        <v>60</v>
      </c>
      <c r="AH278" s="1" t="s">
        <v>183</v>
      </c>
      <c r="AI278" s="1" t="s">
        <v>55</v>
      </c>
      <c r="AJ278" s="1">
        <v>32</v>
      </c>
      <c r="AK278" s="1">
        <v>375</v>
      </c>
      <c r="AL278" s="6" t="s">
        <v>49</v>
      </c>
      <c r="AM278" s="1">
        <v>0.45</v>
      </c>
      <c r="AN278" s="1">
        <v>1.7999999999999999E-2</v>
      </c>
      <c r="AO278" s="6" t="s">
        <v>49</v>
      </c>
      <c r="AP278" s="6">
        <v>1</v>
      </c>
      <c r="AQ278" s="6" t="s">
        <v>49</v>
      </c>
      <c r="AR278" s="1">
        <v>1.7999999999999999E-2</v>
      </c>
      <c r="AS278" s="6" t="s">
        <v>49</v>
      </c>
      <c r="AT278" s="5">
        <v>0</v>
      </c>
      <c r="AU278" s="6" t="s">
        <v>49</v>
      </c>
      <c r="AV278" s="29" t="s">
        <v>189</v>
      </c>
      <c r="AW278" s="5"/>
      <c r="AX278" s="4"/>
      <c r="AY278" s="1"/>
    </row>
    <row r="279" spans="1:51" s="6" customFormat="1" ht="14.4" customHeight="1">
      <c r="A279" s="1">
        <v>16</v>
      </c>
      <c r="B279" s="1" t="s">
        <v>38</v>
      </c>
      <c r="C279" s="1" t="s">
        <v>38</v>
      </c>
      <c r="D279" s="3" t="s">
        <v>176</v>
      </c>
      <c r="E279" s="3" t="s">
        <v>40</v>
      </c>
      <c r="F279" s="3">
        <v>1996</v>
      </c>
      <c r="G279" s="3" t="s">
        <v>177</v>
      </c>
      <c r="H279" s="3" t="s">
        <v>178</v>
      </c>
      <c r="I279" s="3" t="s">
        <v>179</v>
      </c>
      <c r="J279" s="3" t="s">
        <v>180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181</v>
      </c>
      <c r="T279" s="1" t="s">
        <v>181</v>
      </c>
      <c r="U279" s="1" t="s">
        <v>119</v>
      </c>
      <c r="V279" s="3" t="s">
        <v>182</v>
      </c>
      <c r="W279" s="3">
        <v>38.96</v>
      </c>
      <c r="X279" s="3">
        <v>-106.99</v>
      </c>
      <c r="Y279" s="3" t="s">
        <v>141</v>
      </c>
      <c r="Z279" s="1" t="s">
        <v>49</v>
      </c>
      <c r="AA279" s="1" t="s">
        <v>50</v>
      </c>
      <c r="AB279" s="1" t="s">
        <v>185</v>
      </c>
      <c r="AC279" s="1" t="s">
        <v>186</v>
      </c>
      <c r="AD279" s="1" t="s">
        <v>187</v>
      </c>
      <c r="AE279" s="1" t="s">
        <v>187</v>
      </c>
      <c r="AF279" s="1" t="s">
        <v>60</v>
      </c>
      <c r="AG279" s="1" t="s">
        <v>173</v>
      </c>
      <c r="AH279" s="1" t="s">
        <v>183</v>
      </c>
      <c r="AI279" s="1" t="s">
        <v>55</v>
      </c>
      <c r="AJ279" s="1">
        <v>32</v>
      </c>
      <c r="AK279" s="1">
        <v>375</v>
      </c>
      <c r="AL279" s="6" t="s">
        <v>49</v>
      </c>
      <c r="AM279" s="1">
        <v>2.2799999999999998</v>
      </c>
      <c r="AN279" s="1">
        <v>2.67</v>
      </c>
      <c r="AO279" s="6" t="s">
        <v>49</v>
      </c>
      <c r="AP279" s="6">
        <v>1</v>
      </c>
      <c r="AQ279" s="6" t="s">
        <v>49</v>
      </c>
      <c r="AR279" s="1">
        <v>2.67</v>
      </c>
      <c r="AS279" s="6" t="s">
        <v>49</v>
      </c>
      <c r="AT279" s="5">
        <v>0</v>
      </c>
      <c r="AU279" s="6" t="s">
        <v>49</v>
      </c>
      <c r="AV279" s="29" t="s">
        <v>189</v>
      </c>
    </row>
    <row r="280" spans="1:51" s="6" customFormat="1" ht="14.4" customHeight="1">
      <c r="A280" s="1">
        <v>16</v>
      </c>
      <c r="B280" s="1" t="s">
        <v>38</v>
      </c>
      <c r="C280" s="1" t="s">
        <v>38</v>
      </c>
      <c r="D280" s="3" t="s">
        <v>176</v>
      </c>
      <c r="E280" s="3" t="s">
        <v>40</v>
      </c>
      <c r="F280" s="3">
        <v>1996</v>
      </c>
      <c r="G280" s="3" t="s">
        <v>177</v>
      </c>
      <c r="H280" s="3" t="s">
        <v>178</v>
      </c>
      <c r="I280" s="3" t="s">
        <v>179</v>
      </c>
      <c r="J280" s="3" t="s">
        <v>180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181</v>
      </c>
      <c r="T280" s="1" t="s">
        <v>181</v>
      </c>
      <c r="U280" s="1" t="s">
        <v>119</v>
      </c>
      <c r="V280" s="3" t="s">
        <v>182</v>
      </c>
      <c r="W280" s="3">
        <v>38.96</v>
      </c>
      <c r="X280" s="3">
        <v>-106.99</v>
      </c>
      <c r="Y280" s="3" t="s">
        <v>141</v>
      </c>
      <c r="Z280" s="1" t="s">
        <v>49</v>
      </c>
      <c r="AA280" s="1" t="s">
        <v>50</v>
      </c>
      <c r="AB280" s="1" t="s">
        <v>185</v>
      </c>
      <c r="AC280" s="1" t="s">
        <v>186</v>
      </c>
      <c r="AD280" s="1" t="s">
        <v>188</v>
      </c>
      <c r="AE280" s="1" t="s">
        <v>188</v>
      </c>
      <c r="AF280" s="1" t="s">
        <v>60</v>
      </c>
      <c r="AG280" s="1" t="s">
        <v>60</v>
      </c>
      <c r="AH280" s="1" t="s">
        <v>183</v>
      </c>
      <c r="AI280" s="1" t="s">
        <v>55</v>
      </c>
      <c r="AJ280" s="1">
        <v>32</v>
      </c>
      <c r="AK280" s="1">
        <v>375</v>
      </c>
      <c r="AL280" s="6" t="s">
        <v>49</v>
      </c>
      <c r="AM280" s="1">
        <v>0.23</v>
      </c>
      <c r="AN280" s="1">
        <v>2.3E-3</v>
      </c>
      <c r="AO280" s="6" t="s">
        <v>49</v>
      </c>
      <c r="AP280" s="6">
        <v>1</v>
      </c>
      <c r="AQ280" s="6" t="s">
        <v>49</v>
      </c>
      <c r="AR280" s="1">
        <v>2.3E-3</v>
      </c>
      <c r="AS280" s="6" t="s">
        <v>49</v>
      </c>
      <c r="AT280" s="5">
        <v>0</v>
      </c>
      <c r="AU280" s="6" t="s">
        <v>49</v>
      </c>
      <c r="AV280" s="29" t="s">
        <v>189</v>
      </c>
    </row>
    <row r="281" spans="1:51" s="6" customFormat="1" ht="14.4" customHeight="1">
      <c r="A281" s="1">
        <v>16</v>
      </c>
      <c r="B281" s="1" t="s">
        <v>38</v>
      </c>
      <c r="C281" s="1" t="s">
        <v>38</v>
      </c>
      <c r="D281" s="3" t="s">
        <v>176</v>
      </c>
      <c r="E281" s="3" t="s">
        <v>40</v>
      </c>
      <c r="F281" s="3">
        <v>1996</v>
      </c>
      <c r="G281" s="3" t="s">
        <v>177</v>
      </c>
      <c r="H281" s="3" t="s">
        <v>178</v>
      </c>
      <c r="I281" s="3" t="s">
        <v>179</v>
      </c>
      <c r="J281" s="3" t="s">
        <v>180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181</v>
      </c>
      <c r="T281" s="1" t="s">
        <v>181</v>
      </c>
      <c r="U281" s="1" t="s">
        <v>119</v>
      </c>
      <c r="V281" s="3" t="s">
        <v>182</v>
      </c>
      <c r="W281" s="3">
        <v>38.96</v>
      </c>
      <c r="X281" s="3">
        <v>-106.99</v>
      </c>
      <c r="Y281" s="3" t="s">
        <v>141</v>
      </c>
      <c r="Z281" s="1" t="s">
        <v>49</v>
      </c>
      <c r="AA281" s="1" t="s">
        <v>49</v>
      </c>
      <c r="AB281" s="3" t="s">
        <v>49</v>
      </c>
      <c r="AC281" s="3" t="s">
        <v>49</v>
      </c>
      <c r="AD281" s="1" t="s">
        <v>90</v>
      </c>
      <c r="AE281" s="1" t="s">
        <v>89</v>
      </c>
      <c r="AF281" s="1" t="s">
        <v>49</v>
      </c>
      <c r="AG281" s="1" t="s">
        <v>49</v>
      </c>
      <c r="AH281" s="1" t="s">
        <v>183</v>
      </c>
      <c r="AI281" s="1" t="s">
        <v>55</v>
      </c>
      <c r="AJ281" s="1" t="s">
        <v>49</v>
      </c>
      <c r="AK281" s="1" t="s">
        <v>49</v>
      </c>
      <c r="AL281" s="6" t="s">
        <v>49</v>
      </c>
      <c r="AM281" s="1" t="s">
        <v>49</v>
      </c>
      <c r="AN281" s="1" t="s">
        <v>49</v>
      </c>
      <c r="AO281" s="6" t="s">
        <v>49</v>
      </c>
      <c r="AP281" s="6">
        <v>1</v>
      </c>
      <c r="AQ281" s="6">
        <v>0.39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0" t="s">
        <v>49</v>
      </c>
    </row>
    <row r="282" spans="1:51" s="6" customFormat="1" ht="14.4" customHeight="1">
      <c r="A282" s="1">
        <v>16</v>
      </c>
      <c r="B282" s="1" t="s">
        <v>38</v>
      </c>
      <c r="C282" s="1" t="s">
        <v>38</v>
      </c>
      <c r="D282" s="3" t="s">
        <v>176</v>
      </c>
      <c r="E282" s="3" t="s">
        <v>40</v>
      </c>
      <c r="F282" s="3">
        <v>1996</v>
      </c>
      <c r="G282" s="3" t="s">
        <v>177</v>
      </c>
      <c r="H282" s="3" t="s">
        <v>178</v>
      </c>
      <c r="I282" s="3" t="s">
        <v>179</v>
      </c>
      <c r="J282" s="3" t="s">
        <v>180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181</v>
      </c>
      <c r="T282" s="1" t="s">
        <v>181</v>
      </c>
      <c r="U282" s="1" t="s">
        <v>119</v>
      </c>
      <c r="V282" s="3" t="s">
        <v>182</v>
      </c>
      <c r="W282" s="3">
        <v>38.96</v>
      </c>
      <c r="X282" s="3">
        <v>-106.99</v>
      </c>
      <c r="Y282" s="3" t="s">
        <v>141</v>
      </c>
      <c r="Z282" s="1" t="s">
        <v>49</v>
      </c>
      <c r="AA282" s="1" t="s">
        <v>49</v>
      </c>
      <c r="AB282" s="3" t="s">
        <v>49</v>
      </c>
      <c r="AC282" s="3" t="s">
        <v>49</v>
      </c>
      <c r="AD282" s="1" t="s">
        <v>90</v>
      </c>
      <c r="AE282" s="1" t="s">
        <v>184</v>
      </c>
      <c r="AF282" s="1" t="s">
        <v>49</v>
      </c>
      <c r="AG282" s="1" t="s">
        <v>49</v>
      </c>
      <c r="AH282" s="1" t="s">
        <v>183</v>
      </c>
      <c r="AI282" s="1" t="s">
        <v>55</v>
      </c>
      <c r="AJ282" s="1" t="s">
        <v>49</v>
      </c>
      <c r="AK282" s="1" t="s">
        <v>49</v>
      </c>
      <c r="AL282" s="1" t="s">
        <v>49</v>
      </c>
      <c r="AM282" s="1" t="s">
        <v>49</v>
      </c>
      <c r="AN282" s="1" t="s">
        <v>49</v>
      </c>
      <c r="AO282" s="1" t="s">
        <v>49</v>
      </c>
      <c r="AP282" s="6">
        <v>1</v>
      </c>
      <c r="AQ282" s="6">
        <v>0.33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0" t="s">
        <v>49</v>
      </c>
    </row>
    <row r="283" spans="1:51" s="6" customFormat="1" ht="14.4" customHeight="1">
      <c r="A283" s="1">
        <v>16</v>
      </c>
      <c r="B283" s="1" t="s">
        <v>38</v>
      </c>
      <c r="C283" s="1" t="s">
        <v>38</v>
      </c>
      <c r="D283" s="3" t="s">
        <v>176</v>
      </c>
      <c r="E283" s="3" t="s">
        <v>40</v>
      </c>
      <c r="F283" s="3">
        <v>1996</v>
      </c>
      <c r="G283" s="3" t="s">
        <v>177</v>
      </c>
      <c r="H283" s="3" t="s">
        <v>178</v>
      </c>
      <c r="I283" s="3" t="s">
        <v>179</v>
      </c>
      <c r="J283" s="3" t="s">
        <v>180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181</v>
      </c>
      <c r="T283" s="1" t="s">
        <v>181</v>
      </c>
      <c r="U283" s="1" t="s">
        <v>119</v>
      </c>
      <c r="V283" s="3" t="s">
        <v>182</v>
      </c>
      <c r="W283" s="3">
        <v>38.96</v>
      </c>
      <c r="X283" s="3">
        <v>-106.99</v>
      </c>
      <c r="Y283" s="3" t="s">
        <v>141</v>
      </c>
      <c r="Z283" s="1" t="s">
        <v>49</v>
      </c>
      <c r="AA283" s="1" t="s">
        <v>49</v>
      </c>
      <c r="AB283" s="3" t="s">
        <v>49</v>
      </c>
      <c r="AC283" s="3" t="s">
        <v>49</v>
      </c>
      <c r="AD283" s="1" t="s">
        <v>90</v>
      </c>
      <c r="AE283" s="1" t="s">
        <v>300</v>
      </c>
      <c r="AF283" s="1" t="s">
        <v>49</v>
      </c>
      <c r="AG283" s="1" t="s">
        <v>49</v>
      </c>
      <c r="AH283" s="1" t="s">
        <v>183</v>
      </c>
      <c r="AI283" s="1" t="s">
        <v>55</v>
      </c>
      <c r="AJ283" s="1" t="s">
        <v>49</v>
      </c>
      <c r="AK283" s="1" t="s">
        <v>49</v>
      </c>
      <c r="AL283" s="1" t="s">
        <v>49</v>
      </c>
      <c r="AM283" s="1" t="s">
        <v>49</v>
      </c>
      <c r="AN283" s="1" t="s">
        <v>49</v>
      </c>
      <c r="AO283" s="1" t="s">
        <v>49</v>
      </c>
      <c r="AP283" s="6">
        <v>1</v>
      </c>
      <c r="AQ283" s="6">
        <v>-0.11</v>
      </c>
      <c r="AR283" s="6" t="s">
        <v>49</v>
      </c>
      <c r="AS283" s="6" t="s">
        <v>49</v>
      </c>
      <c r="AT283" s="6" t="s">
        <v>49</v>
      </c>
      <c r="AU283" s="1" t="s">
        <v>49</v>
      </c>
      <c r="AV283" s="30" t="s">
        <v>49</v>
      </c>
    </row>
    <row r="284" spans="1:51" s="6" customFormat="1" ht="14.4" customHeight="1">
      <c r="A284" s="1">
        <v>16</v>
      </c>
      <c r="B284" s="1" t="s">
        <v>38</v>
      </c>
      <c r="C284" s="1" t="s">
        <v>38</v>
      </c>
      <c r="D284" s="3" t="s">
        <v>176</v>
      </c>
      <c r="E284" s="3" t="s">
        <v>40</v>
      </c>
      <c r="F284" s="3">
        <v>1996</v>
      </c>
      <c r="G284" s="3" t="s">
        <v>177</v>
      </c>
      <c r="H284" s="3" t="s">
        <v>178</v>
      </c>
      <c r="I284" s="3" t="s">
        <v>179</v>
      </c>
      <c r="J284" s="3" t="s">
        <v>180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181</v>
      </c>
      <c r="T284" s="1" t="s">
        <v>181</v>
      </c>
      <c r="U284" s="1" t="s">
        <v>119</v>
      </c>
      <c r="V284" s="3" t="s">
        <v>182</v>
      </c>
      <c r="W284" s="3">
        <v>38.96</v>
      </c>
      <c r="X284" s="3">
        <v>-106.99</v>
      </c>
      <c r="Y284" s="3" t="s">
        <v>141</v>
      </c>
      <c r="Z284" s="1" t="s">
        <v>49</v>
      </c>
      <c r="AA284" s="1" t="s">
        <v>49</v>
      </c>
      <c r="AB284" s="3" t="s">
        <v>49</v>
      </c>
      <c r="AC284" s="3" t="s">
        <v>49</v>
      </c>
      <c r="AD284" s="1" t="s">
        <v>90</v>
      </c>
      <c r="AE284" s="1" t="s">
        <v>187</v>
      </c>
      <c r="AF284" s="1" t="s">
        <v>49</v>
      </c>
      <c r="AG284" s="1" t="s">
        <v>49</v>
      </c>
      <c r="AH284" s="1" t="s">
        <v>183</v>
      </c>
      <c r="AI284" s="1" t="s">
        <v>55</v>
      </c>
      <c r="AJ284" s="1" t="s">
        <v>49</v>
      </c>
      <c r="AK284" s="1" t="s">
        <v>49</v>
      </c>
      <c r="AL284" s="1" t="s">
        <v>49</v>
      </c>
      <c r="AM284" s="1" t="s">
        <v>49</v>
      </c>
      <c r="AN284" s="1" t="s">
        <v>49</v>
      </c>
      <c r="AO284" s="1" t="s">
        <v>49</v>
      </c>
      <c r="AP284" s="6">
        <v>1</v>
      </c>
      <c r="AQ284" s="6">
        <v>0.32</v>
      </c>
      <c r="AR284" s="6" t="s">
        <v>49</v>
      </c>
      <c r="AS284" s="6" t="s">
        <v>49</v>
      </c>
      <c r="AT284" s="6" t="s">
        <v>49</v>
      </c>
      <c r="AU284" s="1" t="s">
        <v>49</v>
      </c>
      <c r="AV284" s="30" t="s">
        <v>49</v>
      </c>
    </row>
    <row r="285" spans="1:51" s="6" customFormat="1" ht="14.4" customHeight="1">
      <c r="A285" s="1">
        <v>16</v>
      </c>
      <c r="B285" s="1" t="s">
        <v>38</v>
      </c>
      <c r="C285" s="1" t="s">
        <v>38</v>
      </c>
      <c r="D285" s="3" t="s">
        <v>176</v>
      </c>
      <c r="E285" s="3" t="s">
        <v>40</v>
      </c>
      <c r="F285" s="3">
        <v>1996</v>
      </c>
      <c r="G285" s="3" t="s">
        <v>177</v>
      </c>
      <c r="H285" s="3" t="s">
        <v>178</v>
      </c>
      <c r="I285" s="3" t="s">
        <v>179</v>
      </c>
      <c r="J285" s="3" t="s">
        <v>180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181</v>
      </c>
      <c r="T285" s="1" t="s">
        <v>181</v>
      </c>
      <c r="U285" s="1" t="s">
        <v>119</v>
      </c>
      <c r="V285" s="3" t="s">
        <v>182</v>
      </c>
      <c r="W285" s="3">
        <v>38.96</v>
      </c>
      <c r="X285" s="3">
        <v>-106.99</v>
      </c>
      <c r="Y285" s="3" t="s">
        <v>141</v>
      </c>
      <c r="Z285" s="1" t="s">
        <v>49</v>
      </c>
      <c r="AA285" s="1" t="s">
        <v>49</v>
      </c>
      <c r="AB285" s="3" t="s">
        <v>49</v>
      </c>
      <c r="AC285" s="3" t="s">
        <v>49</v>
      </c>
      <c r="AD285" s="1" t="s">
        <v>90</v>
      </c>
      <c r="AE285" s="1" t="s">
        <v>188</v>
      </c>
      <c r="AF285" s="1" t="s">
        <v>49</v>
      </c>
      <c r="AG285" s="1" t="s">
        <v>49</v>
      </c>
      <c r="AH285" s="1" t="s">
        <v>183</v>
      </c>
      <c r="AI285" s="1" t="s">
        <v>55</v>
      </c>
      <c r="AJ285" s="1" t="s">
        <v>49</v>
      </c>
      <c r="AK285" s="1" t="s">
        <v>49</v>
      </c>
      <c r="AL285" s="1" t="s">
        <v>49</v>
      </c>
      <c r="AM285" s="1" t="s">
        <v>49</v>
      </c>
      <c r="AN285" s="1" t="s">
        <v>49</v>
      </c>
      <c r="AO285" s="1" t="s">
        <v>49</v>
      </c>
      <c r="AP285" s="6">
        <v>1</v>
      </c>
      <c r="AQ285" s="6">
        <v>-0.3</v>
      </c>
      <c r="AR285" s="6" t="s">
        <v>49</v>
      </c>
      <c r="AS285" s="6" t="s">
        <v>49</v>
      </c>
      <c r="AT285" s="6" t="s">
        <v>49</v>
      </c>
      <c r="AU285" s="1" t="s">
        <v>49</v>
      </c>
      <c r="AV285" s="30" t="s">
        <v>49</v>
      </c>
    </row>
    <row r="286" spans="1:51" s="6" customFormat="1" ht="14.4" customHeight="1">
      <c r="A286" s="1">
        <v>16</v>
      </c>
      <c r="B286" s="1" t="s">
        <v>38</v>
      </c>
      <c r="C286" s="1" t="s">
        <v>38</v>
      </c>
      <c r="D286" s="3" t="s">
        <v>176</v>
      </c>
      <c r="E286" s="3" t="s">
        <v>40</v>
      </c>
      <c r="F286" s="3">
        <v>1996</v>
      </c>
      <c r="G286" s="3" t="s">
        <v>177</v>
      </c>
      <c r="H286" s="3" t="s">
        <v>178</v>
      </c>
      <c r="I286" s="3" t="s">
        <v>179</v>
      </c>
      <c r="J286" s="3" t="s">
        <v>180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181</v>
      </c>
      <c r="T286" s="1" t="s">
        <v>181</v>
      </c>
      <c r="U286" s="1" t="s">
        <v>119</v>
      </c>
      <c r="V286" s="3" t="s">
        <v>182</v>
      </c>
      <c r="W286" s="3">
        <v>38.96</v>
      </c>
      <c r="X286" s="3">
        <v>-106.99</v>
      </c>
      <c r="Y286" s="3" t="s">
        <v>141</v>
      </c>
      <c r="Z286" s="1" t="s">
        <v>49</v>
      </c>
      <c r="AA286" s="1" t="s">
        <v>49</v>
      </c>
      <c r="AB286" s="3" t="s">
        <v>49</v>
      </c>
      <c r="AC286" s="3" t="s">
        <v>49</v>
      </c>
      <c r="AD286" s="1" t="s">
        <v>89</v>
      </c>
      <c r="AE286" s="1" t="s">
        <v>184</v>
      </c>
      <c r="AF286" s="1" t="s">
        <v>49</v>
      </c>
      <c r="AG286" s="1" t="s">
        <v>49</v>
      </c>
      <c r="AH286" s="1" t="s">
        <v>183</v>
      </c>
      <c r="AI286" s="1" t="s">
        <v>55</v>
      </c>
      <c r="AJ286" s="1" t="s">
        <v>49</v>
      </c>
      <c r="AK286" s="1" t="s">
        <v>49</v>
      </c>
      <c r="AL286" s="1" t="s">
        <v>49</v>
      </c>
      <c r="AM286" s="1" t="s">
        <v>49</v>
      </c>
      <c r="AN286" s="1" t="s">
        <v>49</v>
      </c>
      <c r="AO286" s="1" t="s">
        <v>49</v>
      </c>
      <c r="AP286" s="6">
        <v>1</v>
      </c>
      <c r="AQ286" s="6">
        <v>0.31</v>
      </c>
      <c r="AR286" s="6" t="s">
        <v>49</v>
      </c>
      <c r="AS286" s="6" t="s">
        <v>49</v>
      </c>
      <c r="AT286" s="6" t="s">
        <v>49</v>
      </c>
      <c r="AU286" s="1" t="s">
        <v>49</v>
      </c>
      <c r="AV286" s="30" t="s">
        <v>49</v>
      </c>
    </row>
    <row r="287" spans="1:51" s="6" customFormat="1" ht="14.4" customHeight="1">
      <c r="A287" s="1">
        <v>16</v>
      </c>
      <c r="B287" s="1" t="s">
        <v>38</v>
      </c>
      <c r="C287" s="1" t="s">
        <v>38</v>
      </c>
      <c r="D287" s="3" t="s">
        <v>176</v>
      </c>
      <c r="E287" s="3" t="s">
        <v>40</v>
      </c>
      <c r="F287" s="3">
        <v>1996</v>
      </c>
      <c r="G287" s="3" t="s">
        <v>177</v>
      </c>
      <c r="H287" s="3" t="s">
        <v>178</v>
      </c>
      <c r="I287" s="3" t="s">
        <v>179</v>
      </c>
      <c r="J287" s="3" t="s">
        <v>180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181</v>
      </c>
      <c r="T287" s="1" t="s">
        <v>181</v>
      </c>
      <c r="U287" s="1" t="s">
        <v>119</v>
      </c>
      <c r="V287" s="3" t="s">
        <v>182</v>
      </c>
      <c r="W287" s="3">
        <v>38.96</v>
      </c>
      <c r="X287" s="3">
        <v>-106.99</v>
      </c>
      <c r="Y287" s="3" t="s">
        <v>141</v>
      </c>
      <c r="Z287" s="1" t="s">
        <v>49</v>
      </c>
      <c r="AA287" s="1" t="s">
        <v>49</v>
      </c>
      <c r="AB287" s="3" t="s">
        <v>49</v>
      </c>
      <c r="AC287" s="3" t="s">
        <v>49</v>
      </c>
      <c r="AD287" s="1" t="s">
        <v>89</v>
      </c>
      <c r="AE287" s="1" t="s">
        <v>300</v>
      </c>
      <c r="AF287" s="1" t="s">
        <v>49</v>
      </c>
      <c r="AG287" s="1" t="s">
        <v>49</v>
      </c>
      <c r="AH287" s="1" t="s">
        <v>183</v>
      </c>
      <c r="AI287" s="1" t="s">
        <v>55</v>
      </c>
      <c r="AJ287" s="1" t="s">
        <v>49</v>
      </c>
      <c r="AK287" s="1" t="s">
        <v>49</v>
      </c>
      <c r="AL287" s="1" t="s">
        <v>49</v>
      </c>
      <c r="AM287" s="1" t="s">
        <v>49</v>
      </c>
      <c r="AN287" s="1" t="s">
        <v>49</v>
      </c>
      <c r="AO287" s="1" t="s">
        <v>49</v>
      </c>
      <c r="AP287" s="6">
        <v>1</v>
      </c>
      <c r="AQ287" s="6">
        <v>0.04</v>
      </c>
      <c r="AR287" s="6" t="s">
        <v>49</v>
      </c>
      <c r="AS287" s="6" t="s">
        <v>49</v>
      </c>
      <c r="AT287" s="6" t="s">
        <v>49</v>
      </c>
      <c r="AU287" s="1" t="s">
        <v>49</v>
      </c>
      <c r="AV287" s="30" t="s">
        <v>49</v>
      </c>
    </row>
    <row r="288" spans="1:51" s="6" customFormat="1" ht="14.4" customHeight="1">
      <c r="A288" s="1">
        <v>16</v>
      </c>
      <c r="B288" s="1" t="s">
        <v>38</v>
      </c>
      <c r="C288" s="1" t="s">
        <v>38</v>
      </c>
      <c r="D288" s="3" t="s">
        <v>176</v>
      </c>
      <c r="E288" s="3" t="s">
        <v>40</v>
      </c>
      <c r="F288" s="3">
        <v>1996</v>
      </c>
      <c r="G288" s="3" t="s">
        <v>177</v>
      </c>
      <c r="H288" s="3" t="s">
        <v>178</v>
      </c>
      <c r="I288" s="3" t="s">
        <v>179</v>
      </c>
      <c r="J288" s="3" t="s">
        <v>180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181</v>
      </c>
      <c r="T288" s="1" t="s">
        <v>181</v>
      </c>
      <c r="U288" s="1" t="s">
        <v>119</v>
      </c>
      <c r="V288" s="3" t="s">
        <v>182</v>
      </c>
      <c r="W288" s="3">
        <v>38.96</v>
      </c>
      <c r="X288" s="3">
        <v>-106.99</v>
      </c>
      <c r="Y288" s="3" t="s">
        <v>141</v>
      </c>
      <c r="Z288" s="1" t="s">
        <v>49</v>
      </c>
      <c r="AA288" s="1" t="s">
        <v>49</v>
      </c>
      <c r="AB288" s="3" t="s">
        <v>49</v>
      </c>
      <c r="AC288" s="3" t="s">
        <v>49</v>
      </c>
      <c r="AD288" s="1" t="s">
        <v>89</v>
      </c>
      <c r="AE288" s="1" t="s">
        <v>187</v>
      </c>
      <c r="AF288" s="1" t="s">
        <v>49</v>
      </c>
      <c r="AG288" s="1" t="s">
        <v>49</v>
      </c>
      <c r="AH288" s="1" t="s">
        <v>183</v>
      </c>
      <c r="AI288" s="1" t="s">
        <v>55</v>
      </c>
      <c r="AJ288" s="1" t="s">
        <v>49</v>
      </c>
      <c r="AK288" s="1" t="s">
        <v>49</v>
      </c>
      <c r="AL288" s="1" t="s">
        <v>49</v>
      </c>
      <c r="AM288" s="1" t="s">
        <v>49</v>
      </c>
      <c r="AN288" s="1" t="s">
        <v>49</v>
      </c>
      <c r="AO288" s="1" t="s">
        <v>49</v>
      </c>
      <c r="AP288" s="6">
        <v>1</v>
      </c>
      <c r="AQ288" s="6">
        <v>0.25</v>
      </c>
      <c r="AR288" s="6" t="s">
        <v>49</v>
      </c>
      <c r="AS288" s="6" t="s">
        <v>49</v>
      </c>
      <c r="AT288" s="6" t="s">
        <v>49</v>
      </c>
      <c r="AU288" s="1" t="s">
        <v>49</v>
      </c>
      <c r="AV288" s="30" t="s">
        <v>49</v>
      </c>
    </row>
    <row r="289" spans="1:49" s="6" customFormat="1" ht="14.4" customHeight="1">
      <c r="A289" s="1">
        <v>16</v>
      </c>
      <c r="B289" s="1" t="s">
        <v>38</v>
      </c>
      <c r="C289" s="1" t="s">
        <v>38</v>
      </c>
      <c r="D289" s="3" t="s">
        <v>176</v>
      </c>
      <c r="E289" s="3" t="s">
        <v>40</v>
      </c>
      <c r="F289" s="3">
        <v>1996</v>
      </c>
      <c r="G289" s="3" t="s">
        <v>177</v>
      </c>
      <c r="H289" s="3" t="s">
        <v>178</v>
      </c>
      <c r="I289" s="3" t="s">
        <v>179</v>
      </c>
      <c r="J289" s="3" t="s">
        <v>180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181</v>
      </c>
      <c r="T289" s="1" t="s">
        <v>181</v>
      </c>
      <c r="U289" s="1" t="s">
        <v>119</v>
      </c>
      <c r="V289" s="3" t="s">
        <v>182</v>
      </c>
      <c r="W289" s="3">
        <v>38.96</v>
      </c>
      <c r="X289" s="3">
        <v>-106.99</v>
      </c>
      <c r="Y289" s="3" t="s">
        <v>141</v>
      </c>
      <c r="Z289" s="1" t="s">
        <v>49</v>
      </c>
      <c r="AA289" s="1" t="s">
        <v>49</v>
      </c>
      <c r="AB289" s="3" t="s">
        <v>49</v>
      </c>
      <c r="AC289" s="3" t="s">
        <v>49</v>
      </c>
      <c r="AD289" s="1" t="s">
        <v>89</v>
      </c>
      <c r="AE289" s="1" t="s">
        <v>188</v>
      </c>
      <c r="AF289" s="1" t="s">
        <v>49</v>
      </c>
      <c r="AG289" s="1" t="s">
        <v>49</v>
      </c>
      <c r="AH289" s="1" t="s">
        <v>183</v>
      </c>
      <c r="AI289" s="1" t="s">
        <v>55</v>
      </c>
      <c r="AJ289" s="1" t="s">
        <v>49</v>
      </c>
      <c r="AK289" s="1" t="s">
        <v>49</v>
      </c>
      <c r="AL289" s="1" t="s">
        <v>49</v>
      </c>
      <c r="AM289" s="1" t="s">
        <v>49</v>
      </c>
      <c r="AN289" s="1" t="s">
        <v>49</v>
      </c>
      <c r="AO289" s="1" t="s">
        <v>49</v>
      </c>
      <c r="AP289" s="6">
        <v>1</v>
      </c>
      <c r="AQ289" s="6">
        <v>-0.25</v>
      </c>
      <c r="AR289" s="6" t="s">
        <v>49</v>
      </c>
      <c r="AS289" s="6" t="s">
        <v>49</v>
      </c>
      <c r="AT289" s="6" t="s">
        <v>49</v>
      </c>
      <c r="AU289" s="1" t="s">
        <v>49</v>
      </c>
      <c r="AV289" s="30" t="s">
        <v>49</v>
      </c>
    </row>
    <row r="290" spans="1:49" s="6" customFormat="1" ht="14.4" customHeight="1">
      <c r="A290" s="1">
        <v>16</v>
      </c>
      <c r="B290" s="1" t="s">
        <v>38</v>
      </c>
      <c r="C290" s="1" t="s">
        <v>38</v>
      </c>
      <c r="D290" s="3" t="s">
        <v>176</v>
      </c>
      <c r="E290" s="3" t="s">
        <v>40</v>
      </c>
      <c r="F290" s="3">
        <v>1996</v>
      </c>
      <c r="G290" s="3" t="s">
        <v>177</v>
      </c>
      <c r="H290" s="3" t="s">
        <v>178</v>
      </c>
      <c r="I290" s="3" t="s">
        <v>179</v>
      </c>
      <c r="J290" s="3" t="s">
        <v>180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181</v>
      </c>
      <c r="T290" s="1" t="s">
        <v>181</v>
      </c>
      <c r="U290" s="1" t="s">
        <v>119</v>
      </c>
      <c r="V290" s="3" t="s">
        <v>182</v>
      </c>
      <c r="W290" s="3">
        <v>38.96</v>
      </c>
      <c r="X290" s="3">
        <v>-106.99</v>
      </c>
      <c r="Y290" s="3" t="s">
        <v>141</v>
      </c>
      <c r="Z290" s="1" t="s">
        <v>49</v>
      </c>
      <c r="AA290" s="1" t="s">
        <v>49</v>
      </c>
      <c r="AB290" s="3" t="s">
        <v>49</v>
      </c>
      <c r="AC290" s="3" t="s">
        <v>49</v>
      </c>
      <c r="AD290" s="1" t="s">
        <v>184</v>
      </c>
      <c r="AE290" s="1" t="s">
        <v>300</v>
      </c>
      <c r="AF290" s="1" t="s">
        <v>49</v>
      </c>
      <c r="AG290" s="1" t="s">
        <v>49</v>
      </c>
      <c r="AH290" s="1" t="s">
        <v>183</v>
      </c>
      <c r="AI290" s="1" t="s">
        <v>55</v>
      </c>
      <c r="AJ290" s="1" t="s">
        <v>49</v>
      </c>
      <c r="AK290" s="1" t="s">
        <v>49</v>
      </c>
      <c r="AL290" s="1" t="s">
        <v>49</v>
      </c>
      <c r="AM290" s="1" t="s">
        <v>49</v>
      </c>
      <c r="AN290" s="1" t="s">
        <v>49</v>
      </c>
      <c r="AO290" s="1" t="s">
        <v>49</v>
      </c>
      <c r="AP290" s="6">
        <v>1</v>
      </c>
      <c r="AQ290" s="6">
        <v>-0.05</v>
      </c>
      <c r="AR290" s="6" t="s">
        <v>49</v>
      </c>
      <c r="AS290" s="6" t="s">
        <v>49</v>
      </c>
      <c r="AT290" s="6" t="s">
        <v>49</v>
      </c>
      <c r="AU290" s="1" t="s">
        <v>49</v>
      </c>
      <c r="AV290" s="30" t="s">
        <v>49</v>
      </c>
    </row>
    <row r="291" spans="1:49" s="6" customFormat="1" ht="14.4" customHeight="1">
      <c r="A291" s="1">
        <v>16</v>
      </c>
      <c r="B291" s="1" t="s">
        <v>38</v>
      </c>
      <c r="C291" s="1" t="s">
        <v>38</v>
      </c>
      <c r="D291" s="3" t="s">
        <v>176</v>
      </c>
      <c r="E291" s="3" t="s">
        <v>40</v>
      </c>
      <c r="F291" s="3">
        <v>1996</v>
      </c>
      <c r="G291" s="3" t="s">
        <v>177</v>
      </c>
      <c r="H291" s="3" t="s">
        <v>178</v>
      </c>
      <c r="I291" s="3" t="s">
        <v>179</v>
      </c>
      <c r="J291" s="3" t="s">
        <v>180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181</v>
      </c>
      <c r="T291" s="1" t="s">
        <v>181</v>
      </c>
      <c r="U291" s="1" t="s">
        <v>119</v>
      </c>
      <c r="V291" s="3" t="s">
        <v>182</v>
      </c>
      <c r="W291" s="3">
        <v>38.96</v>
      </c>
      <c r="X291" s="3">
        <v>-106.99</v>
      </c>
      <c r="Y291" s="3" t="s">
        <v>141</v>
      </c>
      <c r="Z291" s="1" t="s">
        <v>49</v>
      </c>
      <c r="AA291" s="1" t="s">
        <v>49</v>
      </c>
      <c r="AB291" s="3" t="s">
        <v>49</v>
      </c>
      <c r="AC291" s="3" t="s">
        <v>49</v>
      </c>
      <c r="AD291" s="1" t="s">
        <v>184</v>
      </c>
      <c r="AE291" s="1" t="s">
        <v>187</v>
      </c>
      <c r="AF291" s="1" t="s">
        <v>49</v>
      </c>
      <c r="AG291" s="1" t="s">
        <v>49</v>
      </c>
      <c r="AH291" s="1" t="s">
        <v>183</v>
      </c>
      <c r="AI291" s="1" t="s">
        <v>55</v>
      </c>
      <c r="AJ291" s="1" t="s">
        <v>49</v>
      </c>
      <c r="AK291" s="1" t="s">
        <v>49</v>
      </c>
      <c r="AL291" s="1" t="s">
        <v>49</v>
      </c>
      <c r="AM291" s="1" t="s">
        <v>49</v>
      </c>
      <c r="AN291" s="1" t="s">
        <v>49</v>
      </c>
      <c r="AO291" s="1" t="s">
        <v>49</v>
      </c>
      <c r="AP291" s="6">
        <v>1</v>
      </c>
      <c r="AQ291" s="6">
        <v>0.28999999999999998</v>
      </c>
      <c r="AR291" s="6" t="s">
        <v>49</v>
      </c>
      <c r="AS291" s="6" t="s">
        <v>49</v>
      </c>
      <c r="AT291" s="6" t="s">
        <v>49</v>
      </c>
      <c r="AU291" s="1" t="s">
        <v>49</v>
      </c>
      <c r="AV291" s="30" t="s">
        <v>49</v>
      </c>
    </row>
    <row r="292" spans="1:49" s="6" customFormat="1" ht="14.4" customHeight="1">
      <c r="A292" s="1">
        <v>16</v>
      </c>
      <c r="B292" s="1" t="s">
        <v>38</v>
      </c>
      <c r="C292" s="1" t="s">
        <v>38</v>
      </c>
      <c r="D292" s="3" t="s">
        <v>176</v>
      </c>
      <c r="E292" s="3" t="s">
        <v>40</v>
      </c>
      <c r="F292" s="3">
        <v>1996</v>
      </c>
      <c r="G292" s="3" t="s">
        <v>177</v>
      </c>
      <c r="H292" s="3" t="s">
        <v>178</v>
      </c>
      <c r="I292" s="3" t="s">
        <v>179</v>
      </c>
      <c r="J292" s="3" t="s">
        <v>180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181</v>
      </c>
      <c r="T292" s="1" t="s">
        <v>181</v>
      </c>
      <c r="U292" s="1" t="s">
        <v>119</v>
      </c>
      <c r="V292" s="3" t="s">
        <v>182</v>
      </c>
      <c r="W292" s="3">
        <v>38.96</v>
      </c>
      <c r="X292" s="3">
        <v>-106.99</v>
      </c>
      <c r="Y292" s="3" t="s">
        <v>141</v>
      </c>
      <c r="Z292" s="1" t="s">
        <v>49</v>
      </c>
      <c r="AA292" s="1" t="s">
        <v>49</v>
      </c>
      <c r="AB292" s="3" t="s">
        <v>49</v>
      </c>
      <c r="AC292" s="3" t="s">
        <v>49</v>
      </c>
      <c r="AD292" s="1" t="s">
        <v>184</v>
      </c>
      <c r="AE292" s="1" t="s">
        <v>188</v>
      </c>
      <c r="AF292" s="1" t="s">
        <v>49</v>
      </c>
      <c r="AG292" s="1" t="s">
        <v>49</v>
      </c>
      <c r="AH292" s="1" t="s">
        <v>183</v>
      </c>
      <c r="AI292" s="1" t="s">
        <v>55</v>
      </c>
      <c r="AJ292" s="1" t="s">
        <v>49</v>
      </c>
      <c r="AK292" s="1" t="s">
        <v>49</v>
      </c>
      <c r="AL292" s="1" t="s">
        <v>49</v>
      </c>
      <c r="AM292" s="1" t="s">
        <v>49</v>
      </c>
      <c r="AN292" s="1" t="s">
        <v>49</v>
      </c>
      <c r="AO292" s="1" t="s">
        <v>49</v>
      </c>
      <c r="AP292" s="6">
        <v>1</v>
      </c>
      <c r="AQ292" s="6">
        <v>-0.24</v>
      </c>
      <c r="AR292" s="6" t="s">
        <v>49</v>
      </c>
      <c r="AS292" s="6" t="s">
        <v>49</v>
      </c>
      <c r="AT292" s="6" t="s">
        <v>49</v>
      </c>
      <c r="AU292" s="1" t="s">
        <v>49</v>
      </c>
      <c r="AV292" s="30" t="s">
        <v>49</v>
      </c>
    </row>
    <row r="293" spans="1:49" s="6" customFormat="1" ht="14.4" customHeight="1">
      <c r="A293" s="1">
        <v>16</v>
      </c>
      <c r="B293" s="1" t="s">
        <v>38</v>
      </c>
      <c r="C293" s="1" t="s">
        <v>38</v>
      </c>
      <c r="D293" s="3" t="s">
        <v>176</v>
      </c>
      <c r="E293" s="3" t="s">
        <v>40</v>
      </c>
      <c r="F293" s="3">
        <v>1996</v>
      </c>
      <c r="G293" s="3" t="s">
        <v>177</v>
      </c>
      <c r="H293" s="3" t="s">
        <v>178</v>
      </c>
      <c r="I293" s="3" t="s">
        <v>179</v>
      </c>
      <c r="J293" s="3" t="s">
        <v>180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181</v>
      </c>
      <c r="T293" s="1" t="s">
        <v>181</v>
      </c>
      <c r="U293" s="1" t="s">
        <v>119</v>
      </c>
      <c r="V293" s="3" t="s">
        <v>182</v>
      </c>
      <c r="W293" s="3">
        <v>38.96</v>
      </c>
      <c r="X293" s="3">
        <v>-106.99</v>
      </c>
      <c r="Y293" s="3" t="s">
        <v>141</v>
      </c>
      <c r="Z293" s="1" t="s">
        <v>49</v>
      </c>
      <c r="AA293" s="1" t="s">
        <v>49</v>
      </c>
      <c r="AB293" s="3" t="s">
        <v>49</v>
      </c>
      <c r="AC293" s="3" t="s">
        <v>49</v>
      </c>
      <c r="AD293" s="1" t="s">
        <v>300</v>
      </c>
      <c r="AE293" s="1" t="s">
        <v>187</v>
      </c>
      <c r="AF293" s="1" t="s">
        <v>49</v>
      </c>
      <c r="AG293" s="1" t="s">
        <v>49</v>
      </c>
      <c r="AH293" s="1" t="s">
        <v>183</v>
      </c>
      <c r="AI293" s="1" t="s">
        <v>55</v>
      </c>
      <c r="AJ293" s="1" t="s">
        <v>49</v>
      </c>
      <c r="AK293" s="1" t="s">
        <v>49</v>
      </c>
      <c r="AL293" s="1" t="s">
        <v>49</v>
      </c>
      <c r="AM293" s="1" t="s">
        <v>49</v>
      </c>
      <c r="AN293" s="1" t="s">
        <v>49</v>
      </c>
      <c r="AO293" s="1" t="s">
        <v>49</v>
      </c>
      <c r="AP293" s="6">
        <v>1</v>
      </c>
      <c r="AQ293" s="6">
        <v>0.31</v>
      </c>
      <c r="AR293" s="6" t="s">
        <v>49</v>
      </c>
      <c r="AS293" s="6" t="s">
        <v>49</v>
      </c>
      <c r="AT293" s="6" t="s">
        <v>49</v>
      </c>
      <c r="AU293" s="1" t="s">
        <v>49</v>
      </c>
      <c r="AV293" s="30" t="s">
        <v>49</v>
      </c>
    </row>
    <row r="294" spans="1:49" s="6" customFormat="1" ht="14.4" customHeight="1">
      <c r="A294" s="1">
        <v>16</v>
      </c>
      <c r="B294" s="1" t="s">
        <v>38</v>
      </c>
      <c r="C294" s="1" t="s">
        <v>38</v>
      </c>
      <c r="D294" s="3" t="s">
        <v>176</v>
      </c>
      <c r="E294" s="3" t="s">
        <v>40</v>
      </c>
      <c r="F294" s="3">
        <v>1996</v>
      </c>
      <c r="G294" s="3" t="s">
        <v>177</v>
      </c>
      <c r="H294" s="3" t="s">
        <v>178</v>
      </c>
      <c r="I294" s="3" t="s">
        <v>179</v>
      </c>
      <c r="J294" s="3" t="s">
        <v>180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181</v>
      </c>
      <c r="T294" s="1" t="s">
        <v>181</v>
      </c>
      <c r="U294" s="1" t="s">
        <v>119</v>
      </c>
      <c r="V294" s="3" t="s">
        <v>182</v>
      </c>
      <c r="W294" s="3">
        <v>38.96</v>
      </c>
      <c r="X294" s="3">
        <v>-106.99</v>
      </c>
      <c r="Y294" s="3" t="s">
        <v>141</v>
      </c>
      <c r="Z294" s="1" t="s">
        <v>49</v>
      </c>
      <c r="AA294" s="1" t="s">
        <v>49</v>
      </c>
      <c r="AB294" s="3" t="s">
        <v>49</v>
      </c>
      <c r="AC294" s="3" t="s">
        <v>49</v>
      </c>
      <c r="AD294" s="1" t="s">
        <v>300</v>
      </c>
      <c r="AE294" s="1" t="s">
        <v>188</v>
      </c>
      <c r="AF294" s="1" t="s">
        <v>49</v>
      </c>
      <c r="AG294" s="1" t="s">
        <v>49</v>
      </c>
      <c r="AH294" s="1" t="s">
        <v>183</v>
      </c>
      <c r="AI294" s="1" t="s">
        <v>55</v>
      </c>
      <c r="AJ294" s="1" t="s">
        <v>49</v>
      </c>
      <c r="AK294" s="1" t="s">
        <v>49</v>
      </c>
      <c r="AL294" s="1" t="s">
        <v>49</v>
      </c>
      <c r="AM294" s="1" t="s">
        <v>49</v>
      </c>
      <c r="AN294" s="1" t="s">
        <v>49</v>
      </c>
      <c r="AO294" s="1" t="s">
        <v>49</v>
      </c>
      <c r="AP294" s="6">
        <v>1</v>
      </c>
      <c r="AQ294" s="6">
        <v>-0.24</v>
      </c>
      <c r="AR294" s="6" t="s">
        <v>49</v>
      </c>
      <c r="AS294" s="6" t="s">
        <v>49</v>
      </c>
      <c r="AT294" s="6" t="s">
        <v>49</v>
      </c>
      <c r="AU294" s="1" t="s">
        <v>49</v>
      </c>
      <c r="AV294" s="30" t="s">
        <v>49</v>
      </c>
    </row>
    <row r="295" spans="1:49" s="6" customFormat="1" ht="14.4" customHeight="1">
      <c r="A295" s="1">
        <v>16</v>
      </c>
      <c r="B295" s="1" t="s">
        <v>38</v>
      </c>
      <c r="C295" s="1" t="s">
        <v>38</v>
      </c>
      <c r="D295" s="3" t="s">
        <v>176</v>
      </c>
      <c r="E295" s="3" t="s">
        <v>40</v>
      </c>
      <c r="F295" s="3">
        <v>1996</v>
      </c>
      <c r="G295" s="3" t="s">
        <v>177</v>
      </c>
      <c r="H295" s="3" t="s">
        <v>178</v>
      </c>
      <c r="I295" s="3" t="s">
        <v>179</v>
      </c>
      <c r="J295" s="3" t="s">
        <v>180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181</v>
      </c>
      <c r="T295" s="1" t="s">
        <v>181</v>
      </c>
      <c r="U295" s="1" t="s">
        <v>119</v>
      </c>
      <c r="V295" s="3" t="s">
        <v>182</v>
      </c>
      <c r="W295" s="3">
        <v>38.96</v>
      </c>
      <c r="X295" s="3">
        <v>-106.99</v>
      </c>
      <c r="Y295" s="3" t="s">
        <v>141</v>
      </c>
      <c r="Z295" s="1" t="s">
        <v>49</v>
      </c>
      <c r="AA295" s="1" t="s">
        <v>49</v>
      </c>
      <c r="AB295" s="3" t="s">
        <v>49</v>
      </c>
      <c r="AC295" s="3" t="s">
        <v>49</v>
      </c>
      <c r="AD295" s="1" t="s">
        <v>187</v>
      </c>
      <c r="AE295" s="1" t="s">
        <v>188</v>
      </c>
      <c r="AF295" s="1" t="s">
        <v>49</v>
      </c>
      <c r="AG295" s="1" t="s">
        <v>49</v>
      </c>
      <c r="AH295" s="1" t="s">
        <v>183</v>
      </c>
      <c r="AI295" s="1" t="s">
        <v>55</v>
      </c>
      <c r="AJ295" s="1" t="s">
        <v>49</v>
      </c>
      <c r="AK295" s="1" t="s">
        <v>49</v>
      </c>
      <c r="AL295" s="1" t="s">
        <v>49</v>
      </c>
      <c r="AM295" s="1" t="s">
        <v>49</v>
      </c>
      <c r="AN295" s="1" t="s">
        <v>49</v>
      </c>
      <c r="AO295" s="1" t="s">
        <v>49</v>
      </c>
      <c r="AP295" s="6">
        <v>1</v>
      </c>
      <c r="AQ295" s="6">
        <v>-0.6</v>
      </c>
      <c r="AR295" s="6" t="s">
        <v>49</v>
      </c>
      <c r="AS295" s="6" t="s">
        <v>49</v>
      </c>
      <c r="AT295" s="6" t="s">
        <v>49</v>
      </c>
      <c r="AU295" s="1" t="s">
        <v>49</v>
      </c>
      <c r="AV295" s="30" t="s">
        <v>49</v>
      </c>
    </row>
    <row r="296" spans="1:49" s="6" customFormat="1" ht="14.4" customHeight="1">
      <c r="A296" s="1">
        <v>20</v>
      </c>
      <c r="B296" s="1" t="s">
        <v>38</v>
      </c>
      <c r="C296" s="1" t="s">
        <v>38</v>
      </c>
      <c r="D296" s="3" t="s">
        <v>549</v>
      </c>
      <c r="E296" s="1" t="s">
        <v>190</v>
      </c>
      <c r="F296" s="1">
        <v>1995</v>
      </c>
      <c r="G296" s="1" t="s">
        <v>162</v>
      </c>
      <c r="H296" s="3" t="s">
        <v>191</v>
      </c>
      <c r="I296" s="3" t="s">
        <v>192</v>
      </c>
      <c r="J296" s="1" t="s">
        <v>193</v>
      </c>
      <c r="K296" s="1" t="s">
        <v>45</v>
      </c>
      <c r="L296" s="3" t="s">
        <v>46</v>
      </c>
      <c r="M296" s="1" t="s">
        <v>12</v>
      </c>
      <c r="N296" s="1" t="s">
        <v>80</v>
      </c>
      <c r="O296" s="1">
        <v>1.4999999999999999E-2</v>
      </c>
      <c r="P296" s="1" t="s">
        <v>49</v>
      </c>
      <c r="Q296" s="1">
        <v>1.4999999999999999E-2</v>
      </c>
      <c r="R296" s="1">
        <v>0.5</v>
      </c>
      <c r="S296" s="1" t="s">
        <v>49</v>
      </c>
      <c r="T296" s="1" t="s">
        <v>49</v>
      </c>
      <c r="U296" s="1" t="s">
        <v>194</v>
      </c>
      <c r="V296" s="3" t="s">
        <v>195</v>
      </c>
      <c r="W296" s="3">
        <v>34.4</v>
      </c>
      <c r="X296" s="3">
        <v>-119.54</v>
      </c>
      <c r="Y296" s="1" t="s">
        <v>48</v>
      </c>
      <c r="Z296" s="1" t="s">
        <v>49</v>
      </c>
      <c r="AA296" s="1" t="s">
        <v>50</v>
      </c>
      <c r="AB296" s="1" t="s">
        <v>201</v>
      </c>
      <c r="AC296" s="1" t="s">
        <v>202</v>
      </c>
      <c r="AD296" s="1" t="s">
        <v>203</v>
      </c>
      <c r="AE296" s="1" t="s">
        <v>203</v>
      </c>
      <c r="AF296" s="1" t="s">
        <v>53</v>
      </c>
      <c r="AG296" s="1" t="s">
        <v>53</v>
      </c>
      <c r="AH296" s="1" t="s">
        <v>199</v>
      </c>
      <c r="AI296" s="1" t="s">
        <v>200</v>
      </c>
      <c r="AJ296" s="1">
        <v>15</v>
      </c>
      <c r="AK296" s="1">
        <v>60</v>
      </c>
      <c r="AL296" s="1" t="s">
        <v>49</v>
      </c>
      <c r="AM296" s="3">
        <v>105.9</v>
      </c>
      <c r="AN296" s="3">
        <f>14.23^2</f>
        <v>202.49290000000002</v>
      </c>
      <c r="AO296" s="1" t="s">
        <v>49</v>
      </c>
      <c r="AP296" s="6">
        <v>1</v>
      </c>
      <c r="AQ296" s="6" t="s">
        <v>49</v>
      </c>
      <c r="AR296" s="3">
        <f>14.23^2</f>
        <v>202.49290000000002</v>
      </c>
      <c r="AS296" s="6" t="s">
        <v>49</v>
      </c>
      <c r="AT296" s="6" t="s">
        <v>49</v>
      </c>
      <c r="AU296" s="1" t="s">
        <v>49</v>
      </c>
      <c r="AV296" s="30" t="s">
        <v>49</v>
      </c>
      <c r="AW296" s="29"/>
    </row>
    <row r="297" spans="1:49" s="6" customFormat="1" ht="14.4" customHeight="1">
      <c r="A297" s="1">
        <v>20</v>
      </c>
      <c r="B297" s="1" t="s">
        <v>38</v>
      </c>
      <c r="C297" s="1" t="s">
        <v>38</v>
      </c>
      <c r="D297" s="3" t="s">
        <v>549</v>
      </c>
      <c r="E297" s="1" t="s">
        <v>190</v>
      </c>
      <c r="F297" s="1">
        <v>1995</v>
      </c>
      <c r="G297" s="1" t="s">
        <v>162</v>
      </c>
      <c r="H297" s="3" t="s">
        <v>191</v>
      </c>
      <c r="I297" s="3" t="s">
        <v>192</v>
      </c>
      <c r="J297" s="1" t="s">
        <v>193</v>
      </c>
      <c r="K297" s="1" t="s">
        <v>45</v>
      </c>
      <c r="L297" s="3" t="s">
        <v>46</v>
      </c>
      <c r="M297" s="1" t="s">
        <v>12</v>
      </c>
      <c r="N297" s="1" t="s">
        <v>80</v>
      </c>
      <c r="O297" s="1">
        <v>1.4999999999999999E-2</v>
      </c>
      <c r="P297" s="1" t="s">
        <v>49</v>
      </c>
      <c r="Q297" s="1">
        <v>1.4999999999999999E-2</v>
      </c>
      <c r="R297" s="1">
        <v>0.5</v>
      </c>
      <c r="S297" s="1" t="s">
        <v>49</v>
      </c>
      <c r="T297" s="1" t="s">
        <v>49</v>
      </c>
      <c r="U297" s="1" t="s">
        <v>194</v>
      </c>
      <c r="V297" s="3" t="s">
        <v>195</v>
      </c>
      <c r="W297" s="3">
        <v>34.4</v>
      </c>
      <c r="X297" s="3">
        <v>-119.54</v>
      </c>
      <c r="Y297" s="1" t="s">
        <v>48</v>
      </c>
      <c r="Z297" s="1" t="s">
        <v>49</v>
      </c>
      <c r="AA297" s="1" t="s">
        <v>50</v>
      </c>
      <c r="AB297" s="1" t="s">
        <v>208</v>
      </c>
      <c r="AC297" s="1" t="s">
        <v>209</v>
      </c>
      <c r="AD297" s="1" t="s">
        <v>210</v>
      </c>
      <c r="AE297" s="1" t="s">
        <v>210</v>
      </c>
      <c r="AF297" s="1" t="s">
        <v>53</v>
      </c>
      <c r="AG297" s="1" t="s">
        <v>53</v>
      </c>
      <c r="AH297" s="1" t="s">
        <v>199</v>
      </c>
      <c r="AI297" s="1" t="s">
        <v>200</v>
      </c>
      <c r="AJ297" s="1">
        <v>15</v>
      </c>
      <c r="AK297" s="1">
        <v>60</v>
      </c>
      <c r="AL297" s="1" t="s">
        <v>49</v>
      </c>
      <c r="AM297" s="3">
        <v>93.7</v>
      </c>
      <c r="AN297" s="3">
        <f>18.24^2</f>
        <v>332.69759999999997</v>
      </c>
      <c r="AO297" s="1" t="s">
        <v>49</v>
      </c>
      <c r="AP297" s="6">
        <v>1</v>
      </c>
      <c r="AQ297" s="6" t="s">
        <v>49</v>
      </c>
      <c r="AR297" s="3">
        <f>18.24^2</f>
        <v>332.69759999999997</v>
      </c>
      <c r="AS297" s="6" t="s">
        <v>49</v>
      </c>
      <c r="AT297" s="6" t="s">
        <v>49</v>
      </c>
      <c r="AU297" s="1" t="s">
        <v>49</v>
      </c>
      <c r="AV297" s="30" t="s">
        <v>49</v>
      </c>
      <c r="AW297" s="29"/>
    </row>
    <row r="298" spans="1:49" s="6" customFormat="1" ht="14.4" customHeight="1">
      <c r="A298" s="1">
        <v>20</v>
      </c>
      <c r="B298" s="1" t="s">
        <v>38</v>
      </c>
      <c r="C298" s="1" t="s">
        <v>38</v>
      </c>
      <c r="D298" s="3" t="s">
        <v>549</v>
      </c>
      <c r="E298" s="1" t="s">
        <v>190</v>
      </c>
      <c r="F298" s="1">
        <v>1995</v>
      </c>
      <c r="G298" s="1" t="s">
        <v>162</v>
      </c>
      <c r="H298" s="3" t="s">
        <v>191</v>
      </c>
      <c r="I298" s="3" t="s">
        <v>192</v>
      </c>
      <c r="J298" s="1" t="s">
        <v>193</v>
      </c>
      <c r="K298" s="1" t="s">
        <v>45</v>
      </c>
      <c r="L298" s="3" t="s">
        <v>46</v>
      </c>
      <c r="M298" s="1" t="s">
        <v>12</v>
      </c>
      <c r="N298" s="1" t="s">
        <v>80</v>
      </c>
      <c r="O298" s="1">
        <v>1.4999999999999999E-2</v>
      </c>
      <c r="P298" s="1" t="s">
        <v>49</v>
      </c>
      <c r="Q298" s="1">
        <v>1.4999999999999999E-2</v>
      </c>
      <c r="R298" s="1">
        <v>0.5</v>
      </c>
      <c r="S298" s="1" t="s">
        <v>49</v>
      </c>
      <c r="T298" s="1" t="s">
        <v>49</v>
      </c>
      <c r="U298" s="1" t="s">
        <v>194</v>
      </c>
      <c r="V298" s="3" t="s">
        <v>195</v>
      </c>
      <c r="W298" s="3">
        <v>34.4</v>
      </c>
      <c r="X298" s="3">
        <v>-119.54</v>
      </c>
      <c r="Y298" s="1" t="s">
        <v>48</v>
      </c>
      <c r="Z298" s="1" t="s">
        <v>49</v>
      </c>
      <c r="AA298" s="1" t="s">
        <v>50</v>
      </c>
      <c r="AB298" s="1" t="s">
        <v>208</v>
      </c>
      <c r="AC298" s="1" t="s">
        <v>211</v>
      </c>
      <c r="AD298" s="1" t="s">
        <v>212</v>
      </c>
      <c r="AE298" s="1" t="s">
        <v>212</v>
      </c>
      <c r="AF298" s="1" t="s">
        <v>60</v>
      </c>
      <c r="AG298" s="1" t="s">
        <v>173</v>
      </c>
      <c r="AH298" s="1" t="s">
        <v>199</v>
      </c>
      <c r="AI298" s="1" t="s">
        <v>200</v>
      </c>
      <c r="AJ298" s="1">
        <v>15</v>
      </c>
      <c r="AK298" s="1">
        <v>60</v>
      </c>
      <c r="AL298" s="1" t="s">
        <v>49</v>
      </c>
      <c r="AM298" s="3">
        <v>35</v>
      </c>
      <c r="AN298" s="3">
        <f>21^2</f>
        <v>441</v>
      </c>
      <c r="AO298" s="1" t="s">
        <v>49</v>
      </c>
      <c r="AP298" s="6">
        <v>1</v>
      </c>
      <c r="AQ298" s="6" t="s">
        <v>49</v>
      </c>
      <c r="AR298" s="3">
        <f>21^2</f>
        <v>441</v>
      </c>
      <c r="AS298" s="6" t="s">
        <v>49</v>
      </c>
      <c r="AT298" s="6" t="s">
        <v>49</v>
      </c>
      <c r="AU298" s="1" t="s">
        <v>49</v>
      </c>
      <c r="AV298" s="30" t="s">
        <v>49</v>
      </c>
      <c r="AW298" s="29"/>
    </row>
    <row r="299" spans="1:49" s="6" customFormat="1" ht="14.4" customHeight="1">
      <c r="A299" s="1">
        <v>20</v>
      </c>
      <c r="B299" s="1" t="s">
        <v>38</v>
      </c>
      <c r="C299" s="1" t="s">
        <v>38</v>
      </c>
      <c r="D299" s="3" t="s">
        <v>549</v>
      </c>
      <c r="E299" s="1" t="s">
        <v>190</v>
      </c>
      <c r="F299" s="1">
        <v>1995</v>
      </c>
      <c r="G299" s="1" t="s">
        <v>162</v>
      </c>
      <c r="H299" s="3" t="s">
        <v>191</v>
      </c>
      <c r="I299" s="3" t="s">
        <v>192</v>
      </c>
      <c r="J299" s="1" t="s">
        <v>193</v>
      </c>
      <c r="K299" s="1" t="s">
        <v>45</v>
      </c>
      <c r="L299" s="3" t="s">
        <v>46</v>
      </c>
      <c r="M299" s="1" t="s">
        <v>12</v>
      </c>
      <c r="N299" s="1" t="s">
        <v>80</v>
      </c>
      <c r="O299" s="1">
        <v>1.4999999999999999E-2</v>
      </c>
      <c r="P299" s="1" t="s">
        <v>49</v>
      </c>
      <c r="Q299" s="1">
        <v>1.4999999999999999E-2</v>
      </c>
      <c r="R299" s="1">
        <v>0.5</v>
      </c>
      <c r="S299" s="1" t="s">
        <v>49</v>
      </c>
      <c r="T299" s="1" t="s">
        <v>49</v>
      </c>
      <c r="U299" s="1" t="s">
        <v>194</v>
      </c>
      <c r="V299" s="3" t="s">
        <v>195</v>
      </c>
      <c r="W299" s="3">
        <v>34.4</v>
      </c>
      <c r="X299" s="3">
        <v>-119.54</v>
      </c>
      <c r="Y299" s="1" t="s">
        <v>48</v>
      </c>
      <c r="Z299" s="1" t="s">
        <v>49</v>
      </c>
      <c r="AA299" s="1" t="s">
        <v>50</v>
      </c>
      <c r="AB299" s="1" t="s">
        <v>201</v>
      </c>
      <c r="AC299" s="1" t="s">
        <v>204</v>
      </c>
      <c r="AD299" s="1" t="s">
        <v>205</v>
      </c>
      <c r="AE299" s="1" t="s">
        <v>205</v>
      </c>
      <c r="AF299" s="1" t="s">
        <v>53</v>
      </c>
      <c r="AG299" s="1" t="s">
        <v>53</v>
      </c>
      <c r="AH299" s="1" t="s">
        <v>199</v>
      </c>
      <c r="AI299" s="1" t="s">
        <v>200</v>
      </c>
      <c r="AJ299" s="1">
        <v>15</v>
      </c>
      <c r="AK299" s="1">
        <v>60</v>
      </c>
      <c r="AL299" s="1" t="s">
        <v>49</v>
      </c>
      <c r="AM299" s="3">
        <v>3.6</v>
      </c>
      <c r="AN299" s="3">
        <f>0.6^2</f>
        <v>0.36</v>
      </c>
      <c r="AO299" s="1" t="s">
        <v>49</v>
      </c>
      <c r="AP299" s="6">
        <v>1</v>
      </c>
      <c r="AQ299" s="6" t="s">
        <v>49</v>
      </c>
      <c r="AR299" s="3">
        <f>0.6^2</f>
        <v>0.36</v>
      </c>
      <c r="AS299" s="6" t="s">
        <v>49</v>
      </c>
      <c r="AT299" s="6" t="s">
        <v>49</v>
      </c>
      <c r="AU299" s="1" t="s">
        <v>49</v>
      </c>
      <c r="AV299" s="30" t="s">
        <v>49</v>
      </c>
      <c r="AW299" s="29"/>
    </row>
    <row r="300" spans="1:49" s="6" customFormat="1" ht="14.4" customHeight="1">
      <c r="A300" s="1">
        <v>20</v>
      </c>
      <c r="B300" s="1" t="s">
        <v>38</v>
      </c>
      <c r="C300" s="1" t="s">
        <v>38</v>
      </c>
      <c r="D300" s="3" t="s">
        <v>549</v>
      </c>
      <c r="E300" s="1" t="s">
        <v>190</v>
      </c>
      <c r="F300" s="1">
        <v>1995</v>
      </c>
      <c r="G300" s="1" t="s">
        <v>162</v>
      </c>
      <c r="H300" s="3" t="s">
        <v>191</v>
      </c>
      <c r="I300" s="3" t="s">
        <v>192</v>
      </c>
      <c r="J300" s="1" t="s">
        <v>193</v>
      </c>
      <c r="K300" s="1" t="s">
        <v>45</v>
      </c>
      <c r="L300" s="3" t="s">
        <v>46</v>
      </c>
      <c r="M300" s="1" t="s">
        <v>12</v>
      </c>
      <c r="N300" s="1" t="s">
        <v>80</v>
      </c>
      <c r="O300" s="1">
        <v>1.4999999999999999E-2</v>
      </c>
      <c r="P300" s="1" t="s">
        <v>49</v>
      </c>
      <c r="Q300" s="1">
        <v>1.4999999999999999E-2</v>
      </c>
      <c r="R300" s="1">
        <v>0.5</v>
      </c>
      <c r="S300" s="1" t="s">
        <v>49</v>
      </c>
      <c r="T300" s="1" t="s">
        <v>49</v>
      </c>
      <c r="U300" s="1" t="s">
        <v>194</v>
      </c>
      <c r="V300" s="3" t="s">
        <v>195</v>
      </c>
      <c r="W300" s="3">
        <v>34.4</v>
      </c>
      <c r="X300" s="3">
        <v>-119.54</v>
      </c>
      <c r="Y300" s="1" t="s">
        <v>48</v>
      </c>
      <c r="Z300" s="1" t="s">
        <v>49</v>
      </c>
      <c r="AA300" s="1" t="s">
        <v>50</v>
      </c>
      <c r="AB300" s="1" t="s">
        <v>201</v>
      </c>
      <c r="AC300" s="1" t="s">
        <v>204</v>
      </c>
      <c r="AD300" s="1" t="s">
        <v>206</v>
      </c>
      <c r="AE300" s="1" t="s">
        <v>206</v>
      </c>
      <c r="AF300" s="1" t="s">
        <v>53</v>
      </c>
      <c r="AG300" s="1" t="s">
        <v>53</v>
      </c>
      <c r="AH300" s="1" t="s">
        <v>199</v>
      </c>
      <c r="AI300" s="1" t="s">
        <v>200</v>
      </c>
      <c r="AJ300" s="1">
        <v>15</v>
      </c>
      <c r="AK300" s="1">
        <v>60</v>
      </c>
      <c r="AL300" s="1" t="s">
        <v>49</v>
      </c>
      <c r="AM300" s="3">
        <v>5589</v>
      </c>
      <c r="AN300" s="3">
        <f>1376^2</f>
        <v>1893376</v>
      </c>
      <c r="AO300" s="1" t="s">
        <v>49</v>
      </c>
      <c r="AP300" s="6">
        <v>1</v>
      </c>
      <c r="AQ300" s="6" t="s">
        <v>49</v>
      </c>
      <c r="AR300" s="3">
        <f>1376^2</f>
        <v>1893376</v>
      </c>
      <c r="AS300" s="6" t="s">
        <v>49</v>
      </c>
      <c r="AT300" s="6" t="s">
        <v>49</v>
      </c>
      <c r="AU300" s="1" t="s">
        <v>49</v>
      </c>
      <c r="AV300" s="30" t="s">
        <v>49</v>
      </c>
      <c r="AW300" s="29"/>
    </row>
    <row r="301" spans="1:49" s="6" customFormat="1" ht="14.4" customHeight="1">
      <c r="A301" s="1">
        <v>20</v>
      </c>
      <c r="B301" s="1" t="s">
        <v>38</v>
      </c>
      <c r="C301" s="1" t="s">
        <v>38</v>
      </c>
      <c r="D301" s="3" t="s">
        <v>549</v>
      </c>
      <c r="E301" s="1" t="s">
        <v>190</v>
      </c>
      <c r="F301" s="1">
        <v>1995</v>
      </c>
      <c r="G301" s="1" t="s">
        <v>162</v>
      </c>
      <c r="H301" s="3" t="s">
        <v>191</v>
      </c>
      <c r="I301" s="3" t="s">
        <v>192</v>
      </c>
      <c r="J301" s="1" t="s">
        <v>193</v>
      </c>
      <c r="K301" s="1" t="s">
        <v>45</v>
      </c>
      <c r="L301" s="3" t="s">
        <v>46</v>
      </c>
      <c r="M301" s="1" t="s">
        <v>12</v>
      </c>
      <c r="N301" s="1" t="s">
        <v>80</v>
      </c>
      <c r="O301" s="1">
        <v>1.4999999999999999E-2</v>
      </c>
      <c r="P301" s="1" t="s">
        <v>49</v>
      </c>
      <c r="Q301" s="1">
        <v>1.4999999999999999E-2</v>
      </c>
      <c r="R301" s="1">
        <v>0.5</v>
      </c>
      <c r="S301" s="1" t="s">
        <v>49</v>
      </c>
      <c r="T301" s="1" t="s">
        <v>49</v>
      </c>
      <c r="U301" s="1" t="s">
        <v>194</v>
      </c>
      <c r="V301" s="3" t="s">
        <v>195</v>
      </c>
      <c r="W301" s="3">
        <v>34.4</v>
      </c>
      <c r="X301" s="3">
        <v>-119.54</v>
      </c>
      <c r="Y301" s="1" t="s">
        <v>48</v>
      </c>
      <c r="Z301" s="1" t="s">
        <v>49</v>
      </c>
      <c r="AA301" s="1" t="s">
        <v>50</v>
      </c>
      <c r="AB301" s="1" t="s">
        <v>201</v>
      </c>
      <c r="AC301" s="1" t="s">
        <v>204</v>
      </c>
      <c r="AD301" s="1" t="s">
        <v>207</v>
      </c>
      <c r="AE301" s="1" t="s">
        <v>207</v>
      </c>
      <c r="AF301" s="1" t="s">
        <v>60</v>
      </c>
      <c r="AG301" s="1" t="s">
        <v>173</v>
      </c>
      <c r="AH301" s="1" t="s">
        <v>199</v>
      </c>
      <c r="AI301" s="1" t="s">
        <v>200</v>
      </c>
      <c r="AJ301" s="1">
        <v>15</v>
      </c>
      <c r="AK301" s="1">
        <v>60</v>
      </c>
      <c r="AL301" s="1" t="s">
        <v>49</v>
      </c>
      <c r="AM301" s="3">
        <v>3598</v>
      </c>
      <c r="AN301" s="3">
        <f>234^2</f>
        <v>54756</v>
      </c>
      <c r="AO301" s="1" t="s">
        <v>49</v>
      </c>
      <c r="AP301" s="6">
        <v>1</v>
      </c>
      <c r="AQ301" s="6" t="s">
        <v>49</v>
      </c>
      <c r="AR301" s="3">
        <f>234^2</f>
        <v>54756</v>
      </c>
      <c r="AS301" s="6" t="s">
        <v>49</v>
      </c>
      <c r="AT301" s="6" t="s">
        <v>49</v>
      </c>
      <c r="AU301" s="1" t="s">
        <v>49</v>
      </c>
      <c r="AV301" s="30" t="s">
        <v>49</v>
      </c>
      <c r="AW301" s="29"/>
    </row>
    <row r="302" spans="1:49" s="6" customFormat="1" ht="14.4" customHeight="1">
      <c r="A302" s="1">
        <v>20</v>
      </c>
      <c r="B302" s="1" t="s">
        <v>38</v>
      </c>
      <c r="C302" s="1" t="s">
        <v>38</v>
      </c>
      <c r="D302" s="3" t="s">
        <v>549</v>
      </c>
      <c r="E302" s="1" t="s">
        <v>190</v>
      </c>
      <c r="F302" s="1">
        <v>1995</v>
      </c>
      <c r="G302" s="1" t="s">
        <v>162</v>
      </c>
      <c r="H302" s="3" t="s">
        <v>191</v>
      </c>
      <c r="I302" s="3" t="s">
        <v>192</v>
      </c>
      <c r="J302" s="1" t="s">
        <v>193</v>
      </c>
      <c r="K302" s="1" t="s">
        <v>45</v>
      </c>
      <c r="L302" s="3" t="s">
        <v>46</v>
      </c>
      <c r="M302" s="1" t="s">
        <v>12</v>
      </c>
      <c r="N302" s="1" t="s">
        <v>80</v>
      </c>
      <c r="O302" s="1">
        <v>1.4999999999999999E-2</v>
      </c>
      <c r="P302" s="1" t="s">
        <v>49</v>
      </c>
      <c r="Q302" s="1">
        <v>1.4999999999999999E-2</v>
      </c>
      <c r="R302" s="1">
        <v>0.5</v>
      </c>
      <c r="S302" s="1" t="s">
        <v>49</v>
      </c>
      <c r="T302" s="1" t="s">
        <v>49</v>
      </c>
      <c r="U302" s="1" t="s">
        <v>194</v>
      </c>
      <c r="V302" s="3" t="s">
        <v>195</v>
      </c>
      <c r="W302" s="3">
        <v>34.4</v>
      </c>
      <c r="X302" s="3">
        <v>-119.54</v>
      </c>
      <c r="Y302" s="1" t="s">
        <v>48</v>
      </c>
      <c r="Z302" s="1" t="s">
        <v>49</v>
      </c>
      <c r="AA302" s="1" t="s">
        <v>50</v>
      </c>
      <c r="AB302" s="1" t="s">
        <v>196</v>
      </c>
      <c r="AC302" s="1" t="s">
        <v>197</v>
      </c>
      <c r="AD302" s="1" t="s">
        <v>198</v>
      </c>
      <c r="AE302" s="1" t="s">
        <v>198</v>
      </c>
      <c r="AF302" s="1" t="s">
        <v>60</v>
      </c>
      <c r="AG302" s="1" t="s">
        <v>60</v>
      </c>
      <c r="AH302" s="1" t="s">
        <v>199</v>
      </c>
      <c r="AI302" s="1" t="s">
        <v>200</v>
      </c>
      <c r="AJ302" s="1">
        <v>15</v>
      </c>
      <c r="AK302" s="1">
        <v>60</v>
      </c>
      <c r="AL302" s="1" t="s">
        <v>49</v>
      </c>
      <c r="AM302" s="3">
        <v>34</v>
      </c>
      <c r="AN302" s="3">
        <f>7^2</f>
        <v>49</v>
      </c>
      <c r="AO302" s="1" t="s">
        <v>49</v>
      </c>
      <c r="AP302" s="6">
        <v>1</v>
      </c>
      <c r="AQ302" s="6" t="s">
        <v>49</v>
      </c>
      <c r="AR302" s="3">
        <f>7^2</f>
        <v>49</v>
      </c>
      <c r="AS302" s="6" t="s">
        <v>49</v>
      </c>
      <c r="AT302" s="6" t="s">
        <v>49</v>
      </c>
      <c r="AU302" s="1" t="s">
        <v>49</v>
      </c>
      <c r="AV302" s="30" t="s">
        <v>49</v>
      </c>
      <c r="AW302" s="29"/>
    </row>
    <row r="303" spans="1:49" s="6" customFormat="1" ht="14.4" customHeight="1">
      <c r="A303" s="1">
        <v>20</v>
      </c>
      <c r="B303" s="1" t="s">
        <v>38</v>
      </c>
      <c r="C303" s="1" t="s">
        <v>38</v>
      </c>
      <c r="D303" s="3" t="s">
        <v>549</v>
      </c>
      <c r="E303" s="1" t="s">
        <v>190</v>
      </c>
      <c r="F303" s="1">
        <v>1995</v>
      </c>
      <c r="G303" s="1" t="s">
        <v>162</v>
      </c>
      <c r="H303" s="3" t="s">
        <v>191</v>
      </c>
      <c r="I303" s="3" t="s">
        <v>192</v>
      </c>
      <c r="J303" s="1" t="s">
        <v>193</v>
      </c>
      <c r="K303" s="1" t="s">
        <v>45</v>
      </c>
      <c r="L303" s="3" t="s">
        <v>46</v>
      </c>
      <c r="M303" s="1" t="s">
        <v>12</v>
      </c>
      <c r="N303" s="1" t="s">
        <v>80</v>
      </c>
      <c r="O303" s="1">
        <v>1.4999999999999999E-2</v>
      </c>
      <c r="P303" s="1" t="s">
        <v>49</v>
      </c>
      <c r="Q303" s="1">
        <v>1.4999999999999999E-2</v>
      </c>
      <c r="R303" s="1">
        <v>0.5</v>
      </c>
      <c r="S303" s="1" t="s">
        <v>49</v>
      </c>
      <c r="T303" s="1" t="s">
        <v>49</v>
      </c>
      <c r="U303" s="1" t="s">
        <v>194</v>
      </c>
      <c r="V303" s="3" t="s">
        <v>195</v>
      </c>
      <c r="W303" s="3">
        <v>34.4</v>
      </c>
      <c r="X303" s="3">
        <v>-119.54</v>
      </c>
      <c r="Y303" s="1" t="s">
        <v>48</v>
      </c>
      <c r="Z303" s="1" t="s">
        <v>49</v>
      </c>
      <c r="AA303" s="1" t="s">
        <v>50</v>
      </c>
      <c r="AB303" s="1" t="s">
        <v>66</v>
      </c>
      <c r="AC303" s="1" t="s">
        <v>124</v>
      </c>
      <c r="AD303" s="1" t="s">
        <v>214</v>
      </c>
      <c r="AE303" s="1" t="s">
        <v>214</v>
      </c>
      <c r="AF303" s="1" t="s">
        <v>53</v>
      </c>
      <c r="AG303" s="1" t="s">
        <v>53</v>
      </c>
      <c r="AH303" s="1" t="s">
        <v>199</v>
      </c>
      <c r="AI303" s="1" t="s">
        <v>200</v>
      </c>
      <c r="AJ303" s="1">
        <v>15</v>
      </c>
      <c r="AK303" s="1">
        <v>60</v>
      </c>
      <c r="AL303" s="1" t="s">
        <v>49</v>
      </c>
      <c r="AM303" s="3">
        <v>3.2</v>
      </c>
      <c r="AN303" s="3">
        <f>0.95^2</f>
        <v>0.90249999999999997</v>
      </c>
      <c r="AO303" s="1" t="s">
        <v>49</v>
      </c>
      <c r="AP303" s="6">
        <v>1</v>
      </c>
      <c r="AQ303" s="6" t="s">
        <v>49</v>
      </c>
      <c r="AR303" s="3">
        <f>0.95^2</f>
        <v>0.90249999999999997</v>
      </c>
      <c r="AS303" s="6" t="s">
        <v>49</v>
      </c>
      <c r="AT303" s="6" t="s">
        <v>49</v>
      </c>
      <c r="AU303" s="1" t="s">
        <v>49</v>
      </c>
      <c r="AV303" s="30" t="s">
        <v>49</v>
      </c>
      <c r="AW303" s="29"/>
    </row>
    <row r="304" spans="1:49" s="6" customFormat="1" ht="14.4" customHeight="1">
      <c r="A304" s="1">
        <v>20</v>
      </c>
      <c r="B304" s="1" t="s">
        <v>38</v>
      </c>
      <c r="C304" s="1" t="s">
        <v>38</v>
      </c>
      <c r="D304" s="3" t="s">
        <v>549</v>
      </c>
      <c r="E304" s="1" t="s">
        <v>190</v>
      </c>
      <c r="F304" s="1">
        <v>1995</v>
      </c>
      <c r="G304" s="1" t="s">
        <v>162</v>
      </c>
      <c r="H304" s="3" t="s">
        <v>191</v>
      </c>
      <c r="I304" s="3" t="s">
        <v>192</v>
      </c>
      <c r="J304" s="1" t="s">
        <v>193</v>
      </c>
      <c r="K304" s="1" t="s">
        <v>45</v>
      </c>
      <c r="L304" s="3" t="s">
        <v>46</v>
      </c>
      <c r="M304" s="1" t="s">
        <v>12</v>
      </c>
      <c r="N304" s="1" t="s">
        <v>80</v>
      </c>
      <c r="O304" s="1">
        <v>1.4999999999999999E-2</v>
      </c>
      <c r="P304" s="1" t="s">
        <v>49</v>
      </c>
      <c r="Q304" s="1">
        <v>1.4999999999999999E-2</v>
      </c>
      <c r="R304" s="1">
        <v>0.5</v>
      </c>
      <c r="S304" s="1" t="s">
        <v>49</v>
      </c>
      <c r="T304" s="1" t="s">
        <v>49</v>
      </c>
      <c r="U304" s="1" t="s">
        <v>194</v>
      </c>
      <c r="V304" s="3" t="s">
        <v>195</v>
      </c>
      <c r="W304" s="3">
        <v>34.4</v>
      </c>
      <c r="X304" s="3">
        <v>-119.54</v>
      </c>
      <c r="Y304" s="1" t="s">
        <v>48</v>
      </c>
      <c r="Z304" s="1" t="s">
        <v>49</v>
      </c>
      <c r="AA304" s="1" t="s">
        <v>50</v>
      </c>
      <c r="AB304" s="1" t="s">
        <v>66</v>
      </c>
      <c r="AC304" s="1" t="s">
        <v>124</v>
      </c>
      <c r="AD304" s="1" t="s">
        <v>213</v>
      </c>
      <c r="AE304" s="1" t="s">
        <v>213</v>
      </c>
      <c r="AF304" s="1" t="s">
        <v>60</v>
      </c>
      <c r="AG304" s="1" t="s">
        <v>129</v>
      </c>
      <c r="AH304" s="1" t="s">
        <v>199</v>
      </c>
      <c r="AI304" s="1" t="s">
        <v>200</v>
      </c>
      <c r="AJ304" s="1">
        <v>15</v>
      </c>
      <c r="AK304" s="1">
        <v>60</v>
      </c>
      <c r="AL304" s="1" t="s">
        <v>49</v>
      </c>
      <c r="AM304" s="3">
        <v>4.5</v>
      </c>
      <c r="AN304" s="3">
        <f>1^2</f>
        <v>1</v>
      </c>
      <c r="AO304" s="1" t="s">
        <v>49</v>
      </c>
      <c r="AP304" s="6">
        <v>1</v>
      </c>
      <c r="AQ304" s="6" t="s">
        <v>49</v>
      </c>
      <c r="AR304" s="3">
        <f>1^2</f>
        <v>1</v>
      </c>
      <c r="AS304" s="6" t="s">
        <v>49</v>
      </c>
      <c r="AT304" s="6" t="s">
        <v>49</v>
      </c>
      <c r="AU304" s="1" t="s">
        <v>49</v>
      </c>
      <c r="AV304" s="30" t="s">
        <v>49</v>
      </c>
      <c r="AW304" s="29"/>
    </row>
    <row r="305" spans="1:49" s="6" customFormat="1" ht="14.4" customHeight="1">
      <c r="A305" s="1">
        <v>20</v>
      </c>
      <c r="B305" s="1" t="s">
        <v>38</v>
      </c>
      <c r="C305" s="1" t="s">
        <v>38</v>
      </c>
      <c r="D305" s="3" t="s">
        <v>549</v>
      </c>
      <c r="E305" s="1" t="s">
        <v>190</v>
      </c>
      <c r="F305" s="1">
        <v>1995</v>
      </c>
      <c r="G305" s="1" t="s">
        <v>162</v>
      </c>
      <c r="H305" s="3" t="s">
        <v>191</v>
      </c>
      <c r="I305" s="3" t="s">
        <v>192</v>
      </c>
      <c r="J305" s="1" t="s">
        <v>193</v>
      </c>
      <c r="K305" s="1" t="s">
        <v>45</v>
      </c>
      <c r="L305" s="3" t="s">
        <v>46</v>
      </c>
      <c r="M305" s="1" t="s">
        <v>12</v>
      </c>
      <c r="N305" s="1" t="s">
        <v>80</v>
      </c>
      <c r="O305" s="1">
        <v>1.4999999999999999E-2</v>
      </c>
      <c r="P305" s="1" t="s">
        <v>49</v>
      </c>
      <c r="Q305" s="1">
        <v>1.4999999999999999E-2</v>
      </c>
      <c r="R305" s="1">
        <v>0.5</v>
      </c>
      <c r="S305" s="1" t="s">
        <v>49</v>
      </c>
      <c r="T305" s="1" t="s">
        <v>49</v>
      </c>
      <c r="U305" s="1" t="s">
        <v>194</v>
      </c>
      <c r="V305" s="3" t="s">
        <v>195</v>
      </c>
      <c r="W305" s="3">
        <v>34.4</v>
      </c>
      <c r="X305" s="3">
        <v>-119.54</v>
      </c>
      <c r="Y305" s="1" t="s">
        <v>48</v>
      </c>
      <c r="Z305" s="1" t="s">
        <v>49</v>
      </c>
      <c r="AA305" s="1" t="s">
        <v>49</v>
      </c>
      <c r="AB305" s="3" t="s">
        <v>49</v>
      </c>
      <c r="AC305" s="3" t="s">
        <v>49</v>
      </c>
      <c r="AD305" s="1" t="s">
        <v>203</v>
      </c>
      <c r="AE305" s="1" t="s">
        <v>210</v>
      </c>
      <c r="AF305" s="1" t="s">
        <v>49</v>
      </c>
      <c r="AG305" s="1" t="s">
        <v>49</v>
      </c>
      <c r="AH305" s="1" t="s">
        <v>199</v>
      </c>
      <c r="AI305" s="1" t="s">
        <v>200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1</v>
      </c>
      <c r="AQ305" s="6">
        <v>0.35799999999999998</v>
      </c>
      <c r="AR305" s="6" t="s">
        <v>49</v>
      </c>
      <c r="AS305" s="6" t="s">
        <v>49</v>
      </c>
      <c r="AT305" s="6" t="s">
        <v>49</v>
      </c>
      <c r="AU305" s="1" t="s">
        <v>49</v>
      </c>
      <c r="AV305" s="30" t="s">
        <v>49</v>
      </c>
      <c r="AW305" s="30"/>
    </row>
    <row r="306" spans="1:49" s="6" customFormat="1" ht="14.4" customHeight="1">
      <c r="A306" s="1">
        <v>20</v>
      </c>
      <c r="B306" s="1" t="s">
        <v>38</v>
      </c>
      <c r="C306" s="1" t="s">
        <v>38</v>
      </c>
      <c r="D306" s="3" t="s">
        <v>549</v>
      </c>
      <c r="E306" s="1" t="s">
        <v>190</v>
      </c>
      <c r="F306" s="1">
        <v>1995</v>
      </c>
      <c r="G306" s="1" t="s">
        <v>162</v>
      </c>
      <c r="H306" s="3" t="s">
        <v>191</v>
      </c>
      <c r="I306" s="3" t="s">
        <v>192</v>
      </c>
      <c r="J306" s="1" t="s">
        <v>193</v>
      </c>
      <c r="K306" s="1" t="s">
        <v>45</v>
      </c>
      <c r="L306" s="3" t="s">
        <v>46</v>
      </c>
      <c r="M306" s="1" t="s">
        <v>12</v>
      </c>
      <c r="N306" s="1" t="s">
        <v>80</v>
      </c>
      <c r="O306" s="1">
        <v>1.4999999999999999E-2</v>
      </c>
      <c r="P306" s="1" t="s">
        <v>49</v>
      </c>
      <c r="Q306" s="1">
        <v>1.4999999999999999E-2</v>
      </c>
      <c r="R306" s="1">
        <v>0.5</v>
      </c>
      <c r="S306" s="1" t="s">
        <v>49</v>
      </c>
      <c r="T306" s="1" t="s">
        <v>49</v>
      </c>
      <c r="U306" s="1" t="s">
        <v>194</v>
      </c>
      <c r="V306" s="3" t="s">
        <v>195</v>
      </c>
      <c r="W306" s="3">
        <v>34.4</v>
      </c>
      <c r="X306" s="3">
        <v>-119.54</v>
      </c>
      <c r="Y306" s="1" t="s">
        <v>48</v>
      </c>
      <c r="Z306" s="1" t="s">
        <v>49</v>
      </c>
      <c r="AA306" s="1" t="s">
        <v>49</v>
      </c>
      <c r="AB306" s="3" t="s">
        <v>49</v>
      </c>
      <c r="AC306" s="3" t="s">
        <v>49</v>
      </c>
      <c r="AD306" s="1" t="s">
        <v>203</v>
      </c>
      <c r="AE306" s="1" t="s">
        <v>212</v>
      </c>
      <c r="AF306" s="1" t="s">
        <v>49</v>
      </c>
      <c r="AG306" s="1" t="s">
        <v>49</v>
      </c>
      <c r="AH306" s="1" t="s">
        <v>199</v>
      </c>
      <c r="AI306" s="1" t="s">
        <v>200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1</v>
      </c>
      <c r="AQ306" s="6">
        <v>-8.5000000000000006E-2</v>
      </c>
      <c r="AR306" s="6" t="s">
        <v>49</v>
      </c>
      <c r="AS306" s="6" t="s">
        <v>49</v>
      </c>
      <c r="AT306" s="6" t="s">
        <v>49</v>
      </c>
      <c r="AU306" s="1" t="s">
        <v>49</v>
      </c>
      <c r="AV306" s="30" t="s">
        <v>49</v>
      </c>
      <c r="AW306" s="30"/>
    </row>
    <row r="307" spans="1:49" s="6" customFormat="1" ht="14.4" customHeight="1">
      <c r="A307" s="1">
        <v>20</v>
      </c>
      <c r="B307" s="1" t="s">
        <v>38</v>
      </c>
      <c r="C307" s="1" t="s">
        <v>38</v>
      </c>
      <c r="D307" s="3" t="s">
        <v>549</v>
      </c>
      <c r="E307" s="1" t="s">
        <v>190</v>
      </c>
      <c r="F307" s="1">
        <v>1995</v>
      </c>
      <c r="G307" s="1" t="s">
        <v>162</v>
      </c>
      <c r="H307" s="3" t="s">
        <v>191</v>
      </c>
      <c r="I307" s="3" t="s">
        <v>192</v>
      </c>
      <c r="J307" s="1" t="s">
        <v>193</v>
      </c>
      <c r="K307" s="1" t="s">
        <v>45</v>
      </c>
      <c r="L307" s="3" t="s">
        <v>46</v>
      </c>
      <c r="M307" s="1" t="s">
        <v>12</v>
      </c>
      <c r="N307" s="1" t="s">
        <v>80</v>
      </c>
      <c r="O307" s="1">
        <v>1.4999999999999999E-2</v>
      </c>
      <c r="P307" s="1" t="s">
        <v>49</v>
      </c>
      <c r="Q307" s="1">
        <v>1.4999999999999999E-2</v>
      </c>
      <c r="R307" s="1">
        <v>0.5</v>
      </c>
      <c r="S307" s="1" t="s">
        <v>49</v>
      </c>
      <c r="T307" s="1" t="s">
        <v>49</v>
      </c>
      <c r="U307" s="1" t="s">
        <v>194</v>
      </c>
      <c r="V307" s="3" t="s">
        <v>195</v>
      </c>
      <c r="W307" s="3">
        <v>34.4</v>
      </c>
      <c r="X307" s="3">
        <v>-119.54</v>
      </c>
      <c r="Y307" s="1" t="s">
        <v>48</v>
      </c>
      <c r="Z307" s="1" t="s">
        <v>49</v>
      </c>
      <c r="AA307" s="1" t="s">
        <v>49</v>
      </c>
      <c r="AB307" s="3" t="s">
        <v>49</v>
      </c>
      <c r="AC307" s="3" t="s">
        <v>49</v>
      </c>
      <c r="AD307" s="1" t="s">
        <v>203</v>
      </c>
      <c r="AE307" s="1" t="s">
        <v>205</v>
      </c>
      <c r="AF307" s="1" t="s">
        <v>49</v>
      </c>
      <c r="AG307" s="1" t="s">
        <v>49</v>
      </c>
      <c r="AH307" s="1" t="s">
        <v>199</v>
      </c>
      <c r="AI307" s="1" t="s">
        <v>200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1</v>
      </c>
      <c r="AQ307" s="6">
        <v>5.1999999999999998E-2</v>
      </c>
      <c r="AR307" s="6" t="s">
        <v>49</v>
      </c>
      <c r="AS307" s="6" t="s">
        <v>49</v>
      </c>
      <c r="AT307" s="6" t="s">
        <v>49</v>
      </c>
      <c r="AU307" s="1" t="s">
        <v>49</v>
      </c>
      <c r="AV307" s="30" t="s">
        <v>49</v>
      </c>
      <c r="AW307" s="30"/>
    </row>
    <row r="308" spans="1:49" s="6" customFormat="1" ht="14.4" customHeight="1">
      <c r="A308" s="1">
        <v>20</v>
      </c>
      <c r="B308" s="1" t="s">
        <v>38</v>
      </c>
      <c r="C308" s="1" t="s">
        <v>38</v>
      </c>
      <c r="D308" s="3" t="s">
        <v>549</v>
      </c>
      <c r="E308" s="1" t="s">
        <v>190</v>
      </c>
      <c r="F308" s="1">
        <v>1995</v>
      </c>
      <c r="G308" s="1" t="s">
        <v>162</v>
      </c>
      <c r="H308" s="3" t="s">
        <v>191</v>
      </c>
      <c r="I308" s="3" t="s">
        <v>192</v>
      </c>
      <c r="J308" s="1" t="s">
        <v>193</v>
      </c>
      <c r="K308" s="1" t="s">
        <v>45</v>
      </c>
      <c r="L308" s="3" t="s">
        <v>46</v>
      </c>
      <c r="M308" s="1" t="s">
        <v>12</v>
      </c>
      <c r="N308" s="1" t="s">
        <v>80</v>
      </c>
      <c r="O308" s="1">
        <v>1.4999999999999999E-2</v>
      </c>
      <c r="P308" s="1" t="s">
        <v>49</v>
      </c>
      <c r="Q308" s="1">
        <v>1.4999999999999999E-2</v>
      </c>
      <c r="R308" s="1">
        <v>0.5</v>
      </c>
      <c r="S308" s="1" t="s">
        <v>49</v>
      </c>
      <c r="T308" s="1" t="s">
        <v>49</v>
      </c>
      <c r="U308" s="1" t="s">
        <v>194</v>
      </c>
      <c r="V308" s="3" t="s">
        <v>195</v>
      </c>
      <c r="W308" s="3">
        <v>34.4</v>
      </c>
      <c r="X308" s="3">
        <v>-119.54</v>
      </c>
      <c r="Y308" s="1" t="s">
        <v>48</v>
      </c>
      <c r="Z308" s="1" t="s">
        <v>49</v>
      </c>
      <c r="AA308" s="1" t="s">
        <v>49</v>
      </c>
      <c r="AB308" s="3" t="s">
        <v>49</v>
      </c>
      <c r="AC308" s="3" t="s">
        <v>49</v>
      </c>
      <c r="AD308" s="1" t="s">
        <v>203</v>
      </c>
      <c r="AE308" s="1" t="s">
        <v>206</v>
      </c>
      <c r="AF308" s="1" t="s">
        <v>49</v>
      </c>
      <c r="AG308" s="1" t="s">
        <v>49</v>
      </c>
      <c r="AH308" s="1" t="s">
        <v>199</v>
      </c>
      <c r="AI308" s="1" t="s">
        <v>200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1</v>
      </c>
      <c r="AQ308" s="6">
        <v>0.157</v>
      </c>
      <c r="AR308" s="6" t="s">
        <v>49</v>
      </c>
      <c r="AS308" s="6" t="s">
        <v>49</v>
      </c>
      <c r="AT308" s="6" t="s">
        <v>49</v>
      </c>
      <c r="AU308" s="1" t="s">
        <v>49</v>
      </c>
      <c r="AV308" s="30" t="s">
        <v>49</v>
      </c>
      <c r="AW308" s="30"/>
    </row>
    <row r="309" spans="1:49" s="6" customFormat="1" ht="14.4" customHeight="1">
      <c r="A309" s="1">
        <v>20</v>
      </c>
      <c r="B309" s="1" t="s">
        <v>38</v>
      </c>
      <c r="C309" s="1" t="s">
        <v>38</v>
      </c>
      <c r="D309" s="3" t="s">
        <v>549</v>
      </c>
      <c r="E309" s="1" t="s">
        <v>190</v>
      </c>
      <c r="F309" s="1">
        <v>1995</v>
      </c>
      <c r="G309" s="1" t="s">
        <v>162</v>
      </c>
      <c r="H309" s="3" t="s">
        <v>191</v>
      </c>
      <c r="I309" s="3" t="s">
        <v>192</v>
      </c>
      <c r="J309" s="1" t="s">
        <v>193</v>
      </c>
      <c r="K309" s="1" t="s">
        <v>45</v>
      </c>
      <c r="L309" s="3" t="s">
        <v>46</v>
      </c>
      <c r="M309" s="1" t="s">
        <v>12</v>
      </c>
      <c r="N309" s="1" t="s">
        <v>80</v>
      </c>
      <c r="O309" s="1">
        <v>1.4999999999999999E-2</v>
      </c>
      <c r="P309" s="1" t="s">
        <v>49</v>
      </c>
      <c r="Q309" s="1">
        <v>1.4999999999999999E-2</v>
      </c>
      <c r="R309" s="1">
        <v>0.5</v>
      </c>
      <c r="S309" s="1" t="s">
        <v>49</v>
      </c>
      <c r="T309" s="1" t="s">
        <v>49</v>
      </c>
      <c r="U309" s="1" t="s">
        <v>194</v>
      </c>
      <c r="V309" s="3" t="s">
        <v>195</v>
      </c>
      <c r="W309" s="3">
        <v>34.4</v>
      </c>
      <c r="X309" s="3">
        <v>-119.54</v>
      </c>
      <c r="Y309" s="1" t="s">
        <v>48</v>
      </c>
      <c r="Z309" s="1" t="s">
        <v>49</v>
      </c>
      <c r="AA309" s="1" t="s">
        <v>49</v>
      </c>
      <c r="AB309" s="3" t="s">
        <v>49</v>
      </c>
      <c r="AC309" s="3" t="s">
        <v>49</v>
      </c>
      <c r="AD309" s="1" t="s">
        <v>203</v>
      </c>
      <c r="AE309" s="1" t="s">
        <v>207</v>
      </c>
      <c r="AF309" s="1" t="s">
        <v>49</v>
      </c>
      <c r="AG309" s="1" t="s">
        <v>49</v>
      </c>
      <c r="AH309" s="1" t="s">
        <v>199</v>
      </c>
      <c r="AI309" s="1" t="s">
        <v>200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1</v>
      </c>
      <c r="AQ309" s="6">
        <v>-5.6000000000000001E-2</v>
      </c>
      <c r="AR309" s="6" t="s">
        <v>49</v>
      </c>
      <c r="AS309" s="6" t="s">
        <v>49</v>
      </c>
      <c r="AT309" s="6" t="s">
        <v>49</v>
      </c>
      <c r="AU309" s="1" t="s">
        <v>49</v>
      </c>
      <c r="AV309" s="30" t="s">
        <v>49</v>
      </c>
      <c r="AW309" s="30"/>
    </row>
    <row r="310" spans="1:49" s="6" customFormat="1" ht="14.4" customHeight="1">
      <c r="A310" s="1">
        <v>20</v>
      </c>
      <c r="B310" s="1" t="s">
        <v>38</v>
      </c>
      <c r="C310" s="1" t="s">
        <v>38</v>
      </c>
      <c r="D310" s="3" t="s">
        <v>549</v>
      </c>
      <c r="E310" s="1" t="s">
        <v>190</v>
      </c>
      <c r="F310" s="1">
        <v>1995</v>
      </c>
      <c r="G310" s="1" t="s">
        <v>162</v>
      </c>
      <c r="H310" s="3" t="s">
        <v>191</v>
      </c>
      <c r="I310" s="3" t="s">
        <v>192</v>
      </c>
      <c r="J310" s="1" t="s">
        <v>193</v>
      </c>
      <c r="K310" s="1" t="s">
        <v>45</v>
      </c>
      <c r="L310" s="3" t="s">
        <v>46</v>
      </c>
      <c r="M310" s="1" t="s">
        <v>12</v>
      </c>
      <c r="N310" s="1" t="s">
        <v>80</v>
      </c>
      <c r="O310" s="1">
        <v>1.4999999999999999E-2</v>
      </c>
      <c r="P310" s="1" t="s">
        <v>49</v>
      </c>
      <c r="Q310" s="1">
        <v>1.4999999999999999E-2</v>
      </c>
      <c r="R310" s="1">
        <v>0.5</v>
      </c>
      <c r="S310" s="1" t="s">
        <v>49</v>
      </c>
      <c r="T310" s="1" t="s">
        <v>49</v>
      </c>
      <c r="U310" s="1" t="s">
        <v>194</v>
      </c>
      <c r="V310" s="3" t="s">
        <v>195</v>
      </c>
      <c r="W310" s="3">
        <v>34.4</v>
      </c>
      <c r="X310" s="3">
        <v>-119.54</v>
      </c>
      <c r="Y310" s="1" t="s">
        <v>48</v>
      </c>
      <c r="Z310" s="1" t="s">
        <v>49</v>
      </c>
      <c r="AA310" s="1" t="s">
        <v>49</v>
      </c>
      <c r="AB310" s="3" t="s">
        <v>49</v>
      </c>
      <c r="AC310" s="3" t="s">
        <v>49</v>
      </c>
      <c r="AD310" s="1" t="s">
        <v>203</v>
      </c>
      <c r="AE310" s="1" t="s">
        <v>198</v>
      </c>
      <c r="AF310" s="1" t="s">
        <v>49</v>
      </c>
      <c r="AG310" s="1" t="s">
        <v>49</v>
      </c>
      <c r="AH310" s="1" t="s">
        <v>199</v>
      </c>
      <c r="AI310" s="1" t="s">
        <v>200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1</v>
      </c>
      <c r="AQ310" s="6" t="s">
        <v>49</v>
      </c>
      <c r="AR310" s="6" t="s">
        <v>49</v>
      </c>
      <c r="AS310" s="6" t="s">
        <v>49</v>
      </c>
      <c r="AT310" s="6" t="s">
        <v>49</v>
      </c>
      <c r="AU310" s="1" t="s">
        <v>49</v>
      </c>
      <c r="AV310" s="30" t="s">
        <v>49</v>
      </c>
      <c r="AW310" s="30"/>
    </row>
    <row r="311" spans="1:49" s="6" customFormat="1" ht="14.4" customHeight="1">
      <c r="A311" s="1">
        <v>20</v>
      </c>
      <c r="B311" s="1" t="s">
        <v>38</v>
      </c>
      <c r="C311" s="1" t="s">
        <v>38</v>
      </c>
      <c r="D311" s="3" t="s">
        <v>549</v>
      </c>
      <c r="E311" s="1" t="s">
        <v>190</v>
      </c>
      <c r="F311" s="1">
        <v>1995</v>
      </c>
      <c r="G311" s="1" t="s">
        <v>162</v>
      </c>
      <c r="H311" s="3" t="s">
        <v>191</v>
      </c>
      <c r="I311" s="3" t="s">
        <v>192</v>
      </c>
      <c r="J311" s="1" t="s">
        <v>193</v>
      </c>
      <c r="K311" s="1" t="s">
        <v>45</v>
      </c>
      <c r="L311" s="3" t="s">
        <v>46</v>
      </c>
      <c r="M311" s="1" t="s">
        <v>12</v>
      </c>
      <c r="N311" s="1" t="s">
        <v>80</v>
      </c>
      <c r="O311" s="1">
        <v>1.4999999999999999E-2</v>
      </c>
      <c r="P311" s="1" t="s">
        <v>49</v>
      </c>
      <c r="Q311" s="1">
        <v>1.4999999999999999E-2</v>
      </c>
      <c r="R311" s="1">
        <v>0.5</v>
      </c>
      <c r="S311" s="1" t="s">
        <v>49</v>
      </c>
      <c r="T311" s="1" t="s">
        <v>49</v>
      </c>
      <c r="U311" s="1" t="s">
        <v>194</v>
      </c>
      <c r="V311" s="3" t="s">
        <v>195</v>
      </c>
      <c r="W311" s="3">
        <v>34.4</v>
      </c>
      <c r="X311" s="3">
        <v>-119.54</v>
      </c>
      <c r="Y311" s="1" t="s">
        <v>48</v>
      </c>
      <c r="Z311" s="1" t="s">
        <v>49</v>
      </c>
      <c r="AA311" s="1" t="s">
        <v>49</v>
      </c>
      <c r="AB311" s="3" t="s">
        <v>49</v>
      </c>
      <c r="AC311" s="3" t="s">
        <v>49</v>
      </c>
      <c r="AD311" s="1" t="s">
        <v>203</v>
      </c>
      <c r="AE311" s="1" t="s">
        <v>214</v>
      </c>
      <c r="AF311" s="1" t="s">
        <v>49</v>
      </c>
      <c r="AG311" s="1" t="s">
        <v>49</v>
      </c>
      <c r="AH311" s="1" t="s">
        <v>199</v>
      </c>
      <c r="AI311" s="1" t="s">
        <v>200</v>
      </c>
      <c r="AJ311" s="1" t="s">
        <v>49</v>
      </c>
      <c r="AK311" s="1" t="s">
        <v>49</v>
      </c>
      <c r="AL311" s="1" t="s">
        <v>49</v>
      </c>
      <c r="AM311" s="1" t="s">
        <v>49</v>
      </c>
      <c r="AN311" s="1" t="s">
        <v>49</v>
      </c>
      <c r="AO311" s="1" t="s">
        <v>49</v>
      </c>
      <c r="AP311" s="6">
        <v>1</v>
      </c>
      <c r="AQ311" s="6">
        <v>0.442</v>
      </c>
      <c r="AR311" s="6" t="s">
        <v>49</v>
      </c>
      <c r="AS311" s="6" t="s">
        <v>49</v>
      </c>
      <c r="AT311" s="6" t="s">
        <v>49</v>
      </c>
      <c r="AU311" s="1" t="s">
        <v>49</v>
      </c>
      <c r="AV311" s="30" t="s">
        <v>49</v>
      </c>
      <c r="AW311" s="30"/>
    </row>
    <row r="312" spans="1:49" s="6" customFormat="1" ht="14.4" customHeight="1">
      <c r="A312" s="1">
        <v>20</v>
      </c>
      <c r="B312" s="1" t="s">
        <v>38</v>
      </c>
      <c r="C312" s="1" t="s">
        <v>38</v>
      </c>
      <c r="D312" s="3" t="s">
        <v>549</v>
      </c>
      <c r="E312" s="1" t="s">
        <v>190</v>
      </c>
      <c r="F312" s="1">
        <v>1995</v>
      </c>
      <c r="G312" s="1" t="s">
        <v>162</v>
      </c>
      <c r="H312" s="3" t="s">
        <v>191</v>
      </c>
      <c r="I312" s="3" t="s">
        <v>192</v>
      </c>
      <c r="J312" s="1" t="s">
        <v>193</v>
      </c>
      <c r="K312" s="1" t="s">
        <v>45</v>
      </c>
      <c r="L312" s="3" t="s">
        <v>46</v>
      </c>
      <c r="M312" s="1" t="s">
        <v>12</v>
      </c>
      <c r="N312" s="1" t="s">
        <v>80</v>
      </c>
      <c r="O312" s="1">
        <v>1.4999999999999999E-2</v>
      </c>
      <c r="P312" s="1" t="s">
        <v>49</v>
      </c>
      <c r="Q312" s="1">
        <v>1.4999999999999999E-2</v>
      </c>
      <c r="R312" s="1">
        <v>0.5</v>
      </c>
      <c r="S312" s="1" t="s">
        <v>49</v>
      </c>
      <c r="T312" s="1" t="s">
        <v>49</v>
      </c>
      <c r="U312" s="1" t="s">
        <v>194</v>
      </c>
      <c r="V312" s="3" t="s">
        <v>195</v>
      </c>
      <c r="W312" s="3">
        <v>34.4</v>
      </c>
      <c r="X312" s="3">
        <v>-119.54</v>
      </c>
      <c r="Y312" s="1" t="s">
        <v>48</v>
      </c>
      <c r="Z312" s="1" t="s">
        <v>49</v>
      </c>
      <c r="AA312" s="1" t="s">
        <v>49</v>
      </c>
      <c r="AB312" s="3" t="s">
        <v>49</v>
      </c>
      <c r="AC312" s="3" t="s">
        <v>49</v>
      </c>
      <c r="AD312" s="1" t="s">
        <v>203</v>
      </c>
      <c r="AE312" s="1" t="s">
        <v>213</v>
      </c>
      <c r="AF312" s="1" t="s">
        <v>49</v>
      </c>
      <c r="AG312" s="1" t="s">
        <v>49</v>
      </c>
      <c r="AH312" s="1" t="s">
        <v>199</v>
      </c>
      <c r="AI312" s="1" t="s">
        <v>200</v>
      </c>
      <c r="AJ312" s="1" t="s">
        <v>49</v>
      </c>
      <c r="AK312" s="1" t="s">
        <v>49</v>
      </c>
      <c r="AL312" s="1" t="s">
        <v>49</v>
      </c>
      <c r="AM312" s="1" t="s">
        <v>49</v>
      </c>
      <c r="AN312" s="1" t="s">
        <v>49</v>
      </c>
      <c r="AO312" s="1" t="s">
        <v>49</v>
      </c>
      <c r="AP312" s="6">
        <v>1</v>
      </c>
      <c r="AQ312" s="6">
        <v>0.42</v>
      </c>
      <c r="AR312" s="6" t="s">
        <v>49</v>
      </c>
      <c r="AS312" s="6" t="s">
        <v>49</v>
      </c>
      <c r="AT312" s="6" t="s">
        <v>49</v>
      </c>
      <c r="AU312" s="1" t="s">
        <v>49</v>
      </c>
      <c r="AV312" s="30" t="s">
        <v>49</v>
      </c>
      <c r="AW312" s="30"/>
    </row>
    <row r="313" spans="1:49" s="6" customFormat="1" ht="14.4" customHeight="1">
      <c r="A313" s="1">
        <v>20</v>
      </c>
      <c r="B313" s="1" t="s">
        <v>38</v>
      </c>
      <c r="C313" s="1" t="s">
        <v>38</v>
      </c>
      <c r="D313" s="3" t="s">
        <v>549</v>
      </c>
      <c r="E313" s="1" t="s">
        <v>190</v>
      </c>
      <c r="F313" s="1">
        <v>1995</v>
      </c>
      <c r="G313" s="1" t="s">
        <v>162</v>
      </c>
      <c r="H313" s="3" t="s">
        <v>191</v>
      </c>
      <c r="I313" s="3" t="s">
        <v>192</v>
      </c>
      <c r="J313" s="1" t="s">
        <v>193</v>
      </c>
      <c r="K313" s="1" t="s">
        <v>45</v>
      </c>
      <c r="L313" s="3" t="s">
        <v>46</v>
      </c>
      <c r="M313" s="1" t="s">
        <v>12</v>
      </c>
      <c r="N313" s="1" t="s">
        <v>80</v>
      </c>
      <c r="O313" s="1">
        <v>1.4999999999999999E-2</v>
      </c>
      <c r="P313" s="1" t="s">
        <v>49</v>
      </c>
      <c r="Q313" s="1">
        <v>1.4999999999999999E-2</v>
      </c>
      <c r="R313" s="1">
        <v>0.5</v>
      </c>
      <c r="S313" s="1" t="s">
        <v>49</v>
      </c>
      <c r="T313" s="1" t="s">
        <v>49</v>
      </c>
      <c r="U313" s="1" t="s">
        <v>194</v>
      </c>
      <c r="V313" s="3" t="s">
        <v>195</v>
      </c>
      <c r="W313" s="3">
        <v>34.4</v>
      </c>
      <c r="X313" s="3">
        <v>-119.54</v>
      </c>
      <c r="Y313" s="1" t="s">
        <v>48</v>
      </c>
      <c r="Z313" s="1" t="s">
        <v>49</v>
      </c>
      <c r="AA313" s="1" t="s">
        <v>49</v>
      </c>
      <c r="AB313" s="3" t="s">
        <v>49</v>
      </c>
      <c r="AC313" s="3" t="s">
        <v>49</v>
      </c>
      <c r="AD313" s="1" t="s">
        <v>210</v>
      </c>
      <c r="AE313" s="1" t="s">
        <v>212</v>
      </c>
      <c r="AF313" s="1" t="s">
        <v>49</v>
      </c>
      <c r="AG313" s="1" t="s">
        <v>49</v>
      </c>
      <c r="AH313" s="1" t="s">
        <v>199</v>
      </c>
      <c r="AI313" s="1" t="s">
        <v>200</v>
      </c>
      <c r="AJ313" s="1" t="s">
        <v>49</v>
      </c>
      <c r="AK313" s="1" t="s">
        <v>49</v>
      </c>
      <c r="AL313" s="1" t="s">
        <v>49</v>
      </c>
      <c r="AM313" s="1" t="s">
        <v>49</v>
      </c>
      <c r="AN313" s="1" t="s">
        <v>49</v>
      </c>
      <c r="AO313" s="1" t="s">
        <v>49</v>
      </c>
      <c r="AP313" s="6">
        <v>1</v>
      </c>
      <c r="AQ313" s="6">
        <v>-0.14699999999999999</v>
      </c>
      <c r="AR313" s="6" t="s">
        <v>49</v>
      </c>
      <c r="AS313" s="6" t="s">
        <v>49</v>
      </c>
      <c r="AT313" s="6" t="s">
        <v>49</v>
      </c>
      <c r="AU313" s="1" t="s">
        <v>49</v>
      </c>
      <c r="AV313" s="30" t="s">
        <v>49</v>
      </c>
      <c r="AW313" s="30"/>
    </row>
    <row r="314" spans="1:49" s="6" customFormat="1" ht="14.4" customHeight="1">
      <c r="A314" s="1">
        <v>20</v>
      </c>
      <c r="B314" s="1" t="s">
        <v>38</v>
      </c>
      <c r="C314" s="1" t="s">
        <v>38</v>
      </c>
      <c r="D314" s="3" t="s">
        <v>549</v>
      </c>
      <c r="E314" s="1" t="s">
        <v>190</v>
      </c>
      <c r="F314" s="1">
        <v>1995</v>
      </c>
      <c r="G314" s="1" t="s">
        <v>162</v>
      </c>
      <c r="H314" s="3" t="s">
        <v>191</v>
      </c>
      <c r="I314" s="3" t="s">
        <v>192</v>
      </c>
      <c r="J314" s="1" t="s">
        <v>193</v>
      </c>
      <c r="K314" s="1" t="s">
        <v>45</v>
      </c>
      <c r="L314" s="3" t="s">
        <v>46</v>
      </c>
      <c r="M314" s="1" t="s">
        <v>12</v>
      </c>
      <c r="N314" s="1" t="s">
        <v>80</v>
      </c>
      <c r="O314" s="1">
        <v>1.4999999999999999E-2</v>
      </c>
      <c r="P314" s="1" t="s">
        <v>49</v>
      </c>
      <c r="Q314" s="1">
        <v>1.4999999999999999E-2</v>
      </c>
      <c r="R314" s="1">
        <v>0.5</v>
      </c>
      <c r="S314" s="1" t="s">
        <v>49</v>
      </c>
      <c r="T314" s="1" t="s">
        <v>49</v>
      </c>
      <c r="U314" s="1" t="s">
        <v>194</v>
      </c>
      <c r="V314" s="3" t="s">
        <v>195</v>
      </c>
      <c r="W314" s="3">
        <v>34.4</v>
      </c>
      <c r="X314" s="3">
        <v>-119.54</v>
      </c>
      <c r="Y314" s="1" t="s">
        <v>48</v>
      </c>
      <c r="Z314" s="1" t="s">
        <v>49</v>
      </c>
      <c r="AA314" s="1" t="s">
        <v>49</v>
      </c>
      <c r="AB314" s="3" t="s">
        <v>49</v>
      </c>
      <c r="AC314" s="3" t="s">
        <v>49</v>
      </c>
      <c r="AD314" s="1" t="s">
        <v>210</v>
      </c>
      <c r="AE314" s="1" t="s">
        <v>205</v>
      </c>
      <c r="AF314" s="1" t="s">
        <v>49</v>
      </c>
      <c r="AG314" s="1" t="s">
        <v>49</v>
      </c>
      <c r="AH314" s="1" t="s">
        <v>199</v>
      </c>
      <c r="AI314" s="1" t="s">
        <v>200</v>
      </c>
      <c r="AJ314" s="1" t="s">
        <v>49</v>
      </c>
      <c r="AK314" s="1" t="s">
        <v>49</v>
      </c>
      <c r="AL314" s="1" t="s">
        <v>49</v>
      </c>
      <c r="AM314" s="1" t="s">
        <v>49</v>
      </c>
      <c r="AN314" s="1" t="s">
        <v>49</v>
      </c>
      <c r="AO314" s="1" t="s">
        <v>49</v>
      </c>
      <c r="AP314" s="6">
        <v>1</v>
      </c>
      <c r="AQ314" s="6">
        <v>-8.9999999999999993E-3</v>
      </c>
      <c r="AR314" s="6" t="s">
        <v>49</v>
      </c>
      <c r="AS314" s="6" t="s">
        <v>49</v>
      </c>
      <c r="AT314" s="6" t="s">
        <v>49</v>
      </c>
      <c r="AU314" s="1" t="s">
        <v>49</v>
      </c>
      <c r="AV314" s="30" t="s">
        <v>49</v>
      </c>
      <c r="AW314" s="30"/>
    </row>
    <row r="315" spans="1:49" s="6" customFormat="1" ht="14.4" customHeight="1">
      <c r="A315" s="1">
        <v>20</v>
      </c>
      <c r="B315" s="1" t="s">
        <v>38</v>
      </c>
      <c r="C315" s="1" t="s">
        <v>38</v>
      </c>
      <c r="D315" s="3" t="s">
        <v>549</v>
      </c>
      <c r="E315" s="1" t="s">
        <v>190</v>
      </c>
      <c r="F315" s="1">
        <v>1995</v>
      </c>
      <c r="G315" s="1" t="s">
        <v>162</v>
      </c>
      <c r="H315" s="3" t="s">
        <v>191</v>
      </c>
      <c r="I315" s="3" t="s">
        <v>192</v>
      </c>
      <c r="J315" s="1" t="s">
        <v>193</v>
      </c>
      <c r="K315" s="1" t="s">
        <v>45</v>
      </c>
      <c r="L315" s="3" t="s">
        <v>46</v>
      </c>
      <c r="M315" s="1" t="s">
        <v>12</v>
      </c>
      <c r="N315" s="1" t="s">
        <v>80</v>
      </c>
      <c r="O315" s="1">
        <v>1.4999999999999999E-2</v>
      </c>
      <c r="P315" s="1" t="s">
        <v>49</v>
      </c>
      <c r="Q315" s="1">
        <v>1.4999999999999999E-2</v>
      </c>
      <c r="R315" s="1">
        <v>0.5</v>
      </c>
      <c r="S315" s="1" t="s">
        <v>49</v>
      </c>
      <c r="T315" s="1" t="s">
        <v>49</v>
      </c>
      <c r="U315" s="1" t="s">
        <v>194</v>
      </c>
      <c r="V315" s="3" t="s">
        <v>195</v>
      </c>
      <c r="W315" s="3">
        <v>34.4</v>
      </c>
      <c r="X315" s="3">
        <v>-119.54</v>
      </c>
      <c r="Y315" s="1" t="s">
        <v>48</v>
      </c>
      <c r="Z315" s="1" t="s">
        <v>49</v>
      </c>
      <c r="AA315" s="1" t="s">
        <v>49</v>
      </c>
      <c r="AB315" s="3" t="s">
        <v>49</v>
      </c>
      <c r="AC315" s="3" t="s">
        <v>49</v>
      </c>
      <c r="AD315" s="1" t="s">
        <v>210</v>
      </c>
      <c r="AE315" s="1" t="s">
        <v>206</v>
      </c>
      <c r="AF315" s="1" t="s">
        <v>49</v>
      </c>
      <c r="AG315" s="1" t="s">
        <v>49</v>
      </c>
      <c r="AH315" s="1" t="s">
        <v>199</v>
      </c>
      <c r="AI315" s="1" t="s">
        <v>200</v>
      </c>
      <c r="AJ315" s="1" t="s">
        <v>49</v>
      </c>
      <c r="AK315" s="1" t="s">
        <v>49</v>
      </c>
      <c r="AL315" s="1" t="s">
        <v>49</v>
      </c>
      <c r="AM315" s="1" t="s">
        <v>49</v>
      </c>
      <c r="AN315" s="1" t="s">
        <v>49</v>
      </c>
      <c r="AO315" s="1" t="s">
        <v>49</v>
      </c>
      <c r="AP315" s="6">
        <v>1</v>
      </c>
      <c r="AQ315" s="6">
        <v>0.125</v>
      </c>
      <c r="AR315" s="6" t="s">
        <v>49</v>
      </c>
      <c r="AS315" s="6" t="s">
        <v>49</v>
      </c>
      <c r="AT315" s="6" t="s">
        <v>49</v>
      </c>
      <c r="AU315" s="1" t="s">
        <v>49</v>
      </c>
      <c r="AV315" s="30" t="s">
        <v>49</v>
      </c>
      <c r="AW315" s="30"/>
    </row>
    <row r="316" spans="1:49" s="6" customFormat="1" ht="14.4" customHeight="1">
      <c r="A316" s="1">
        <v>20</v>
      </c>
      <c r="B316" s="1" t="s">
        <v>38</v>
      </c>
      <c r="C316" s="1" t="s">
        <v>38</v>
      </c>
      <c r="D316" s="3" t="s">
        <v>549</v>
      </c>
      <c r="E316" s="1" t="s">
        <v>190</v>
      </c>
      <c r="F316" s="1">
        <v>1995</v>
      </c>
      <c r="G316" s="1" t="s">
        <v>162</v>
      </c>
      <c r="H316" s="3" t="s">
        <v>191</v>
      </c>
      <c r="I316" s="3" t="s">
        <v>192</v>
      </c>
      <c r="J316" s="1" t="s">
        <v>193</v>
      </c>
      <c r="K316" s="1" t="s">
        <v>45</v>
      </c>
      <c r="L316" s="3" t="s">
        <v>46</v>
      </c>
      <c r="M316" s="1" t="s">
        <v>12</v>
      </c>
      <c r="N316" s="1" t="s">
        <v>80</v>
      </c>
      <c r="O316" s="1">
        <v>1.4999999999999999E-2</v>
      </c>
      <c r="P316" s="1" t="s">
        <v>49</v>
      </c>
      <c r="Q316" s="1">
        <v>1.4999999999999999E-2</v>
      </c>
      <c r="R316" s="1">
        <v>0.5</v>
      </c>
      <c r="S316" s="1" t="s">
        <v>49</v>
      </c>
      <c r="T316" s="1" t="s">
        <v>49</v>
      </c>
      <c r="U316" s="1" t="s">
        <v>194</v>
      </c>
      <c r="V316" s="3" t="s">
        <v>195</v>
      </c>
      <c r="W316" s="3">
        <v>34.4</v>
      </c>
      <c r="X316" s="3">
        <v>-119.54</v>
      </c>
      <c r="Y316" s="1" t="s">
        <v>48</v>
      </c>
      <c r="Z316" s="1" t="s">
        <v>49</v>
      </c>
      <c r="AA316" s="1" t="s">
        <v>49</v>
      </c>
      <c r="AB316" s="3" t="s">
        <v>49</v>
      </c>
      <c r="AC316" s="3" t="s">
        <v>49</v>
      </c>
      <c r="AD316" s="1" t="s">
        <v>210</v>
      </c>
      <c r="AE316" s="1" t="s">
        <v>207</v>
      </c>
      <c r="AF316" s="1" t="s">
        <v>49</v>
      </c>
      <c r="AG316" s="1" t="s">
        <v>49</v>
      </c>
      <c r="AH316" s="1" t="s">
        <v>199</v>
      </c>
      <c r="AI316" s="1" t="s">
        <v>200</v>
      </c>
      <c r="AJ316" s="1" t="s">
        <v>49</v>
      </c>
      <c r="AK316" s="1" t="s">
        <v>49</v>
      </c>
      <c r="AL316" s="1" t="s">
        <v>49</v>
      </c>
      <c r="AM316" s="1" t="s">
        <v>49</v>
      </c>
      <c r="AN316" s="1" t="s">
        <v>49</v>
      </c>
      <c r="AO316" s="1" t="s">
        <v>49</v>
      </c>
      <c r="AP316" s="6">
        <v>1</v>
      </c>
      <c r="AQ316" s="6">
        <v>-0.22700000000000001</v>
      </c>
      <c r="AR316" s="6" t="s">
        <v>49</v>
      </c>
      <c r="AS316" s="6" t="s">
        <v>49</v>
      </c>
      <c r="AT316" s="6" t="s">
        <v>49</v>
      </c>
      <c r="AU316" s="1" t="s">
        <v>49</v>
      </c>
      <c r="AV316" s="30" t="s">
        <v>49</v>
      </c>
      <c r="AW316" s="30"/>
    </row>
    <row r="317" spans="1:49" s="6" customFormat="1" ht="14.4" customHeight="1">
      <c r="A317" s="1">
        <v>20</v>
      </c>
      <c r="B317" s="1" t="s">
        <v>38</v>
      </c>
      <c r="C317" s="1" t="s">
        <v>38</v>
      </c>
      <c r="D317" s="3" t="s">
        <v>549</v>
      </c>
      <c r="E317" s="1" t="s">
        <v>190</v>
      </c>
      <c r="F317" s="1">
        <v>1995</v>
      </c>
      <c r="G317" s="1" t="s">
        <v>162</v>
      </c>
      <c r="H317" s="3" t="s">
        <v>191</v>
      </c>
      <c r="I317" s="3" t="s">
        <v>192</v>
      </c>
      <c r="J317" s="1" t="s">
        <v>193</v>
      </c>
      <c r="K317" s="1" t="s">
        <v>45</v>
      </c>
      <c r="L317" s="3" t="s">
        <v>46</v>
      </c>
      <c r="M317" s="1" t="s">
        <v>12</v>
      </c>
      <c r="N317" s="1" t="s">
        <v>80</v>
      </c>
      <c r="O317" s="1">
        <v>1.4999999999999999E-2</v>
      </c>
      <c r="P317" s="1" t="s">
        <v>49</v>
      </c>
      <c r="Q317" s="1">
        <v>1.4999999999999999E-2</v>
      </c>
      <c r="R317" s="1">
        <v>0.5</v>
      </c>
      <c r="S317" s="1" t="s">
        <v>49</v>
      </c>
      <c r="T317" s="1" t="s">
        <v>49</v>
      </c>
      <c r="U317" s="1" t="s">
        <v>194</v>
      </c>
      <c r="V317" s="3" t="s">
        <v>195</v>
      </c>
      <c r="W317" s="3">
        <v>34.4</v>
      </c>
      <c r="X317" s="3">
        <v>-119.54</v>
      </c>
      <c r="Y317" s="1" t="s">
        <v>48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210</v>
      </c>
      <c r="AE317" s="1" t="s">
        <v>198</v>
      </c>
      <c r="AF317" s="1" t="s">
        <v>49</v>
      </c>
      <c r="AG317" s="1" t="s">
        <v>49</v>
      </c>
      <c r="AH317" s="1" t="s">
        <v>199</v>
      </c>
      <c r="AI317" s="1" t="s">
        <v>200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-0.23400000000000001</v>
      </c>
      <c r="AR317" s="6" t="s">
        <v>49</v>
      </c>
      <c r="AS317" s="6" t="s">
        <v>49</v>
      </c>
      <c r="AT317" s="6" t="s">
        <v>49</v>
      </c>
      <c r="AU317" s="1" t="s">
        <v>49</v>
      </c>
      <c r="AV317" s="30" t="s">
        <v>49</v>
      </c>
      <c r="AW317" s="30"/>
    </row>
    <row r="318" spans="1:49" s="6" customFormat="1" ht="14.4" customHeight="1">
      <c r="A318" s="1">
        <v>20</v>
      </c>
      <c r="B318" s="1" t="s">
        <v>38</v>
      </c>
      <c r="C318" s="1" t="s">
        <v>38</v>
      </c>
      <c r="D318" s="3" t="s">
        <v>549</v>
      </c>
      <c r="E318" s="1" t="s">
        <v>190</v>
      </c>
      <c r="F318" s="1">
        <v>1995</v>
      </c>
      <c r="G318" s="1" t="s">
        <v>162</v>
      </c>
      <c r="H318" s="3" t="s">
        <v>191</v>
      </c>
      <c r="I318" s="3" t="s">
        <v>192</v>
      </c>
      <c r="J318" s="1" t="s">
        <v>193</v>
      </c>
      <c r="K318" s="1" t="s">
        <v>45</v>
      </c>
      <c r="L318" s="3" t="s">
        <v>46</v>
      </c>
      <c r="M318" s="1" t="s">
        <v>12</v>
      </c>
      <c r="N318" s="1" t="s">
        <v>80</v>
      </c>
      <c r="O318" s="1">
        <v>1.4999999999999999E-2</v>
      </c>
      <c r="P318" s="1" t="s">
        <v>49</v>
      </c>
      <c r="Q318" s="1">
        <v>1.4999999999999999E-2</v>
      </c>
      <c r="R318" s="1">
        <v>0.5</v>
      </c>
      <c r="S318" s="1" t="s">
        <v>49</v>
      </c>
      <c r="T318" s="1" t="s">
        <v>49</v>
      </c>
      <c r="U318" s="1" t="s">
        <v>194</v>
      </c>
      <c r="V318" s="3" t="s">
        <v>195</v>
      </c>
      <c r="W318" s="3">
        <v>34.4</v>
      </c>
      <c r="X318" s="3">
        <v>-119.54</v>
      </c>
      <c r="Y318" s="1" t="s">
        <v>48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210</v>
      </c>
      <c r="AE318" s="1" t="s">
        <v>214</v>
      </c>
      <c r="AF318" s="1" t="s">
        <v>49</v>
      </c>
      <c r="AG318" s="1" t="s">
        <v>49</v>
      </c>
      <c r="AH318" s="1" t="s">
        <v>199</v>
      </c>
      <c r="AI318" s="1" t="s">
        <v>200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0.28699999999999998</v>
      </c>
      <c r="AR318" s="6" t="s">
        <v>49</v>
      </c>
      <c r="AS318" s="6" t="s">
        <v>49</v>
      </c>
      <c r="AT318" s="6" t="s">
        <v>49</v>
      </c>
      <c r="AU318" s="1" t="s">
        <v>49</v>
      </c>
      <c r="AV318" s="30" t="s">
        <v>49</v>
      </c>
      <c r="AW318" s="30"/>
    </row>
    <row r="319" spans="1:49" s="6" customFormat="1" ht="14.4" customHeight="1">
      <c r="A319" s="1">
        <v>20</v>
      </c>
      <c r="B319" s="1" t="s">
        <v>38</v>
      </c>
      <c r="C319" s="1" t="s">
        <v>38</v>
      </c>
      <c r="D319" s="3" t="s">
        <v>549</v>
      </c>
      <c r="E319" s="1" t="s">
        <v>190</v>
      </c>
      <c r="F319" s="1">
        <v>1995</v>
      </c>
      <c r="G319" s="1" t="s">
        <v>162</v>
      </c>
      <c r="H319" s="3" t="s">
        <v>191</v>
      </c>
      <c r="I319" s="3" t="s">
        <v>192</v>
      </c>
      <c r="J319" s="1" t="s">
        <v>193</v>
      </c>
      <c r="K319" s="1" t="s">
        <v>45</v>
      </c>
      <c r="L319" s="3" t="s">
        <v>46</v>
      </c>
      <c r="M319" s="1" t="s">
        <v>12</v>
      </c>
      <c r="N319" s="1" t="s">
        <v>80</v>
      </c>
      <c r="O319" s="1">
        <v>1.4999999999999999E-2</v>
      </c>
      <c r="P319" s="1" t="s">
        <v>49</v>
      </c>
      <c r="Q319" s="1">
        <v>1.4999999999999999E-2</v>
      </c>
      <c r="R319" s="1">
        <v>0.5</v>
      </c>
      <c r="S319" s="1" t="s">
        <v>49</v>
      </c>
      <c r="T319" s="1" t="s">
        <v>49</v>
      </c>
      <c r="U319" s="1" t="s">
        <v>194</v>
      </c>
      <c r="V319" s="3" t="s">
        <v>195</v>
      </c>
      <c r="W319" s="3">
        <v>34.4</v>
      </c>
      <c r="X319" s="3">
        <v>-119.54</v>
      </c>
      <c r="Y319" s="1" t="s">
        <v>48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210</v>
      </c>
      <c r="AE319" s="1" t="s">
        <v>213</v>
      </c>
      <c r="AF319" s="1" t="s">
        <v>49</v>
      </c>
      <c r="AG319" s="1" t="s">
        <v>49</v>
      </c>
      <c r="AH319" s="1" t="s">
        <v>199</v>
      </c>
      <c r="AI319" s="1" t="s">
        <v>200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9.6000000000000002E-2</v>
      </c>
      <c r="AR319" s="6" t="s">
        <v>49</v>
      </c>
      <c r="AS319" s="6" t="s">
        <v>49</v>
      </c>
      <c r="AT319" s="6" t="s">
        <v>49</v>
      </c>
      <c r="AU319" s="1" t="s">
        <v>49</v>
      </c>
      <c r="AV319" s="30" t="s">
        <v>49</v>
      </c>
      <c r="AW319" s="30"/>
    </row>
    <row r="320" spans="1:49" s="6" customFormat="1" ht="14.4" customHeight="1">
      <c r="A320" s="1">
        <v>20</v>
      </c>
      <c r="B320" s="1" t="s">
        <v>38</v>
      </c>
      <c r="C320" s="1" t="s">
        <v>38</v>
      </c>
      <c r="D320" s="3" t="s">
        <v>549</v>
      </c>
      <c r="E320" s="1" t="s">
        <v>190</v>
      </c>
      <c r="F320" s="1">
        <v>1995</v>
      </c>
      <c r="G320" s="1" t="s">
        <v>162</v>
      </c>
      <c r="H320" s="3" t="s">
        <v>191</v>
      </c>
      <c r="I320" s="3" t="s">
        <v>192</v>
      </c>
      <c r="J320" s="1" t="s">
        <v>193</v>
      </c>
      <c r="K320" s="1" t="s">
        <v>45</v>
      </c>
      <c r="L320" s="3" t="s">
        <v>46</v>
      </c>
      <c r="M320" s="1" t="s">
        <v>12</v>
      </c>
      <c r="N320" s="1" t="s">
        <v>80</v>
      </c>
      <c r="O320" s="1">
        <v>1.4999999999999999E-2</v>
      </c>
      <c r="P320" s="1" t="s">
        <v>49</v>
      </c>
      <c r="Q320" s="1">
        <v>1.4999999999999999E-2</v>
      </c>
      <c r="R320" s="1">
        <v>0.5</v>
      </c>
      <c r="S320" s="1" t="s">
        <v>49</v>
      </c>
      <c r="T320" s="1" t="s">
        <v>49</v>
      </c>
      <c r="U320" s="1" t="s">
        <v>194</v>
      </c>
      <c r="V320" s="3" t="s">
        <v>195</v>
      </c>
      <c r="W320" s="3">
        <v>34.4</v>
      </c>
      <c r="X320" s="3">
        <v>-119.54</v>
      </c>
      <c r="Y320" s="1" t="s">
        <v>48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212</v>
      </c>
      <c r="AE320" s="1" t="s">
        <v>205</v>
      </c>
      <c r="AF320" s="1" t="s">
        <v>49</v>
      </c>
      <c r="AG320" s="1" t="s">
        <v>49</v>
      </c>
      <c r="AH320" s="1" t="s">
        <v>199</v>
      </c>
      <c r="AI320" s="1" t="s">
        <v>200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2.4E-2</v>
      </c>
      <c r="AR320" s="6" t="s">
        <v>49</v>
      </c>
      <c r="AS320" s="6" t="s">
        <v>49</v>
      </c>
      <c r="AT320" s="6" t="s">
        <v>49</v>
      </c>
      <c r="AU320" s="1" t="s">
        <v>49</v>
      </c>
      <c r="AV320" s="30" t="s">
        <v>49</v>
      </c>
      <c r="AW320" s="30"/>
    </row>
    <row r="321" spans="1:49" s="6" customFormat="1" ht="14.4" customHeight="1">
      <c r="A321" s="1">
        <v>20</v>
      </c>
      <c r="B321" s="1" t="s">
        <v>38</v>
      </c>
      <c r="C321" s="1" t="s">
        <v>38</v>
      </c>
      <c r="D321" s="3" t="s">
        <v>549</v>
      </c>
      <c r="E321" s="1" t="s">
        <v>190</v>
      </c>
      <c r="F321" s="1">
        <v>1995</v>
      </c>
      <c r="G321" s="1" t="s">
        <v>162</v>
      </c>
      <c r="H321" s="3" t="s">
        <v>191</v>
      </c>
      <c r="I321" s="3" t="s">
        <v>192</v>
      </c>
      <c r="J321" s="1" t="s">
        <v>193</v>
      </c>
      <c r="K321" s="1" t="s">
        <v>45</v>
      </c>
      <c r="L321" s="3" t="s">
        <v>46</v>
      </c>
      <c r="M321" s="1" t="s">
        <v>12</v>
      </c>
      <c r="N321" s="1" t="s">
        <v>80</v>
      </c>
      <c r="O321" s="1">
        <v>1.4999999999999999E-2</v>
      </c>
      <c r="P321" s="1" t="s">
        <v>49</v>
      </c>
      <c r="Q321" s="1">
        <v>1.4999999999999999E-2</v>
      </c>
      <c r="R321" s="1">
        <v>0.5</v>
      </c>
      <c r="S321" s="1" t="s">
        <v>49</v>
      </c>
      <c r="T321" s="1" t="s">
        <v>49</v>
      </c>
      <c r="U321" s="1" t="s">
        <v>194</v>
      </c>
      <c r="V321" s="3" t="s">
        <v>195</v>
      </c>
      <c r="W321" s="3">
        <v>34.4</v>
      </c>
      <c r="X321" s="3">
        <v>-119.54</v>
      </c>
      <c r="Y321" s="1" t="s">
        <v>48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212</v>
      </c>
      <c r="AE321" s="1" t="s">
        <v>206</v>
      </c>
      <c r="AF321" s="1" t="s">
        <v>49</v>
      </c>
      <c r="AG321" s="1" t="s">
        <v>49</v>
      </c>
      <c r="AH321" s="1" t="s">
        <v>199</v>
      </c>
      <c r="AI321" s="1" t="s">
        <v>200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-0.35199999999999998</v>
      </c>
      <c r="AR321" s="6" t="s">
        <v>49</v>
      </c>
      <c r="AS321" s="6" t="s">
        <v>49</v>
      </c>
      <c r="AT321" s="6" t="s">
        <v>49</v>
      </c>
      <c r="AU321" s="1" t="s">
        <v>49</v>
      </c>
      <c r="AV321" s="30" t="s">
        <v>49</v>
      </c>
      <c r="AW321" s="30"/>
    </row>
    <row r="322" spans="1:49" s="6" customFormat="1" ht="14.4" customHeight="1">
      <c r="A322" s="1">
        <v>20</v>
      </c>
      <c r="B322" s="1" t="s">
        <v>38</v>
      </c>
      <c r="C322" s="1" t="s">
        <v>38</v>
      </c>
      <c r="D322" s="3" t="s">
        <v>549</v>
      </c>
      <c r="E322" s="1" t="s">
        <v>190</v>
      </c>
      <c r="F322" s="1">
        <v>1995</v>
      </c>
      <c r="G322" s="1" t="s">
        <v>162</v>
      </c>
      <c r="H322" s="3" t="s">
        <v>191</v>
      </c>
      <c r="I322" s="3" t="s">
        <v>192</v>
      </c>
      <c r="J322" s="1" t="s">
        <v>193</v>
      </c>
      <c r="K322" s="1" t="s">
        <v>45</v>
      </c>
      <c r="L322" s="3" t="s">
        <v>46</v>
      </c>
      <c r="M322" s="1" t="s">
        <v>12</v>
      </c>
      <c r="N322" s="1" t="s">
        <v>80</v>
      </c>
      <c r="O322" s="1">
        <v>1.4999999999999999E-2</v>
      </c>
      <c r="P322" s="1" t="s">
        <v>49</v>
      </c>
      <c r="Q322" s="1">
        <v>1.4999999999999999E-2</v>
      </c>
      <c r="R322" s="1">
        <v>0.5</v>
      </c>
      <c r="S322" s="1" t="s">
        <v>49</v>
      </c>
      <c r="T322" s="1" t="s">
        <v>49</v>
      </c>
      <c r="U322" s="1" t="s">
        <v>194</v>
      </c>
      <c r="V322" s="3" t="s">
        <v>195</v>
      </c>
      <c r="W322" s="3">
        <v>34.4</v>
      </c>
      <c r="X322" s="3">
        <v>-119.54</v>
      </c>
      <c r="Y322" s="1" t="s">
        <v>48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212</v>
      </c>
      <c r="AE322" s="1" t="s">
        <v>207</v>
      </c>
      <c r="AF322" s="1" t="s">
        <v>49</v>
      </c>
      <c r="AG322" s="1" t="s">
        <v>49</v>
      </c>
      <c r="AH322" s="1" t="s">
        <v>199</v>
      </c>
      <c r="AI322" s="1" t="s">
        <v>200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5.2999999999999999E-2</v>
      </c>
      <c r="AR322" s="6" t="s">
        <v>49</v>
      </c>
      <c r="AS322" s="6" t="s">
        <v>49</v>
      </c>
      <c r="AT322" s="6" t="s">
        <v>49</v>
      </c>
      <c r="AU322" s="1" t="s">
        <v>49</v>
      </c>
      <c r="AV322" s="30" t="s">
        <v>49</v>
      </c>
      <c r="AW322" s="30"/>
    </row>
    <row r="323" spans="1:49" s="6" customFormat="1" ht="14.4" customHeight="1">
      <c r="A323" s="1">
        <v>20</v>
      </c>
      <c r="B323" s="1" t="s">
        <v>38</v>
      </c>
      <c r="C323" s="1" t="s">
        <v>38</v>
      </c>
      <c r="D323" s="3" t="s">
        <v>549</v>
      </c>
      <c r="E323" s="1" t="s">
        <v>190</v>
      </c>
      <c r="F323" s="1">
        <v>1995</v>
      </c>
      <c r="G323" s="1" t="s">
        <v>162</v>
      </c>
      <c r="H323" s="3" t="s">
        <v>191</v>
      </c>
      <c r="I323" s="3" t="s">
        <v>192</v>
      </c>
      <c r="J323" s="1" t="s">
        <v>193</v>
      </c>
      <c r="K323" s="1" t="s">
        <v>45</v>
      </c>
      <c r="L323" s="3" t="s">
        <v>46</v>
      </c>
      <c r="M323" s="1" t="s">
        <v>12</v>
      </c>
      <c r="N323" s="1" t="s">
        <v>80</v>
      </c>
      <c r="O323" s="1">
        <v>1.4999999999999999E-2</v>
      </c>
      <c r="P323" s="1" t="s">
        <v>49</v>
      </c>
      <c r="Q323" s="1">
        <v>1.4999999999999999E-2</v>
      </c>
      <c r="R323" s="1">
        <v>0.5</v>
      </c>
      <c r="S323" s="1" t="s">
        <v>49</v>
      </c>
      <c r="T323" s="1" t="s">
        <v>49</v>
      </c>
      <c r="U323" s="1" t="s">
        <v>194</v>
      </c>
      <c r="V323" s="3" t="s">
        <v>195</v>
      </c>
      <c r="W323" s="3">
        <v>34.4</v>
      </c>
      <c r="X323" s="3">
        <v>-119.54</v>
      </c>
      <c r="Y323" s="1" t="s">
        <v>48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212</v>
      </c>
      <c r="AE323" s="1" t="s">
        <v>198</v>
      </c>
      <c r="AF323" s="1" t="s">
        <v>49</v>
      </c>
      <c r="AG323" s="1" t="s">
        <v>49</v>
      </c>
      <c r="AH323" s="1" t="s">
        <v>199</v>
      </c>
      <c r="AI323" s="1" t="s">
        <v>200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3.2000000000000001E-2</v>
      </c>
      <c r="AR323" s="6" t="s">
        <v>49</v>
      </c>
      <c r="AS323" s="6" t="s">
        <v>49</v>
      </c>
      <c r="AT323" s="6" t="s">
        <v>49</v>
      </c>
      <c r="AU323" s="1" t="s">
        <v>49</v>
      </c>
      <c r="AV323" s="30" t="s">
        <v>49</v>
      </c>
      <c r="AW323" s="30"/>
    </row>
    <row r="324" spans="1:49" s="6" customFormat="1" ht="14.4" customHeight="1">
      <c r="A324" s="1">
        <v>20</v>
      </c>
      <c r="B324" s="1" t="s">
        <v>38</v>
      </c>
      <c r="C324" s="1" t="s">
        <v>38</v>
      </c>
      <c r="D324" s="3" t="s">
        <v>549</v>
      </c>
      <c r="E324" s="1" t="s">
        <v>190</v>
      </c>
      <c r="F324" s="1">
        <v>1995</v>
      </c>
      <c r="G324" s="1" t="s">
        <v>162</v>
      </c>
      <c r="H324" s="3" t="s">
        <v>191</v>
      </c>
      <c r="I324" s="3" t="s">
        <v>192</v>
      </c>
      <c r="J324" s="1" t="s">
        <v>193</v>
      </c>
      <c r="K324" s="1" t="s">
        <v>45</v>
      </c>
      <c r="L324" s="3" t="s">
        <v>46</v>
      </c>
      <c r="M324" s="1" t="s">
        <v>12</v>
      </c>
      <c r="N324" s="1" t="s">
        <v>80</v>
      </c>
      <c r="O324" s="1">
        <v>1.4999999999999999E-2</v>
      </c>
      <c r="P324" s="1" t="s">
        <v>49</v>
      </c>
      <c r="Q324" s="1">
        <v>1.4999999999999999E-2</v>
      </c>
      <c r="R324" s="1">
        <v>0.5</v>
      </c>
      <c r="S324" s="1" t="s">
        <v>49</v>
      </c>
      <c r="T324" s="1" t="s">
        <v>49</v>
      </c>
      <c r="U324" s="1" t="s">
        <v>194</v>
      </c>
      <c r="V324" s="3" t="s">
        <v>195</v>
      </c>
      <c r="W324" s="3">
        <v>34.4</v>
      </c>
      <c r="X324" s="3">
        <v>-119.54</v>
      </c>
      <c r="Y324" s="1" t="s">
        <v>48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212</v>
      </c>
      <c r="AE324" s="1" t="s">
        <v>214</v>
      </c>
      <c r="AF324" s="1" t="s">
        <v>49</v>
      </c>
      <c r="AG324" s="1" t="s">
        <v>49</v>
      </c>
      <c r="AH324" s="1" t="s">
        <v>199</v>
      </c>
      <c r="AI324" s="1" t="s">
        <v>200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7.0000000000000007E-2</v>
      </c>
      <c r="AR324" s="6" t="s">
        <v>49</v>
      </c>
      <c r="AS324" s="6" t="s">
        <v>49</v>
      </c>
      <c r="AT324" s="6" t="s">
        <v>49</v>
      </c>
      <c r="AU324" s="1" t="s">
        <v>49</v>
      </c>
      <c r="AV324" s="30" t="s">
        <v>49</v>
      </c>
      <c r="AW324" s="30"/>
    </row>
    <row r="325" spans="1:49" s="6" customFormat="1" ht="14.4" customHeight="1">
      <c r="A325" s="1">
        <v>20</v>
      </c>
      <c r="B325" s="1" t="s">
        <v>38</v>
      </c>
      <c r="C325" s="1" t="s">
        <v>38</v>
      </c>
      <c r="D325" s="3" t="s">
        <v>549</v>
      </c>
      <c r="E325" s="1" t="s">
        <v>190</v>
      </c>
      <c r="F325" s="1">
        <v>1995</v>
      </c>
      <c r="G325" s="1" t="s">
        <v>162</v>
      </c>
      <c r="H325" s="3" t="s">
        <v>191</v>
      </c>
      <c r="I325" s="3" t="s">
        <v>192</v>
      </c>
      <c r="J325" s="1" t="s">
        <v>193</v>
      </c>
      <c r="K325" s="1" t="s">
        <v>45</v>
      </c>
      <c r="L325" s="3" t="s">
        <v>46</v>
      </c>
      <c r="M325" s="1" t="s">
        <v>12</v>
      </c>
      <c r="N325" s="1" t="s">
        <v>80</v>
      </c>
      <c r="O325" s="1">
        <v>1.4999999999999999E-2</v>
      </c>
      <c r="P325" s="1" t="s">
        <v>49</v>
      </c>
      <c r="Q325" s="1">
        <v>1.4999999999999999E-2</v>
      </c>
      <c r="R325" s="1">
        <v>0.5</v>
      </c>
      <c r="S325" s="1" t="s">
        <v>49</v>
      </c>
      <c r="T325" s="1" t="s">
        <v>49</v>
      </c>
      <c r="U325" s="1" t="s">
        <v>194</v>
      </c>
      <c r="V325" s="3" t="s">
        <v>195</v>
      </c>
      <c r="W325" s="3">
        <v>34.4</v>
      </c>
      <c r="X325" s="3">
        <v>-119.54</v>
      </c>
      <c r="Y325" s="1" t="s">
        <v>48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212</v>
      </c>
      <c r="AE325" s="1" t="s">
        <v>213</v>
      </c>
      <c r="AF325" s="1" t="s">
        <v>49</v>
      </c>
      <c r="AG325" s="1" t="s">
        <v>49</v>
      </c>
      <c r="AH325" s="1" t="s">
        <v>199</v>
      </c>
      <c r="AI325" s="1" t="s">
        <v>200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-0.188</v>
      </c>
      <c r="AR325" s="6" t="s">
        <v>49</v>
      </c>
      <c r="AS325" s="6" t="s">
        <v>49</v>
      </c>
      <c r="AT325" s="6" t="s">
        <v>49</v>
      </c>
      <c r="AU325" s="1" t="s">
        <v>49</v>
      </c>
      <c r="AV325" s="30" t="s">
        <v>49</v>
      </c>
      <c r="AW325" s="30"/>
    </row>
    <row r="326" spans="1:49" s="6" customFormat="1" ht="14.4" customHeight="1">
      <c r="A326" s="1">
        <v>20</v>
      </c>
      <c r="B326" s="1" t="s">
        <v>38</v>
      </c>
      <c r="C326" s="1" t="s">
        <v>38</v>
      </c>
      <c r="D326" s="3" t="s">
        <v>549</v>
      </c>
      <c r="E326" s="1" t="s">
        <v>190</v>
      </c>
      <c r="F326" s="1">
        <v>1995</v>
      </c>
      <c r="G326" s="1" t="s">
        <v>162</v>
      </c>
      <c r="H326" s="3" t="s">
        <v>191</v>
      </c>
      <c r="I326" s="3" t="s">
        <v>192</v>
      </c>
      <c r="J326" s="1" t="s">
        <v>193</v>
      </c>
      <c r="K326" s="1" t="s">
        <v>45</v>
      </c>
      <c r="L326" s="3" t="s">
        <v>46</v>
      </c>
      <c r="M326" s="1" t="s">
        <v>12</v>
      </c>
      <c r="N326" s="1" t="s">
        <v>80</v>
      </c>
      <c r="O326" s="1">
        <v>1.4999999999999999E-2</v>
      </c>
      <c r="P326" s="1" t="s">
        <v>49</v>
      </c>
      <c r="Q326" s="1">
        <v>1.4999999999999999E-2</v>
      </c>
      <c r="R326" s="1">
        <v>0.5</v>
      </c>
      <c r="S326" s="1" t="s">
        <v>49</v>
      </c>
      <c r="T326" s="1" t="s">
        <v>49</v>
      </c>
      <c r="U326" s="1" t="s">
        <v>194</v>
      </c>
      <c r="V326" s="3" t="s">
        <v>195</v>
      </c>
      <c r="W326" s="3">
        <v>34.4</v>
      </c>
      <c r="X326" s="3">
        <v>-119.54</v>
      </c>
      <c r="Y326" s="1" t="s">
        <v>48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205</v>
      </c>
      <c r="AE326" s="1" t="s">
        <v>206</v>
      </c>
      <c r="AF326" s="1" t="s">
        <v>49</v>
      </c>
      <c r="AG326" s="1" t="s">
        <v>49</v>
      </c>
      <c r="AH326" s="1" t="s">
        <v>199</v>
      </c>
      <c r="AI326" s="1" t="s">
        <v>200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0.14099999999999999</v>
      </c>
      <c r="AR326" s="6" t="s">
        <v>49</v>
      </c>
      <c r="AS326" s="6" t="s">
        <v>49</v>
      </c>
      <c r="AT326" s="6" t="s">
        <v>49</v>
      </c>
      <c r="AU326" s="1" t="s">
        <v>49</v>
      </c>
      <c r="AV326" s="30" t="s">
        <v>49</v>
      </c>
      <c r="AW326" s="30"/>
    </row>
    <row r="327" spans="1:49" s="6" customFormat="1" ht="14.4" customHeight="1">
      <c r="A327" s="1">
        <v>20</v>
      </c>
      <c r="B327" s="1" t="s">
        <v>38</v>
      </c>
      <c r="C327" s="1" t="s">
        <v>38</v>
      </c>
      <c r="D327" s="3" t="s">
        <v>549</v>
      </c>
      <c r="E327" s="1" t="s">
        <v>190</v>
      </c>
      <c r="F327" s="1">
        <v>1995</v>
      </c>
      <c r="G327" s="1" t="s">
        <v>162</v>
      </c>
      <c r="H327" s="3" t="s">
        <v>191</v>
      </c>
      <c r="I327" s="3" t="s">
        <v>192</v>
      </c>
      <c r="J327" s="1" t="s">
        <v>193</v>
      </c>
      <c r="K327" s="1" t="s">
        <v>45</v>
      </c>
      <c r="L327" s="3" t="s">
        <v>46</v>
      </c>
      <c r="M327" s="1" t="s">
        <v>12</v>
      </c>
      <c r="N327" s="1" t="s">
        <v>80</v>
      </c>
      <c r="O327" s="1">
        <v>1.4999999999999999E-2</v>
      </c>
      <c r="P327" s="1" t="s">
        <v>49</v>
      </c>
      <c r="Q327" s="1">
        <v>1.4999999999999999E-2</v>
      </c>
      <c r="R327" s="1">
        <v>0.5</v>
      </c>
      <c r="S327" s="1" t="s">
        <v>49</v>
      </c>
      <c r="T327" s="1" t="s">
        <v>49</v>
      </c>
      <c r="U327" s="1" t="s">
        <v>194</v>
      </c>
      <c r="V327" s="3" t="s">
        <v>195</v>
      </c>
      <c r="W327" s="3">
        <v>34.4</v>
      </c>
      <c r="X327" s="3">
        <v>-119.54</v>
      </c>
      <c r="Y327" s="1" t="s">
        <v>48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205</v>
      </c>
      <c r="AE327" s="1" t="s">
        <v>207</v>
      </c>
      <c r="AF327" s="1" t="s">
        <v>49</v>
      </c>
      <c r="AG327" s="1" t="s">
        <v>49</v>
      </c>
      <c r="AH327" s="1" t="s">
        <v>199</v>
      </c>
      <c r="AI327" s="1" t="s">
        <v>200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 t="s">
        <v>49</v>
      </c>
      <c r="AS327" s="6" t="s">
        <v>49</v>
      </c>
      <c r="AT327" s="6" t="s">
        <v>49</v>
      </c>
      <c r="AU327" s="1" t="s">
        <v>49</v>
      </c>
      <c r="AV327" s="30" t="s">
        <v>49</v>
      </c>
      <c r="AW327" s="30"/>
    </row>
    <row r="328" spans="1:49" s="6" customFormat="1" ht="14.4" customHeight="1">
      <c r="A328" s="1">
        <v>20</v>
      </c>
      <c r="B328" s="1" t="s">
        <v>38</v>
      </c>
      <c r="C328" s="1" t="s">
        <v>38</v>
      </c>
      <c r="D328" s="3" t="s">
        <v>549</v>
      </c>
      <c r="E328" s="1" t="s">
        <v>190</v>
      </c>
      <c r="F328" s="1">
        <v>1995</v>
      </c>
      <c r="G328" s="1" t="s">
        <v>162</v>
      </c>
      <c r="H328" s="3" t="s">
        <v>191</v>
      </c>
      <c r="I328" s="3" t="s">
        <v>192</v>
      </c>
      <c r="J328" s="1" t="s">
        <v>193</v>
      </c>
      <c r="K328" s="1" t="s">
        <v>45</v>
      </c>
      <c r="L328" s="3" t="s">
        <v>46</v>
      </c>
      <c r="M328" s="1" t="s">
        <v>12</v>
      </c>
      <c r="N328" s="1" t="s">
        <v>80</v>
      </c>
      <c r="O328" s="1">
        <v>1.4999999999999999E-2</v>
      </c>
      <c r="P328" s="1" t="s">
        <v>49</v>
      </c>
      <c r="Q328" s="1">
        <v>1.4999999999999999E-2</v>
      </c>
      <c r="R328" s="1">
        <v>0.5</v>
      </c>
      <c r="S328" s="1" t="s">
        <v>49</v>
      </c>
      <c r="T328" s="1" t="s">
        <v>49</v>
      </c>
      <c r="U328" s="1" t="s">
        <v>194</v>
      </c>
      <c r="V328" s="3" t="s">
        <v>195</v>
      </c>
      <c r="W328" s="3">
        <v>34.4</v>
      </c>
      <c r="X328" s="3">
        <v>-119.54</v>
      </c>
      <c r="Y328" s="1" t="s">
        <v>48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205</v>
      </c>
      <c r="AE328" s="1" t="s">
        <v>198</v>
      </c>
      <c r="AF328" s="1" t="s">
        <v>49</v>
      </c>
      <c r="AG328" s="1" t="s">
        <v>49</v>
      </c>
      <c r="AH328" s="1" t="s">
        <v>199</v>
      </c>
      <c r="AI328" s="1" t="s">
        <v>200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 t="s">
        <v>49</v>
      </c>
      <c r="AR328" s="6" t="s">
        <v>49</v>
      </c>
      <c r="AS328" s="6" t="s">
        <v>49</v>
      </c>
      <c r="AT328" s="6" t="s">
        <v>49</v>
      </c>
      <c r="AU328" s="1" t="s">
        <v>49</v>
      </c>
      <c r="AV328" s="30" t="s">
        <v>49</v>
      </c>
      <c r="AW328" s="30"/>
    </row>
    <row r="329" spans="1:49" s="6" customFormat="1" ht="14.4" customHeight="1">
      <c r="A329" s="1">
        <v>20</v>
      </c>
      <c r="B329" s="1" t="s">
        <v>38</v>
      </c>
      <c r="C329" s="1" t="s">
        <v>38</v>
      </c>
      <c r="D329" s="3" t="s">
        <v>549</v>
      </c>
      <c r="E329" s="1" t="s">
        <v>190</v>
      </c>
      <c r="F329" s="1">
        <v>1995</v>
      </c>
      <c r="G329" s="1" t="s">
        <v>162</v>
      </c>
      <c r="H329" s="3" t="s">
        <v>191</v>
      </c>
      <c r="I329" s="3" t="s">
        <v>192</v>
      </c>
      <c r="J329" s="1" t="s">
        <v>193</v>
      </c>
      <c r="K329" s="1" t="s">
        <v>45</v>
      </c>
      <c r="L329" s="3" t="s">
        <v>46</v>
      </c>
      <c r="M329" s="1" t="s">
        <v>12</v>
      </c>
      <c r="N329" s="1" t="s">
        <v>80</v>
      </c>
      <c r="O329" s="1">
        <v>1.4999999999999999E-2</v>
      </c>
      <c r="P329" s="1" t="s">
        <v>49</v>
      </c>
      <c r="Q329" s="1">
        <v>1.4999999999999999E-2</v>
      </c>
      <c r="R329" s="1">
        <v>0.5</v>
      </c>
      <c r="S329" s="1" t="s">
        <v>49</v>
      </c>
      <c r="T329" s="1" t="s">
        <v>49</v>
      </c>
      <c r="U329" s="1" t="s">
        <v>194</v>
      </c>
      <c r="V329" s="3" t="s">
        <v>195</v>
      </c>
      <c r="W329" s="3">
        <v>34.4</v>
      </c>
      <c r="X329" s="3">
        <v>-119.54</v>
      </c>
      <c r="Y329" s="1" t="s">
        <v>48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205</v>
      </c>
      <c r="AE329" s="1" t="s">
        <v>214</v>
      </c>
      <c r="AF329" s="1" t="s">
        <v>49</v>
      </c>
      <c r="AG329" s="1" t="s">
        <v>49</v>
      </c>
      <c r="AH329" s="1" t="s">
        <v>199</v>
      </c>
      <c r="AI329" s="1" t="s">
        <v>200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-0.14499999999999999</v>
      </c>
      <c r="AR329" s="6" t="s">
        <v>49</v>
      </c>
      <c r="AS329" s="6" t="s">
        <v>49</v>
      </c>
      <c r="AT329" s="6" t="s">
        <v>49</v>
      </c>
      <c r="AU329" s="1" t="s">
        <v>49</v>
      </c>
      <c r="AV329" s="30" t="s">
        <v>49</v>
      </c>
      <c r="AW329" s="30"/>
    </row>
    <row r="330" spans="1:49" s="6" customFormat="1" ht="14.4" customHeight="1">
      <c r="A330" s="1">
        <v>20</v>
      </c>
      <c r="B330" s="1" t="s">
        <v>38</v>
      </c>
      <c r="C330" s="1" t="s">
        <v>38</v>
      </c>
      <c r="D330" s="3" t="s">
        <v>549</v>
      </c>
      <c r="E330" s="1" t="s">
        <v>190</v>
      </c>
      <c r="F330" s="1">
        <v>1995</v>
      </c>
      <c r="G330" s="1" t="s">
        <v>162</v>
      </c>
      <c r="H330" s="3" t="s">
        <v>191</v>
      </c>
      <c r="I330" s="3" t="s">
        <v>192</v>
      </c>
      <c r="J330" s="1" t="s">
        <v>193</v>
      </c>
      <c r="K330" s="1" t="s">
        <v>45</v>
      </c>
      <c r="L330" s="3" t="s">
        <v>46</v>
      </c>
      <c r="M330" s="1" t="s">
        <v>12</v>
      </c>
      <c r="N330" s="1" t="s">
        <v>80</v>
      </c>
      <c r="O330" s="1">
        <v>1.4999999999999999E-2</v>
      </c>
      <c r="P330" s="1" t="s">
        <v>49</v>
      </c>
      <c r="Q330" s="1">
        <v>1.4999999999999999E-2</v>
      </c>
      <c r="R330" s="1">
        <v>0.5</v>
      </c>
      <c r="S330" s="1" t="s">
        <v>49</v>
      </c>
      <c r="T330" s="1" t="s">
        <v>49</v>
      </c>
      <c r="U330" s="1" t="s">
        <v>194</v>
      </c>
      <c r="V330" s="3" t="s">
        <v>195</v>
      </c>
      <c r="W330" s="3">
        <v>34.4</v>
      </c>
      <c r="X330" s="3">
        <v>-119.54</v>
      </c>
      <c r="Y330" s="1" t="s">
        <v>48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205</v>
      </c>
      <c r="AE330" s="1" t="s">
        <v>213</v>
      </c>
      <c r="AF330" s="1" t="s">
        <v>49</v>
      </c>
      <c r="AG330" s="1" t="s">
        <v>49</v>
      </c>
      <c r="AH330" s="1" t="s">
        <v>199</v>
      </c>
      <c r="AI330" s="1" t="s">
        <v>200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5.5E-2</v>
      </c>
      <c r="AR330" s="6" t="s">
        <v>49</v>
      </c>
      <c r="AS330" s="6" t="s">
        <v>49</v>
      </c>
      <c r="AT330" s="6" t="s">
        <v>49</v>
      </c>
      <c r="AU330" s="1" t="s">
        <v>49</v>
      </c>
      <c r="AV330" s="30" t="s">
        <v>49</v>
      </c>
      <c r="AW330" s="30"/>
    </row>
    <row r="331" spans="1:49" s="6" customFormat="1" ht="14.4" customHeight="1">
      <c r="A331" s="1">
        <v>20</v>
      </c>
      <c r="B331" s="1" t="s">
        <v>38</v>
      </c>
      <c r="C331" s="1" t="s">
        <v>38</v>
      </c>
      <c r="D331" s="3" t="s">
        <v>549</v>
      </c>
      <c r="E331" s="1" t="s">
        <v>190</v>
      </c>
      <c r="F331" s="1">
        <v>1995</v>
      </c>
      <c r="G331" s="1" t="s">
        <v>162</v>
      </c>
      <c r="H331" s="3" t="s">
        <v>191</v>
      </c>
      <c r="I331" s="3" t="s">
        <v>192</v>
      </c>
      <c r="J331" s="1" t="s">
        <v>193</v>
      </c>
      <c r="K331" s="1" t="s">
        <v>45</v>
      </c>
      <c r="L331" s="3" t="s">
        <v>46</v>
      </c>
      <c r="M331" s="1" t="s">
        <v>12</v>
      </c>
      <c r="N331" s="1" t="s">
        <v>80</v>
      </c>
      <c r="O331" s="1">
        <v>1.4999999999999999E-2</v>
      </c>
      <c r="P331" s="1" t="s">
        <v>49</v>
      </c>
      <c r="Q331" s="1">
        <v>1.4999999999999999E-2</v>
      </c>
      <c r="R331" s="1">
        <v>0.5</v>
      </c>
      <c r="S331" s="1" t="s">
        <v>49</v>
      </c>
      <c r="T331" s="1" t="s">
        <v>49</v>
      </c>
      <c r="U331" s="1" t="s">
        <v>194</v>
      </c>
      <c r="V331" s="3" t="s">
        <v>195</v>
      </c>
      <c r="W331" s="3">
        <v>34.4</v>
      </c>
      <c r="X331" s="3">
        <v>-119.54</v>
      </c>
      <c r="Y331" s="1" t="s">
        <v>48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206</v>
      </c>
      <c r="AE331" s="1" t="s">
        <v>207</v>
      </c>
      <c r="AF331" s="1" t="s">
        <v>49</v>
      </c>
      <c r="AG331" s="1" t="s">
        <v>49</v>
      </c>
      <c r="AH331" s="1" t="s">
        <v>199</v>
      </c>
      <c r="AI331" s="1" t="s">
        <v>200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-7.2999999999999995E-2</v>
      </c>
      <c r="AR331" s="6" t="s">
        <v>49</v>
      </c>
      <c r="AS331" s="6" t="s">
        <v>49</v>
      </c>
      <c r="AT331" s="6" t="s">
        <v>49</v>
      </c>
      <c r="AU331" s="1" t="s">
        <v>49</v>
      </c>
      <c r="AV331" s="30" t="s">
        <v>49</v>
      </c>
      <c r="AW331" s="30"/>
    </row>
    <row r="332" spans="1:49" s="6" customFormat="1" ht="14.4" customHeight="1">
      <c r="A332" s="1">
        <v>20</v>
      </c>
      <c r="B332" s="1" t="s">
        <v>38</v>
      </c>
      <c r="C332" s="1" t="s">
        <v>38</v>
      </c>
      <c r="D332" s="3" t="s">
        <v>549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49</v>
      </c>
      <c r="AB332" s="3" t="s">
        <v>49</v>
      </c>
      <c r="AC332" s="3" t="s">
        <v>49</v>
      </c>
      <c r="AD332" s="1" t="s">
        <v>206</v>
      </c>
      <c r="AE332" s="1" t="s">
        <v>198</v>
      </c>
      <c r="AF332" s="1" t="s">
        <v>49</v>
      </c>
      <c r="AG332" s="1" t="s">
        <v>49</v>
      </c>
      <c r="AH332" s="1" t="s">
        <v>199</v>
      </c>
      <c r="AI332" s="1" t="s">
        <v>200</v>
      </c>
      <c r="AJ332" s="1" t="s">
        <v>49</v>
      </c>
      <c r="AK332" s="1" t="s">
        <v>49</v>
      </c>
      <c r="AL332" s="1" t="s">
        <v>49</v>
      </c>
      <c r="AM332" s="1" t="s">
        <v>49</v>
      </c>
      <c r="AN332" s="1" t="s">
        <v>49</v>
      </c>
      <c r="AO332" s="1" t="s">
        <v>49</v>
      </c>
      <c r="AP332" s="6">
        <v>1</v>
      </c>
      <c r="AQ332" s="6">
        <v>0.10299999999999999</v>
      </c>
      <c r="AR332" s="6" t="s">
        <v>49</v>
      </c>
      <c r="AS332" s="6" t="s">
        <v>49</v>
      </c>
      <c r="AT332" s="6" t="s">
        <v>49</v>
      </c>
      <c r="AU332" s="1" t="s">
        <v>49</v>
      </c>
      <c r="AV332" s="30" t="s">
        <v>49</v>
      </c>
      <c r="AW332" s="30"/>
    </row>
    <row r="333" spans="1:49" s="6" customFormat="1" ht="14.4" customHeight="1">
      <c r="A333" s="1">
        <v>20</v>
      </c>
      <c r="B333" s="1" t="s">
        <v>38</v>
      </c>
      <c r="C333" s="1" t="s">
        <v>38</v>
      </c>
      <c r="D333" s="3" t="s">
        <v>549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49</v>
      </c>
      <c r="AB333" s="3" t="s">
        <v>49</v>
      </c>
      <c r="AC333" s="3" t="s">
        <v>49</v>
      </c>
      <c r="AD333" s="1" t="s">
        <v>206</v>
      </c>
      <c r="AE333" s="1" t="s">
        <v>214</v>
      </c>
      <c r="AF333" s="1" t="s">
        <v>49</v>
      </c>
      <c r="AG333" s="1" t="s">
        <v>49</v>
      </c>
      <c r="AH333" s="1" t="s">
        <v>199</v>
      </c>
      <c r="AI333" s="1" t="s">
        <v>200</v>
      </c>
      <c r="AJ333" s="1" t="s">
        <v>49</v>
      </c>
      <c r="AK333" s="1" t="s">
        <v>49</v>
      </c>
      <c r="AL333" s="1" t="s">
        <v>49</v>
      </c>
      <c r="AM333" s="1" t="s">
        <v>49</v>
      </c>
      <c r="AN333" s="1" t="s">
        <v>49</v>
      </c>
      <c r="AO333" s="1" t="s">
        <v>49</v>
      </c>
      <c r="AP333" s="6">
        <v>1</v>
      </c>
      <c r="AQ333" s="6">
        <v>-0.224</v>
      </c>
      <c r="AR333" s="6" t="s">
        <v>49</v>
      </c>
      <c r="AS333" s="6" t="s">
        <v>49</v>
      </c>
      <c r="AT333" s="6" t="s">
        <v>49</v>
      </c>
      <c r="AU333" s="1" t="s">
        <v>49</v>
      </c>
      <c r="AV333" s="30" t="s">
        <v>49</v>
      </c>
      <c r="AW333" s="30"/>
    </row>
    <row r="334" spans="1:49" s="6" customFormat="1" ht="14.4" customHeight="1">
      <c r="A334" s="1">
        <v>20</v>
      </c>
      <c r="B334" s="1" t="s">
        <v>38</v>
      </c>
      <c r="C334" s="1" t="s">
        <v>38</v>
      </c>
      <c r="D334" s="3" t="s">
        <v>549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49</v>
      </c>
      <c r="AB334" s="3" t="s">
        <v>49</v>
      </c>
      <c r="AC334" s="3" t="s">
        <v>49</v>
      </c>
      <c r="AD334" s="1" t="s">
        <v>206</v>
      </c>
      <c r="AE334" s="1" t="s">
        <v>213</v>
      </c>
      <c r="AF334" s="1" t="s">
        <v>49</v>
      </c>
      <c r="AG334" s="1" t="s">
        <v>49</v>
      </c>
      <c r="AH334" s="1" t="s">
        <v>199</v>
      </c>
      <c r="AI334" s="1" t="s">
        <v>200</v>
      </c>
      <c r="AJ334" s="1" t="s">
        <v>49</v>
      </c>
      <c r="AK334" s="1" t="s">
        <v>49</v>
      </c>
      <c r="AL334" s="1" t="s">
        <v>49</v>
      </c>
      <c r="AM334" s="1" t="s">
        <v>49</v>
      </c>
      <c r="AN334" s="1" t="s">
        <v>49</v>
      </c>
      <c r="AO334" s="1" t="s">
        <v>49</v>
      </c>
      <c r="AP334" s="6">
        <v>1</v>
      </c>
      <c r="AQ334" s="6">
        <v>0.14899999999999999</v>
      </c>
      <c r="AR334" s="6" t="s">
        <v>49</v>
      </c>
      <c r="AS334" s="6" t="s">
        <v>49</v>
      </c>
      <c r="AT334" s="6" t="s">
        <v>49</v>
      </c>
      <c r="AU334" s="1" t="s">
        <v>49</v>
      </c>
      <c r="AV334" s="30" t="s">
        <v>49</v>
      </c>
      <c r="AW334" s="30"/>
    </row>
    <row r="335" spans="1:49" s="6" customFormat="1" ht="14.4" customHeight="1">
      <c r="A335" s="1">
        <v>20</v>
      </c>
      <c r="B335" s="1" t="s">
        <v>38</v>
      </c>
      <c r="C335" s="1" t="s">
        <v>38</v>
      </c>
      <c r="D335" s="3" t="s">
        <v>549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49</v>
      </c>
      <c r="AB335" s="3" t="s">
        <v>49</v>
      </c>
      <c r="AC335" s="3" t="s">
        <v>49</v>
      </c>
      <c r="AD335" s="1" t="s">
        <v>207</v>
      </c>
      <c r="AE335" s="1" t="s">
        <v>198</v>
      </c>
      <c r="AF335" s="1" t="s">
        <v>49</v>
      </c>
      <c r="AG335" s="1" t="s">
        <v>49</v>
      </c>
      <c r="AH335" s="1" t="s">
        <v>199</v>
      </c>
      <c r="AI335" s="1" t="s">
        <v>200</v>
      </c>
      <c r="AJ335" s="1" t="s">
        <v>49</v>
      </c>
      <c r="AK335" s="1" t="s">
        <v>49</v>
      </c>
      <c r="AL335" s="1" t="s">
        <v>49</v>
      </c>
      <c r="AM335" s="1" t="s">
        <v>49</v>
      </c>
      <c r="AN335" s="1" t="s">
        <v>49</v>
      </c>
      <c r="AO335" s="1" t="s">
        <v>49</v>
      </c>
      <c r="AP335" s="6">
        <v>1</v>
      </c>
      <c r="AQ335" s="6">
        <v>-4.1000000000000002E-2</v>
      </c>
      <c r="AR335" s="6" t="s">
        <v>49</v>
      </c>
      <c r="AS335" s="6" t="s">
        <v>49</v>
      </c>
      <c r="AT335" s="6" t="s">
        <v>49</v>
      </c>
      <c r="AU335" s="1" t="s">
        <v>49</v>
      </c>
      <c r="AV335" s="30" t="s">
        <v>49</v>
      </c>
      <c r="AW335" s="30"/>
    </row>
    <row r="336" spans="1:49" s="6" customFormat="1" ht="14.4" customHeight="1">
      <c r="A336" s="1">
        <v>20</v>
      </c>
      <c r="B336" s="1" t="s">
        <v>38</v>
      </c>
      <c r="C336" s="1" t="s">
        <v>38</v>
      </c>
      <c r="D336" s="3" t="s">
        <v>549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49</v>
      </c>
      <c r="AB336" s="3" t="s">
        <v>49</v>
      </c>
      <c r="AC336" s="3" t="s">
        <v>49</v>
      </c>
      <c r="AD336" s="1" t="s">
        <v>207</v>
      </c>
      <c r="AE336" s="1" t="s">
        <v>214</v>
      </c>
      <c r="AF336" s="1" t="s">
        <v>49</v>
      </c>
      <c r="AG336" s="1" t="s">
        <v>49</v>
      </c>
      <c r="AH336" s="1" t="s">
        <v>199</v>
      </c>
      <c r="AI336" s="1" t="s">
        <v>200</v>
      </c>
      <c r="AJ336" s="1" t="s">
        <v>49</v>
      </c>
      <c r="AK336" s="1" t="s">
        <v>49</v>
      </c>
      <c r="AL336" s="1" t="s">
        <v>49</v>
      </c>
      <c r="AM336" s="1" t="s">
        <v>49</v>
      </c>
      <c r="AN336" s="1" t="s">
        <v>49</v>
      </c>
      <c r="AO336" s="1" t="s">
        <v>49</v>
      </c>
      <c r="AP336" s="6">
        <v>1</v>
      </c>
      <c r="AQ336" s="6">
        <v>-0.158</v>
      </c>
      <c r="AR336" s="6" t="s">
        <v>49</v>
      </c>
      <c r="AS336" s="6" t="s">
        <v>49</v>
      </c>
      <c r="AT336" s="6" t="s">
        <v>49</v>
      </c>
      <c r="AU336" s="1" t="s">
        <v>49</v>
      </c>
      <c r="AV336" s="30" t="s">
        <v>49</v>
      </c>
      <c r="AW336" s="30"/>
    </row>
    <row r="337" spans="1:49" s="6" customFormat="1" ht="14.4" customHeight="1">
      <c r="A337" s="1">
        <v>20</v>
      </c>
      <c r="B337" s="1" t="s">
        <v>38</v>
      </c>
      <c r="C337" s="1" t="s">
        <v>38</v>
      </c>
      <c r="D337" s="3" t="s">
        <v>549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49</v>
      </c>
      <c r="AB337" s="3" t="s">
        <v>49</v>
      </c>
      <c r="AC337" s="3" t="s">
        <v>49</v>
      </c>
      <c r="AD337" s="1" t="s">
        <v>207</v>
      </c>
      <c r="AE337" s="1" t="s">
        <v>213</v>
      </c>
      <c r="AF337" s="1" t="s">
        <v>49</v>
      </c>
      <c r="AG337" s="1" t="s">
        <v>49</v>
      </c>
      <c r="AH337" s="1" t="s">
        <v>199</v>
      </c>
      <c r="AI337" s="1" t="s">
        <v>200</v>
      </c>
      <c r="AJ337" s="1" t="s">
        <v>49</v>
      </c>
      <c r="AK337" s="1" t="s">
        <v>49</v>
      </c>
      <c r="AL337" s="1" t="s">
        <v>49</v>
      </c>
      <c r="AM337" s="1" t="s">
        <v>49</v>
      </c>
      <c r="AN337" s="1" t="s">
        <v>49</v>
      </c>
      <c r="AO337" s="1" t="s">
        <v>49</v>
      </c>
      <c r="AP337" s="6">
        <v>1</v>
      </c>
      <c r="AQ337" s="6">
        <v>-0.13700000000000001</v>
      </c>
      <c r="AR337" s="6" t="s">
        <v>49</v>
      </c>
      <c r="AS337" s="6" t="s">
        <v>49</v>
      </c>
      <c r="AT337" s="6" t="s">
        <v>49</v>
      </c>
      <c r="AU337" s="1" t="s">
        <v>49</v>
      </c>
      <c r="AV337" s="30" t="s">
        <v>49</v>
      </c>
      <c r="AW337" s="30"/>
    </row>
    <row r="338" spans="1:49" s="6" customFormat="1" ht="14.4" customHeight="1">
      <c r="A338" s="1">
        <v>20</v>
      </c>
      <c r="B338" s="1" t="s">
        <v>38</v>
      </c>
      <c r="C338" s="1" t="s">
        <v>38</v>
      </c>
      <c r="D338" s="3" t="s">
        <v>549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49</v>
      </c>
      <c r="AB338" s="3" t="s">
        <v>49</v>
      </c>
      <c r="AC338" s="3" t="s">
        <v>49</v>
      </c>
      <c r="AD338" s="1" t="s">
        <v>198</v>
      </c>
      <c r="AE338" s="1" t="s">
        <v>214</v>
      </c>
      <c r="AF338" s="1" t="s">
        <v>49</v>
      </c>
      <c r="AG338" s="1" t="s">
        <v>49</v>
      </c>
      <c r="AH338" s="1" t="s">
        <v>199</v>
      </c>
      <c r="AI338" s="1" t="s">
        <v>200</v>
      </c>
      <c r="AJ338" s="1" t="s">
        <v>49</v>
      </c>
      <c r="AK338" s="1" t="s">
        <v>49</v>
      </c>
      <c r="AL338" s="1" t="s">
        <v>49</v>
      </c>
      <c r="AM338" s="1" t="s">
        <v>49</v>
      </c>
      <c r="AN338" s="1" t="s">
        <v>49</v>
      </c>
      <c r="AO338" s="1" t="s">
        <v>49</v>
      </c>
      <c r="AP338" s="6">
        <v>1</v>
      </c>
      <c r="AQ338" s="6">
        <v>-0.42899999999999999</v>
      </c>
      <c r="AR338" s="6" t="s">
        <v>49</v>
      </c>
      <c r="AS338" s="6" t="s">
        <v>49</v>
      </c>
      <c r="AT338" s="6" t="s">
        <v>49</v>
      </c>
      <c r="AU338" s="1" t="s">
        <v>49</v>
      </c>
      <c r="AV338" s="30" t="s">
        <v>49</v>
      </c>
      <c r="AW338" s="30"/>
    </row>
    <row r="339" spans="1:49" s="6" customFormat="1" ht="14.4" customHeight="1">
      <c r="A339" s="1">
        <v>20</v>
      </c>
      <c r="B339" s="1" t="s">
        <v>38</v>
      </c>
      <c r="C339" s="1" t="s">
        <v>38</v>
      </c>
      <c r="D339" s="3" t="s">
        <v>549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49</v>
      </c>
      <c r="AB339" s="3" t="s">
        <v>49</v>
      </c>
      <c r="AC339" s="3" t="s">
        <v>49</v>
      </c>
      <c r="AD339" s="1" t="s">
        <v>198</v>
      </c>
      <c r="AE339" s="1" t="s">
        <v>213</v>
      </c>
      <c r="AF339" s="1" t="s">
        <v>49</v>
      </c>
      <c r="AG339" s="1" t="s">
        <v>49</v>
      </c>
      <c r="AH339" s="1" t="s">
        <v>199</v>
      </c>
      <c r="AI339" s="1" t="s">
        <v>200</v>
      </c>
      <c r="AJ339" s="1" t="s">
        <v>49</v>
      </c>
      <c r="AK339" s="1" t="s">
        <v>49</v>
      </c>
      <c r="AL339" s="1" t="s">
        <v>49</v>
      </c>
      <c r="AM339" s="1" t="s">
        <v>49</v>
      </c>
      <c r="AN339" s="1" t="s">
        <v>49</v>
      </c>
      <c r="AO339" s="1" t="s">
        <v>49</v>
      </c>
      <c r="AP339" s="6">
        <v>1</v>
      </c>
      <c r="AQ339" s="6">
        <v>-0.193</v>
      </c>
      <c r="AR339" s="6" t="s">
        <v>49</v>
      </c>
      <c r="AS339" s="6" t="s">
        <v>49</v>
      </c>
      <c r="AT339" s="6" t="s">
        <v>49</v>
      </c>
      <c r="AU339" s="1" t="s">
        <v>49</v>
      </c>
      <c r="AV339" s="30" t="s">
        <v>49</v>
      </c>
      <c r="AW339" s="30"/>
    </row>
    <row r="340" spans="1:49" s="6" customFormat="1" ht="14.4" customHeight="1">
      <c r="A340" s="1">
        <v>20</v>
      </c>
      <c r="B340" s="1" t="s">
        <v>38</v>
      </c>
      <c r="C340" s="1" t="s">
        <v>38</v>
      </c>
      <c r="D340" s="3" t="s">
        <v>549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49</v>
      </c>
      <c r="AB340" s="3" t="s">
        <v>49</v>
      </c>
      <c r="AC340" s="3" t="s">
        <v>49</v>
      </c>
      <c r="AD340" s="1" t="s">
        <v>214</v>
      </c>
      <c r="AE340" s="1" t="s">
        <v>213</v>
      </c>
      <c r="AF340" s="1" t="s">
        <v>49</v>
      </c>
      <c r="AG340" s="1" t="s">
        <v>49</v>
      </c>
      <c r="AH340" s="1" t="s">
        <v>199</v>
      </c>
      <c r="AI340" s="1" t="s">
        <v>200</v>
      </c>
      <c r="AJ340" s="1" t="s">
        <v>49</v>
      </c>
      <c r="AK340" s="1" t="s">
        <v>49</v>
      </c>
      <c r="AL340" s="1" t="s">
        <v>49</v>
      </c>
      <c r="AM340" s="1" t="s">
        <v>49</v>
      </c>
      <c r="AN340" s="1" t="s">
        <v>49</v>
      </c>
      <c r="AO340" s="1" t="s">
        <v>49</v>
      </c>
      <c r="AP340" s="6">
        <v>1</v>
      </c>
      <c r="AQ340" s="6">
        <v>0.36699999999999999</v>
      </c>
      <c r="AR340" s="6" t="s">
        <v>49</v>
      </c>
      <c r="AS340" s="6" t="s">
        <v>49</v>
      </c>
      <c r="AT340" s="6" t="s">
        <v>49</v>
      </c>
      <c r="AU340" s="1" t="s">
        <v>49</v>
      </c>
      <c r="AV340" s="30" t="s">
        <v>49</v>
      </c>
      <c r="AW340" s="30"/>
    </row>
    <row r="341" spans="1:49" s="6" customFormat="1" ht="14.4" customHeight="1">
      <c r="A341" s="1">
        <v>20</v>
      </c>
      <c r="B341" s="1" t="s">
        <v>38</v>
      </c>
      <c r="C341" s="1" t="s">
        <v>38</v>
      </c>
      <c r="D341" s="3" t="s">
        <v>549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216</v>
      </c>
      <c r="W341" s="3">
        <v>34.409999999999997</v>
      </c>
      <c r="X341" s="3">
        <v>-119.85</v>
      </c>
      <c r="Y341" s="1" t="s">
        <v>48</v>
      </c>
      <c r="Z341" s="1" t="s">
        <v>49</v>
      </c>
      <c r="AA341" s="1" t="s">
        <v>50</v>
      </c>
      <c r="AB341" s="1" t="s">
        <v>201</v>
      </c>
      <c r="AC341" s="1" t="s">
        <v>202</v>
      </c>
      <c r="AD341" s="1" t="s">
        <v>203</v>
      </c>
      <c r="AE341" s="1" t="s">
        <v>203</v>
      </c>
      <c r="AF341" s="1" t="s">
        <v>53</v>
      </c>
      <c r="AG341" s="1" t="s">
        <v>53</v>
      </c>
      <c r="AH341" s="1" t="s">
        <v>199</v>
      </c>
      <c r="AI341" s="1" t="s">
        <v>200</v>
      </c>
      <c r="AJ341" s="1">
        <v>15</v>
      </c>
      <c r="AK341" s="1">
        <v>60</v>
      </c>
      <c r="AL341" s="1" t="s">
        <v>49</v>
      </c>
      <c r="AM341" s="3">
        <v>107.8</v>
      </c>
      <c r="AN341" s="3">
        <f>10.39^2</f>
        <v>107.95210000000002</v>
      </c>
      <c r="AO341" s="1" t="s">
        <v>49</v>
      </c>
      <c r="AP341" s="6">
        <v>1</v>
      </c>
      <c r="AQ341" s="6" t="s">
        <v>49</v>
      </c>
      <c r="AR341" s="3">
        <f>10.39^2</f>
        <v>107.95210000000002</v>
      </c>
      <c r="AS341" s="6" t="s">
        <v>49</v>
      </c>
      <c r="AT341" s="6" t="s">
        <v>49</v>
      </c>
      <c r="AU341" s="1" t="s">
        <v>49</v>
      </c>
      <c r="AV341" s="30" t="s">
        <v>49</v>
      </c>
      <c r="AW341" s="29"/>
    </row>
    <row r="342" spans="1:49" s="6" customFormat="1" ht="14.4" customHeight="1">
      <c r="A342" s="1">
        <v>20</v>
      </c>
      <c r="B342" s="1" t="s">
        <v>38</v>
      </c>
      <c r="C342" s="1" t="s">
        <v>38</v>
      </c>
      <c r="D342" s="3" t="s">
        <v>549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216</v>
      </c>
      <c r="W342" s="3">
        <v>34.409999999999997</v>
      </c>
      <c r="X342" s="3">
        <v>-119.85</v>
      </c>
      <c r="Y342" s="1" t="s">
        <v>48</v>
      </c>
      <c r="Z342" s="1" t="s">
        <v>49</v>
      </c>
      <c r="AA342" s="1" t="s">
        <v>50</v>
      </c>
      <c r="AB342" s="1" t="s">
        <v>208</v>
      </c>
      <c r="AC342" s="1" t="s">
        <v>209</v>
      </c>
      <c r="AD342" s="1" t="s">
        <v>210</v>
      </c>
      <c r="AE342" s="1" t="s">
        <v>210</v>
      </c>
      <c r="AF342" s="1" t="s">
        <v>53</v>
      </c>
      <c r="AG342" s="1" t="s">
        <v>53</v>
      </c>
      <c r="AH342" s="1" t="s">
        <v>199</v>
      </c>
      <c r="AI342" s="1" t="s">
        <v>200</v>
      </c>
      <c r="AJ342" s="1">
        <v>15</v>
      </c>
      <c r="AK342" s="1">
        <v>60</v>
      </c>
      <c r="AL342" s="1" t="s">
        <v>49</v>
      </c>
      <c r="AM342" s="3">
        <v>93.4</v>
      </c>
      <c r="AN342" s="3">
        <f>13.32^2</f>
        <v>177.42240000000001</v>
      </c>
      <c r="AO342" s="1" t="s">
        <v>49</v>
      </c>
      <c r="AP342" s="6">
        <v>1</v>
      </c>
      <c r="AQ342" s="6" t="s">
        <v>49</v>
      </c>
      <c r="AR342" s="3">
        <f>13.32^2</f>
        <v>177.42240000000001</v>
      </c>
      <c r="AS342" s="6" t="s">
        <v>49</v>
      </c>
      <c r="AT342" s="6" t="s">
        <v>49</v>
      </c>
      <c r="AU342" s="1" t="s">
        <v>49</v>
      </c>
      <c r="AV342" s="30" t="s">
        <v>49</v>
      </c>
      <c r="AW342" s="29"/>
    </row>
    <row r="343" spans="1:49" s="6" customFormat="1" ht="14.4" customHeight="1">
      <c r="A343" s="1">
        <v>20</v>
      </c>
      <c r="B343" s="1" t="s">
        <v>38</v>
      </c>
      <c r="C343" s="1" t="s">
        <v>38</v>
      </c>
      <c r="D343" s="3" t="s">
        <v>549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216</v>
      </c>
      <c r="W343" s="3">
        <v>34.409999999999997</v>
      </c>
      <c r="X343" s="3">
        <v>-119.85</v>
      </c>
      <c r="Y343" s="1" t="s">
        <v>48</v>
      </c>
      <c r="Z343" s="1" t="s">
        <v>49</v>
      </c>
      <c r="AA343" s="1" t="s">
        <v>50</v>
      </c>
      <c r="AB343" s="1" t="s">
        <v>208</v>
      </c>
      <c r="AC343" s="1" t="s">
        <v>211</v>
      </c>
      <c r="AD343" s="1" t="s">
        <v>212</v>
      </c>
      <c r="AE343" s="1" t="s">
        <v>212</v>
      </c>
      <c r="AF343" s="1" t="s">
        <v>60</v>
      </c>
      <c r="AG343" s="1" t="s">
        <v>173</v>
      </c>
      <c r="AH343" s="1" t="s">
        <v>199</v>
      </c>
      <c r="AI343" s="1" t="s">
        <v>200</v>
      </c>
      <c r="AJ343" s="1">
        <v>15</v>
      </c>
      <c r="AK343" s="1">
        <v>60</v>
      </c>
      <c r="AL343" s="1" t="s">
        <v>49</v>
      </c>
      <c r="AM343" s="3">
        <v>33</v>
      </c>
      <c r="AN343" s="3">
        <f>5^2</f>
        <v>25</v>
      </c>
      <c r="AO343" s="1" t="s">
        <v>49</v>
      </c>
      <c r="AP343" s="6">
        <v>1</v>
      </c>
      <c r="AQ343" s="6" t="s">
        <v>49</v>
      </c>
      <c r="AR343" s="3">
        <f>5^2</f>
        <v>25</v>
      </c>
      <c r="AS343" s="6" t="s">
        <v>49</v>
      </c>
      <c r="AT343" s="6" t="s">
        <v>49</v>
      </c>
      <c r="AU343" s="1" t="s">
        <v>49</v>
      </c>
      <c r="AV343" s="30" t="s">
        <v>49</v>
      </c>
      <c r="AW343" s="29"/>
    </row>
    <row r="344" spans="1:49" s="6" customFormat="1" ht="14.4" customHeight="1">
      <c r="A344" s="1">
        <v>20</v>
      </c>
      <c r="B344" s="1" t="s">
        <v>38</v>
      </c>
      <c r="C344" s="1" t="s">
        <v>38</v>
      </c>
      <c r="D344" s="3" t="s">
        <v>549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216</v>
      </c>
      <c r="W344" s="3">
        <v>34.409999999999997</v>
      </c>
      <c r="X344" s="3">
        <v>-119.85</v>
      </c>
      <c r="Y344" s="1" t="s">
        <v>48</v>
      </c>
      <c r="Z344" s="1" t="s">
        <v>49</v>
      </c>
      <c r="AA344" s="1" t="s">
        <v>50</v>
      </c>
      <c r="AB344" s="1" t="s">
        <v>201</v>
      </c>
      <c r="AC344" s="1" t="s">
        <v>204</v>
      </c>
      <c r="AD344" s="1" t="s">
        <v>205</v>
      </c>
      <c r="AE344" s="1" t="s">
        <v>205</v>
      </c>
      <c r="AF344" s="1" t="s">
        <v>53</v>
      </c>
      <c r="AG344" s="1" t="s">
        <v>53</v>
      </c>
      <c r="AH344" s="1" t="s">
        <v>199</v>
      </c>
      <c r="AI344" s="1" t="s">
        <v>200</v>
      </c>
      <c r="AJ344" s="1">
        <v>15</v>
      </c>
      <c r="AK344" s="1">
        <v>60</v>
      </c>
      <c r="AL344" s="1" t="s">
        <v>49</v>
      </c>
      <c r="AM344" s="3">
        <v>4.4000000000000004</v>
      </c>
      <c r="AN344" s="3">
        <f>0.89^2</f>
        <v>0.79210000000000003</v>
      </c>
      <c r="AO344" s="1" t="s">
        <v>49</v>
      </c>
      <c r="AP344" s="6">
        <v>1</v>
      </c>
      <c r="AQ344" s="6" t="s">
        <v>49</v>
      </c>
      <c r="AR344" s="3">
        <f>0.89^2</f>
        <v>0.79210000000000003</v>
      </c>
      <c r="AS344" s="6" t="s">
        <v>49</v>
      </c>
      <c r="AT344" s="6" t="s">
        <v>49</v>
      </c>
      <c r="AU344" s="1" t="s">
        <v>49</v>
      </c>
      <c r="AV344" s="30" t="s">
        <v>49</v>
      </c>
      <c r="AW344" s="29"/>
    </row>
    <row r="345" spans="1:49" s="6" customFormat="1" ht="14.4" customHeight="1">
      <c r="A345" s="1">
        <v>20</v>
      </c>
      <c r="B345" s="1" t="s">
        <v>38</v>
      </c>
      <c r="C345" s="1" t="s">
        <v>38</v>
      </c>
      <c r="D345" s="3" t="s">
        <v>549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216</v>
      </c>
      <c r="W345" s="3">
        <v>34.409999999999997</v>
      </c>
      <c r="X345" s="3">
        <v>-119.85</v>
      </c>
      <c r="Y345" s="1" t="s">
        <v>48</v>
      </c>
      <c r="Z345" s="1" t="s">
        <v>49</v>
      </c>
      <c r="AA345" s="1" t="s">
        <v>50</v>
      </c>
      <c r="AB345" s="1" t="s">
        <v>201</v>
      </c>
      <c r="AC345" s="1" t="s">
        <v>204</v>
      </c>
      <c r="AD345" s="1" t="s">
        <v>206</v>
      </c>
      <c r="AE345" s="1" t="s">
        <v>206</v>
      </c>
      <c r="AF345" s="1" t="s">
        <v>53</v>
      </c>
      <c r="AG345" s="1" t="s">
        <v>53</v>
      </c>
      <c r="AH345" s="1" t="s">
        <v>199</v>
      </c>
      <c r="AI345" s="1" t="s">
        <v>200</v>
      </c>
      <c r="AJ345" s="1">
        <v>15</v>
      </c>
      <c r="AK345" s="1">
        <v>60</v>
      </c>
      <c r="AL345" s="1" t="s">
        <v>49</v>
      </c>
      <c r="AM345" s="3">
        <v>5924</v>
      </c>
      <c r="AN345" s="3">
        <f>1544^2</f>
        <v>2383936</v>
      </c>
      <c r="AO345" s="1" t="s">
        <v>49</v>
      </c>
      <c r="AP345" s="6">
        <v>1</v>
      </c>
      <c r="AQ345" s="6" t="s">
        <v>49</v>
      </c>
      <c r="AR345" s="3">
        <f>1544^2</f>
        <v>2383936</v>
      </c>
      <c r="AS345" s="6" t="s">
        <v>49</v>
      </c>
      <c r="AT345" s="6" t="s">
        <v>49</v>
      </c>
      <c r="AU345" s="1" t="s">
        <v>49</v>
      </c>
      <c r="AV345" s="30" t="s">
        <v>49</v>
      </c>
      <c r="AW345" s="29"/>
    </row>
    <row r="346" spans="1:49" s="6" customFormat="1" ht="14.4" customHeight="1">
      <c r="A346" s="1">
        <v>20</v>
      </c>
      <c r="B346" s="1" t="s">
        <v>38</v>
      </c>
      <c r="C346" s="1" t="s">
        <v>38</v>
      </c>
      <c r="D346" s="3" t="s">
        <v>549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216</v>
      </c>
      <c r="W346" s="3">
        <v>34.409999999999997</v>
      </c>
      <c r="X346" s="3">
        <v>-119.85</v>
      </c>
      <c r="Y346" s="1" t="s">
        <v>48</v>
      </c>
      <c r="Z346" s="1" t="s">
        <v>49</v>
      </c>
      <c r="AA346" s="1" t="s">
        <v>50</v>
      </c>
      <c r="AB346" s="1" t="s">
        <v>201</v>
      </c>
      <c r="AC346" s="1" t="s">
        <v>204</v>
      </c>
      <c r="AD346" s="1" t="s">
        <v>207</v>
      </c>
      <c r="AE346" s="1" t="s">
        <v>207</v>
      </c>
      <c r="AF346" s="1" t="s">
        <v>60</v>
      </c>
      <c r="AG346" s="1" t="s">
        <v>173</v>
      </c>
      <c r="AH346" s="1" t="s">
        <v>199</v>
      </c>
      <c r="AI346" s="1" t="s">
        <v>200</v>
      </c>
      <c r="AJ346" s="1">
        <v>15</v>
      </c>
      <c r="AK346" s="1">
        <v>60</v>
      </c>
      <c r="AL346" s="1" t="s">
        <v>49</v>
      </c>
      <c r="AM346" s="3">
        <v>3269</v>
      </c>
      <c r="AN346" s="3">
        <f>427^2</f>
        <v>182329</v>
      </c>
      <c r="AO346" s="1" t="s">
        <v>49</v>
      </c>
      <c r="AP346" s="6">
        <v>1</v>
      </c>
      <c r="AQ346" s="6" t="s">
        <v>49</v>
      </c>
      <c r="AR346" s="3">
        <f>427^2</f>
        <v>182329</v>
      </c>
      <c r="AS346" s="6" t="s">
        <v>49</v>
      </c>
      <c r="AT346" s="6" t="s">
        <v>49</v>
      </c>
      <c r="AU346" s="1" t="s">
        <v>49</v>
      </c>
      <c r="AV346" s="30" t="s">
        <v>49</v>
      </c>
      <c r="AW346" s="29"/>
    </row>
    <row r="347" spans="1:49" s="6" customFormat="1" ht="14.4" customHeight="1">
      <c r="A347" s="1">
        <v>20</v>
      </c>
      <c r="B347" s="1" t="s">
        <v>38</v>
      </c>
      <c r="C347" s="1" t="s">
        <v>38</v>
      </c>
      <c r="D347" s="3" t="s">
        <v>549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216</v>
      </c>
      <c r="W347" s="3">
        <v>34.409999999999997</v>
      </c>
      <c r="X347" s="3">
        <v>-119.85</v>
      </c>
      <c r="Y347" s="1" t="s">
        <v>48</v>
      </c>
      <c r="Z347" s="1" t="s">
        <v>49</v>
      </c>
      <c r="AA347" s="1" t="s">
        <v>50</v>
      </c>
      <c r="AB347" s="1" t="s">
        <v>196</v>
      </c>
      <c r="AC347" s="1" t="s">
        <v>197</v>
      </c>
      <c r="AD347" s="1" t="s">
        <v>198</v>
      </c>
      <c r="AE347" s="1" t="s">
        <v>198</v>
      </c>
      <c r="AF347" s="1" t="s">
        <v>60</v>
      </c>
      <c r="AG347" s="1" t="s">
        <v>60</v>
      </c>
      <c r="AH347" s="1" t="s">
        <v>199</v>
      </c>
      <c r="AI347" s="1" t="s">
        <v>200</v>
      </c>
      <c r="AJ347" s="1">
        <v>15</v>
      </c>
      <c r="AK347" s="1">
        <v>60</v>
      </c>
      <c r="AL347" s="1" t="s">
        <v>49</v>
      </c>
      <c r="AM347" s="3">
        <v>41</v>
      </c>
      <c r="AN347" s="3">
        <f>9^2</f>
        <v>81</v>
      </c>
      <c r="AO347" s="1" t="s">
        <v>49</v>
      </c>
      <c r="AP347" s="6">
        <v>1</v>
      </c>
      <c r="AQ347" s="6" t="s">
        <v>49</v>
      </c>
      <c r="AR347" s="3">
        <f>9^2</f>
        <v>81</v>
      </c>
      <c r="AS347" s="6" t="s">
        <v>49</v>
      </c>
      <c r="AT347" s="6" t="s">
        <v>49</v>
      </c>
      <c r="AU347" s="1" t="s">
        <v>49</v>
      </c>
      <c r="AV347" s="30" t="s">
        <v>49</v>
      </c>
      <c r="AW347" s="29"/>
    </row>
    <row r="348" spans="1:49" s="6" customFormat="1" ht="14.4" customHeight="1">
      <c r="A348" s="1">
        <v>20</v>
      </c>
      <c r="B348" s="1" t="s">
        <v>38</v>
      </c>
      <c r="C348" s="1" t="s">
        <v>38</v>
      </c>
      <c r="D348" s="3" t="s">
        <v>549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216</v>
      </c>
      <c r="W348" s="3">
        <v>34.409999999999997</v>
      </c>
      <c r="X348" s="3">
        <v>-119.85</v>
      </c>
      <c r="Y348" s="1" t="s">
        <v>48</v>
      </c>
      <c r="Z348" s="1" t="s">
        <v>49</v>
      </c>
      <c r="AA348" s="1" t="s">
        <v>50</v>
      </c>
      <c r="AB348" s="1" t="s">
        <v>66</v>
      </c>
      <c r="AC348" s="1" t="s">
        <v>124</v>
      </c>
      <c r="AD348" s="1" t="s">
        <v>214</v>
      </c>
      <c r="AE348" s="1" t="s">
        <v>214</v>
      </c>
      <c r="AF348" s="1" t="s">
        <v>53</v>
      </c>
      <c r="AG348" s="1" t="s">
        <v>53</v>
      </c>
      <c r="AH348" s="1" t="s">
        <v>199</v>
      </c>
      <c r="AI348" s="1" t="s">
        <v>200</v>
      </c>
      <c r="AJ348" s="1">
        <v>15</v>
      </c>
      <c r="AK348" s="1">
        <v>60</v>
      </c>
      <c r="AL348" s="1" t="s">
        <v>49</v>
      </c>
      <c r="AM348" s="3">
        <v>3.9</v>
      </c>
      <c r="AN348" s="3">
        <f>0.77^2</f>
        <v>0.59289999999999998</v>
      </c>
      <c r="AO348" s="1" t="s">
        <v>49</v>
      </c>
      <c r="AP348" s="6">
        <v>1</v>
      </c>
      <c r="AQ348" s="6" t="s">
        <v>49</v>
      </c>
      <c r="AR348" s="3">
        <f>0.77^2</f>
        <v>0.59289999999999998</v>
      </c>
      <c r="AS348" s="6" t="s">
        <v>49</v>
      </c>
      <c r="AT348" s="6" t="s">
        <v>49</v>
      </c>
      <c r="AU348" s="1" t="s">
        <v>49</v>
      </c>
      <c r="AV348" s="30" t="s">
        <v>49</v>
      </c>
      <c r="AW348" s="29"/>
    </row>
    <row r="349" spans="1:49" s="6" customFormat="1" ht="14.4" customHeight="1">
      <c r="A349" s="1">
        <v>20</v>
      </c>
      <c r="B349" s="1" t="s">
        <v>38</v>
      </c>
      <c r="C349" s="1" t="s">
        <v>38</v>
      </c>
      <c r="D349" s="3" t="s">
        <v>549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216</v>
      </c>
      <c r="W349" s="3">
        <v>34.409999999999997</v>
      </c>
      <c r="X349" s="3">
        <v>-119.85</v>
      </c>
      <c r="Y349" s="1" t="s">
        <v>48</v>
      </c>
      <c r="Z349" s="1" t="s">
        <v>49</v>
      </c>
      <c r="AA349" s="1" t="s">
        <v>50</v>
      </c>
      <c r="AB349" s="1" t="s">
        <v>66</v>
      </c>
      <c r="AC349" s="1" t="s">
        <v>124</v>
      </c>
      <c r="AD349" s="1" t="s">
        <v>213</v>
      </c>
      <c r="AE349" s="1" t="s">
        <v>213</v>
      </c>
      <c r="AF349" s="1" t="s">
        <v>60</v>
      </c>
      <c r="AG349" s="1" t="s">
        <v>129</v>
      </c>
      <c r="AH349" s="1" t="s">
        <v>199</v>
      </c>
      <c r="AI349" s="1" t="s">
        <v>200</v>
      </c>
      <c r="AJ349" s="1">
        <v>15</v>
      </c>
      <c r="AK349" s="1">
        <v>60</v>
      </c>
      <c r="AL349" s="1" t="s">
        <v>49</v>
      </c>
      <c r="AM349" s="3">
        <v>5.0999999999999996</v>
      </c>
      <c r="AN349" s="3">
        <f>0.72^2</f>
        <v>0.51839999999999997</v>
      </c>
      <c r="AO349" s="1" t="s">
        <v>49</v>
      </c>
      <c r="AP349" s="6">
        <v>1</v>
      </c>
      <c r="AQ349" s="6" t="s">
        <v>49</v>
      </c>
      <c r="AR349" s="3">
        <f>0.72^2</f>
        <v>0.51839999999999997</v>
      </c>
      <c r="AS349" s="6" t="s">
        <v>49</v>
      </c>
      <c r="AT349" s="6" t="s">
        <v>49</v>
      </c>
      <c r="AU349" s="1" t="s">
        <v>49</v>
      </c>
      <c r="AV349" s="30" t="s">
        <v>49</v>
      </c>
      <c r="AW349" s="29"/>
    </row>
    <row r="350" spans="1:49" s="6" customFormat="1" ht="14.4" customHeight="1">
      <c r="A350" s="1">
        <v>20</v>
      </c>
      <c r="B350" s="1" t="s">
        <v>38</v>
      </c>
      <c r="C350" s="1" t="s">
        <v>38</v>
      </c>
      <c r="D350" s="3" t="s">
        <v>549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216</v>
      </c>
      <c r="W350" s="3">
        <v>34.409999999999997</v>
      </c>
      <c r="X350" s="3">
        <v>-119.85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203</v>
      </c>
      <c r="AE350" s="1" t="s">
        <v>210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-0.11799999999999999</v>
      </c>
      <c r="AR350" s="6" t="s">
        <v>49</v>
      </c>
      <c r="AS350" s="6" t="s">
        <v>49</v>
      </c>
      <c r="AT350" s="6" t="s">
        <v>49</v>
      </c>
      <c r="AU350" s="1" t="s">
        <v>49</v>
      </c>
      <c r="AV350" s="30" t="s">
        <v>49</v>
      </c>
      <c r="AW350" s="30"/>
    </row>
    <row r="351" spans="1:49" s="6" customFormat="1" ht="14.4" customHeight="1">
      <c r="A351" s="1">
        <v>20</v>
      </c>
      <c r="B351" s="1" t="s">
        <v>38</v>
      </c>
      <c r="C351" s="1" t="s">
        <v>38</v>
      </c>
      <c r="D351" s="3" t="s">
        <v>549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216</v>
      </c>
      <c r="W351" s="3">
        <v>34.409999999999997</v>
      </c>
      <c r="X351" s="3">
        <v>-119.85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203</v>
      </c>
      <c r="AE351" s="1" t="s">
        <v>212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-4.9000000000000002E-2</v>
      </c>
      <c r="AR351" s="6" t="s">
        <v>49</v>
      </c>
      <c r="AS351" s="6" t="s">
        <v>49</v>
      </c>
      <c r="AT351" s="6" t="s">
        <v>49</v>
      </c>
      <c r="AU351" s="1" t="s">
        <v>49</v>
      </c>
      <c r="AV351" s="30" t="s">
        <v>49</v>
      </c>
      <c r="AW351" s="30"/>
    </row>
    <row r="352" spans="1:49" s="6" customFormat="1" ht="14.4" customHeight="1">
      <c r="A352" s="1">
        <v>20</v>
      </c>
      <c r="B352" s="1" t="s">
        <v>38</v>
      </c>
      <c r="C352" s="1" t="s">
        <v>38</v>
      </c>
      <c r="D352" s="3" t="s">
        <v>549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216</v>
      </c>
      <c r="W352" s="3">
        <v>34.409999999999997</v>
      </c>
      <c r="X352" s="3">
        <v>-119.85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203</v>
      </c>
      <c r="AE352" s="1" t="s">
        <v>205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2.3E-2</v>
      </c>
      <c r="AR352" s="6" t="s">
        <v>49</v>
      </c>
      <c r="AS352" s="6" t="s">
        <v>49</v>
      </c>
      <c r="AT352" s="6" t="s">
        <v>49</v>
      </c>
      <c r="AU352" s="1" t="s">
        <v>49</v>
      </c>
      <c r="AV352" s="30" t="s">
        <v>49</v>
      </c>
      <c r="AW352" s="30"/>
    </row>
    <row r="353" spans="1:49" s="6" customFormat="1" ht="14.4" customHeight="1">
      <c r="A353" s="1">
        <v>20</v>
      </c>
      <c r="B353" s="1" t="s">
        <v>38</v>
      </c>
      <c r="C353" s="1" t="s">
        <v>38</v>
      </c>
      <c r="D353" s="3" t="s">
        <v>549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216</v>
      </c>
      <c r="W353" s="3">
        <v>34.409999999999997</v>
      </c>
      <c r="X353" s="3">
        <v>-119.85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203</v>
      </c>
      <c r="AE353" s="1" t="s">
        <v>206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0.25700000000000001</v>
      </c>
      <c r="AR353" s="6" t="s">
        <v>49</v>
      </c>
      <c r="AS353" s="6" t="s">
        <v>49</v>
      </c>
      <c r="AT353" s="6" t="s">
        <v>49</v>
      </c>
      <c r="AU353" s="1" t="s">
        <v>49</v>
      </c>
      <c r="AV353" s="30" t="s">
        <v>49</v>
      </c>
      <c r="AW353" s="30"/>
    </row>
    <row r="354" spans="1:49" s="6" customFormat="1" ht="14.4" customHeight="1">
      <c r="A354" s="1">
        <v>20</v>
      </c>
      <c r="B354" s="1" t="s">
        <v>38</v>
      </c>
      <c r="C354" s="1" t="s">
        <v>38</v>
      </c>
      <c r="D354" s="3" t="s">
        <v>549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216</v>
      </c>
      <c r="W354" s="3">
        <v>34.409999999999997</v>
      </c>
      <c r="X354" s="3">
        <v>-119.85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203</v>
      </c>
      <c r="AE354" s="1" t="s">
        <v>207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-0.217</v>
      </c>
      <c r="AR354" s="6" t="s">
        <v>49</v>
      </c>
      <c r="AS354" s="6" t="s">
        <v>49</v>
      </c>
      <c r="AT354" s="6" t="s">
        <v>49</v>
      </c>
      <c r="AU354" s="1" t="s">
        <v>49</v>
      </c>
      <c r="AV354" s="30" t="s">
        <v>49</v>
      </c>
      <c r="AW354" s="30"/>
    </row>
    <row r="355" spans="1:49" s="6" customFormat="1" ht="14.4" customHeight="1">
      <c r="A355" s="1">
        <v>20</v>
      </c>
      <c r="B355" s="1" t="s">
        <v>38</v>
      </c>
      <c r="C355" s="1" t="s">
        <v>38</v>
      </c>
      <c r="D355" s="3" t="s">
        <v>549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216</v>
      </c>
      <c r="W355" s="3">
        <v>34.409999999999997</v>
      </c>
      <c r="X355" s="3">
        <v>-119.85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203</v>
      </c>
      <c r="AE355" s="1" t="s">
        <v>198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 t="s">
        <v>49</v>
      </c>
      <c r="AR355" s="6" t="s">
        <v>49</v>
      </c>
      <c r="AS355" s="6" t="s">
        <v>49</v>
      </c>
      <c r="AT355" s="6" t="s">
        <v>49</v>
      </c>
      <c r="AU355" s="1" t="s">
        <v>49</v>
      </c>
      <c r="AV355" s="30" t="s">
        <v>49</v>
      </c>
      <c r="AW355" s="30"/>
    </row>
    <row r="356" spans="1:49" s="6" customFormat="1" ht="14.4" customHeight="1">
      <c r="A356" s="1">
        <v>20</v>
      </c>
      <c r="B356" s="1" t="s">
        <v>38</v>
      </c>
      <c r="C356" s="1" t="s">
        <v>38</v>
      </c>
      <c r="D356" s="3" t="s">
        <v>549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216</v>
      </c>
      <c r="W356" s="3">
        <v>34.409999999999997</v>
      </c>
      <c r="X356" s="3">
        <v>-119.85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203</v>
      </c>
      <c r="AE356" s="1" t="s">
        <v>214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-2E-3</v>
      </c>
      <c r="AR356" s="6" t="s">
        <v>49</v>
      </c>
      <c r="AS356" s="6" t="s">
        <v>49</v>
      </c>
      <c r="AT356" s="6" t="s">
        <v>49</v>
      </c>
      <c r="AU356" s="1" t="s">
        <v>49</v>
      </c>
      <c r="AV356" s="30" t="s">
        <v>49</v>
      </c>
      <c r="AW356" s="30"/>
    </row>
    <row r="357" spans="1:49" s="6" customFormat="1" ht="14.4" customHeight="1">
      <c r="A357" s="1">
        <v>20</v>
      </c>
      <c r="B357" s="1" t="s">
        <v>38</v>
      </c>
      <c r="C357" s="1" t="s">
        <v>38</v>
      </c>
      <c r="D357" s="3" t="s">
        <v>549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216</v>
      </c>
      <c r="W357" s="3">
        <v>34.409999999999997</v>
      </c>
      <c r="X357" s="3">
        <v>-119.85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203</v>
      </c>
      <c r="AE357" s="1" t="s">
        <v>213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0.20399999999999999</v>
      </c>
      <c r="AR357" s="6" t="s">
        <v>49</v>
      </c>
      <c r="AS357" s="6" t="s">
        <v>49</v>
      </c>
      <c r="AT357" s="6" t="s">
        <v>49</v>
      </c>
      <c r="AU357" s="1" t="s">
        <v>49</v>
      </c>
      <c r="AV357" s="30" t="s">
        <v>49</v>
      </c>
      <c r="AW357" s="30"/>
    </row>
    <row r="358" spans="1:49" s="6" customFormat="1" ht="14.4" customHeight="1">
      <c r="A358" s="1">
        <v>20</v>
      </c>
      <c r="B358" s="1" t="s">
        <v>38</v>
      </c>
      <c r="C358" s="1" t="s">
        <v>38</v>
      </c>
      <c r="D358" s="3" t="s">
        <v>549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216</v>
      </c>
      <c r="W358" s="3">
        <v>34.409999999999997</v>
      </c>
      <c r="X358" s="3">
        <v>-119.85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210</v>
      </c>
      <c r="AE358" s="1" t="s">
        <v>212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4.4999999999999998E-2</v>
      </c>
      <c r="AR358" s="6" t="s">
        <v>49</v>
      </c>
      <c r="AS358" s="6" t="s">
        <v>49</v>
      </c>
      <c r="AT358" s="6" t="s">
        <v>49</v>
      </c>
      <c r="AU358" s="1" t="s">
        <v>49</v>
      </c>
      <c r="AV358" s="30" t="s">
        <v>49</v>
      </c>
      <c r="AW358" s="30"/>
    </row>
    <row r="359" spans="1:49" s="6" customFormat="1" ht="14.4" customHeight="1">
      <c r="A359" s="1">
        <v>20</v>
      </c>
      <c r="B359" s="1" t="s">
        <v>38</v>
      </c>
      <c r="C359" s="1" t="s">
        <v>38</v>
      </c>
      <c r="D359" s="3" t="s">
        <v>549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216</v>
      </c>
      <c r="W359" s="3">
        <v>34.409999999999997</v>
      </c>
      <c r="X359" s="3">
        <v>-119.85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210</v>
      </c>
      <c r="AE359" s="1" t="s">
        <v>205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0.20899999999999999</v>
      </c>
      <c r="AR359" s="6" t="s">
        <v>49</v>
      </c>
      <c r="AS359" s="6" t="s">
        <v>49</v>
      </c>
      <c r="AT359" s="6" t="s">
        <v>49</v>
      </c>
      <c r="AU359" s="1" t="s">
        <v>49</v>
      </c>
      <c r="AV359" s="30" t="s">
        <v>49</v>
      </c>
      <c r="AW359" s="30"/>
    </row>
    <row r="360" spans="1:49" s="6" customFormat="1" ht="14.4" customHeight="1">
      <c r="A360" s="1">
        <v>20</v>
      </c>
      <c r="B360" s="1" t="s">
        <v>38</v>
      </c>
      <c r="C360" s="1" t="s">
        <v>38</v>
      </c>
      <c r="D360" s="3" t="s">
        <v>549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216</v>
      </c>
      <c r="W360" s="3">
        <v>34.409999999999997</v>
      </c>
      <c r="X360" s="3">
        <v>-119.85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210</v>
      </c>
      <c r="AE360" s="1" t="s">
        <v>206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6.0000000000000001E-3</v>
      </c>
      <c r="AR360" s="6" t="s">
        <v>49</v>
      </c>
      <c r="AS360" s="6" t="s">
        <v>49</v>
      </c>
      <c r="AT360" s="6" t="s">
        <v>49</v>
      </c>
      <c r="AU360" s="1" t="s">
        <v>49</v>
      </c>
      <c r="AV360" s="30" t="s">
        <v>49</v>
      </c>
      <c r="AW360" s="30"/>
    </row>
    <row r="361" spans="1:49" s="6" customFormat="1" ht="14.4" customHeight="1">
      <c r="A361" s="1">
        <v>20</v>
      </c>
      <c r="B361" s="1" t="s">
        <v>38</v>
      </c>
      <c r="C361" s="1" t="s">
        <v>38</v>
      </c>
      <c r="D361" s="3" t="s">
        <v>549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216</v>
      </c>
      <c r="W361" s="3">
        <v>34.409999999999997</v>
      </c>
      <c r="X361" s="3">
        <v>-119.85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210</v>
      </c>
      <c r="AE361" s="1" t="s">
        <v>207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0.17499999999999999</v>
      </c>
      <c r="AR361" s="6" t="s">
        <v>49</v>
      </c>
      <c r="AS361" s="6" t="s">
        <v>49</v>
      </c>
      <c r="AT361" s="6" t="s">
        <v>49</v>
      </c>
      <c r="AU361" s="1" t="s">
        <v>49</v>
      </c>
      <c r="AV361" s="30" t="s">
        <v>49</v>
      </c>
      <c r="AW361" s="30"/>
    </row>
    <row r="362" spans="1:49" s="6" customFormat="1" ht="14.4" customHeight="1">
      <c r="A362" s="1">
        <v>20</v>
      </c>
      <c r="B362" s="1" t="s">
        <v>38</v>
      </c>
      <c r="C362" s="1" t="s">
        <v>38</v>
      </c>
      <c r="D362" s="3" t="s">
        <v>549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216</v>
      </c>
      <c r="W362" s="3">
        <v>34.409999999999997</v>
      </c>
      <c r="X362" s="3">
        <v>-119.85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210</v>
      </c>
      <c r="AE362" s="1" t="s">
        <v>198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0.22500000000000001</v>
      </c>
      <c r="AR362" s="6" t="s">
        <v>49</v>
      </c>
      <c r="AS362" s="6" t="s">
        <v>49</v>
      </c>
      <c r="AT362" s="6" t="s">
        <v>49</v>
      </c>
      <c r="AU362" s="1" t="s">
        <v>49</v>
      </c>
      <c r="AV362" s="30" t="s">
        <v>49</v>
      </c>
      <c r="AW362" s="30"/>
    </row>
    <row r="363" spans="1:49" s="6" customFormat="1" ht="14.4" customHeight="1">
      <c r="A363" s="1">
        <v>20</v>
      </c>
      <c r="B363" s="1" t="s">
        <v>38</v>
      </c>
      <c r="C363" s="1" t="s">
        <v>38</v>
      </c>
      <c r="D363" s="3" t="s">
        <v>549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216</v>
      </c>
      <c r="W363" s="3">
        <v>34.409999999999997</v>
      </c>
      <c r="X363" s="3">
        <v>-119.85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210</v>
      </c>
      <c r="AE363" s="1" t="s">
        <v>214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9.0999999999999998E-2</v>
      </c>
      <c r="AR363" s="6" t="s">
        <v>49</v>
      </c>
      <c r="AS363" s="6" t="s">
        <v>49</v>
      </c>
      <c r="AT363" s="6" t="s">
        <v>49</v>
      </c>
      <c r="AU363" s="1" t="s">
        <v>49</v>
      </c>
      <c r="AV363" s="30" t="s">
        <v>49</v>
      </c>
      <c r="AW363" s="30"/>
    </row>
    <row r="364" spans="1:49" s="6" customFormat="1" ht="14.4" customHeight="1">
      <c r="A364" s="1">
        <v>20</v>
      </c>
      <c r="B364" s="1" t="s">
        <v>38</v>
      </c>
      <c r="C364" s="1" t="s">
        <v>38</v>
      </c>
      <c r="D364" s="3" t="s">
        <v>549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216</v>
      </c>
      <c r="W364" s="3">
        <v>34.409999999999997</v>
      </c>
      <c r="X364" s="3">
        <v>-119.85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210</v>
      </c>
      <c r="AE364" s="1" t="s">
        <v>213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>
        <v>6.5000000000000002E-2</v>
      </c>
      <c r="AR364" s="6" t="s">
        <v>49</v>
      </c>
      <c r="AS364" s="6" t="s">
        <v>49</v>
      </c>
      <c r="AT364" s="6" t="s">
        <v>49</v>
      </c>
      <c r="AU364" s="1" t="s">
        <v>49</v>
      </c>
      <c r="AV364" s="30" t="s">
        <v>49</v>
      </c>
      <c r="AW364" s="30"/>
    </row>
    <row r="365" spans="1:49" s="6" customFormat="1" ht="14.4" customHeight="1">
      <c r="A365" s="1">
        <v>20</v>
      </c>
      <c r="B365" s="1" t="s">
        <v>38</v>
      </c>
      <c r="C365" s="1" t="s">
        <v>38</v>
      </c>
      <c r="D365" s="3" t="s">
        <v>549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216</v>
      </c>
      <c r="W365" s="3">
        <v>34.409999999999997</v>
      </c>
      <c r="X365" s="3">
        <v>-119.85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212</v>
      </c>
      <c r="AE365" s="1" t="s">
        <v>205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0.158</v>
      </c>
      <c r="AR365" s="6" t="s">
        <v>49</v>
      </c>
      <c r="AS365" s="6" t="s">
        <v>49</v>
      </c>
      <c r="AT365" s="6" t="s">
        <v>49</v>
      </c>
      <c r="AU365" s="1" t="s">
        <v>49</v>
      </c>
      <c r="AV365" s="30" t="s">
        <v>49</v>
      </c>
      <c r="AW365" s="30"/>
    </row>
    <row r="366" spans="1:49" s="6" customFormat="1" ht="14.4" customHeight="1">
      <c r="A366" s="1">
        <v>20</v>
      </c>
      <c r="B366" s="1" t="s">
        <v>38</v>
      </c>
      <c r="C366" s="1" t="s">
        <v>38</v>
      </c>
      <c r="D366" s="3" t="s">
        <v>549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216</v>
      </c>
      <c r="W366" s="3">
        <v>34.409999999999997</v>
      </c>
      <c r="X366" s="3">
        <v>-119.85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212</v>
      </c>
      <c r="AE366" s="1" t="s">
        <v>206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4.2000000000000003E-2</v>
      </c>
      <c r="AR366" s="6" t="s">
        <v>49</v>
      </c>
      <c r="AS366" s="6" t="s">
        <v>49</v>
      </c>
      <c r="AT366" s="6" t="s">
        <v>49</v>
      </c>
      <c r="AU366" s="1" t="s">
        <v>49</v>
      </c>
      <c r="AV366" s="30" t="s">
        <v>49</v>
      </c>
      <c r="AW366" s="30"/>
    </row>
    <row r="367" spans="1:49" s="6" customFormat="1" ht="14.4" customHeight="1">
      <c r="A367" s="1">
        <v>20</v>
      </c>
      <c r="B367" s="1" t="s">
        <v>38</v>
      </c>
      <c r="C367" s="1" t="s">
        <v>38</v>
      </c>
      <c r="D367" s="3" t="s">
        <v>549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216</v>
      </c>
      <c r="W367" s="3">
        <v>34.409999999999997</v>
      </c>
      <c r="X367" s="3">
        <v>-119.85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212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0.154</v>
      </c>
      <c r="AR367" s="6" t="s">
        <v>49</v>
      </c>
      <c r="AS367" s="6" t="s">
        <v>49</v>
      </c>
      <c r="AT367" s="6" t="s">
        <v>49</v>
      </c>
      <c r="AU367" s="1" t="s">
        <v>49</v>
      </c>
      <c r="AV367" s="30" t="s">
        <v>49</v>
      </c>
      <c r="AW367" s="30"/>
    </row>
    <row r="368" spans="1:49" s="6" customFormat="1" ht="14.4" customHeight="1">
      <c r="A368" s="1">
        <v>20</v>
      </c>
      <c r="B368" s="1" t="s">
        <v>38</v>
      </c>
      <c r="C368" s="1" t="s">
        <v>38</v>
      </c>
      <c r="D368" s="3" t="s">
        <v>549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216</v>
      </c>
      <c r="W368" s="3">
        <v>34.409999999999997</v>
      </c>
      <c r="X368" s="3">
        <v>-119.85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212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0.18</v>
      </c>
      <c r="AR368" s="6" t="s">
        <v>49</v>
      </c>
      <c r="AS368" s="6" t="s">
        <v>49</v>
      </c>
      <c r="AT368" s="6" t="s">
        <v>49</v>
      </c>
      <c r="AU368" s="1" t="s">
        <v>49</v>
      </c>
      <c r="AV368" s="30" t="s">
        <v>49</v>
      </c>
      <c r="AW368" s="30"/>
    </row>
    <row r="369" spans="1:49" s="6" customFormat="1" ht="14.4" customHeight="1">
      <c r="A369" s="1">
        <v>20</v>
      </c>
      <c r="B369" s="1" t="s">
        <v>38</v>
      </c>
      <c r="C369" s="1" t="s">
        <v>38</v>
      </c>
      <c r="D369" s="3" t="s">
        <v>549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216</v>
      </c>
      <c r="W369" s="3">
        <v>34.409999999999997</v>
      </c>
      <c r="X369" s="3">
        <v>-119.85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212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0.08</v>
      </c>
      <c r="AR369" s="6" t="s">
        <v>49</v>
      </c>
      <c r="AS369" s="6" t="s">
        <v>49</v>
      </c>
      <c r="AT369" s="6" t="s">
        <v>49</v>
      </c>
      <c r="AU369" s="1" t="s">
        <v>49</v>
      </c>
      <c r="AV369" s="30" t="s">
        <v>49</v>
      </c>
      <c r="AW369" s="30"/>
    </row>
    <row r="370" spans="1:49" s="6" customFormat="1" ht="14.4" customHeight="1">
      <c r="A370" s="1">
        <v>20</v>
      </c>
      <c r="B370" s="1" t="s">
        <v>38</v>
      </c>
      <c r="C370" s="1" t="s">
        <v>38</v>
      </c>
      <c r="D370" s="3" t="s">
        <v>549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216</v>
      </c>
      <c r="W370" s="3">
        <v>34.409999999999997</v>
      </c>
      <c r="X370" s="3">
        <v>-119.85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212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-0.1</v>
      </c>
      <c r="AR370" s="6" t="s">
        <v>49</v>
      </c>
      <c r="AS370" s="6" t="s">
        <v>49</v>
      </c>
      <c r="AT370" s="6" t="s">
        <v>49</v>
      </c>
      <c r="AU370" s="1" t="s">
        <v>49</v>
      </c>
      <c r="AV370" s="30" t="s">
        <v>49</v>
      </c>
      <c r="AW370" s="30"/>
    </row>
    <row r="371" spans="1:49" s="6" customFormat="1" ht="14.4" customHeight="1">
      <c r="A371" s="1">
        <v>20</v>
      </c>
      <c r="B371" s="1" t="s">
        <v>38</v>
      </c>
      <c r="C371" s="1" t="s">
        <v>38</v>
      </c>
      <c r="D371" s="3" t="s">
        <v>549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216</v>
      </c>
      <c r="W371" s="3">
        <v>34.409999999999997</v>
      </c>
      <c r="X371" s="3">
        <v>-119.85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205</v>
      </c>
      <c r="AE371" s="1" t="s">
        <v>206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0.23899999999999999</v>
      </c>
      <c r="AR371" s="6" t="s">
        <v>49</v>
      </c>
      <c r="AS371" s="6" t="s">
        <v>49</v>
      </c>
      <c r="AT371" s="6" t="s">
        <v>49</v>
      </c>
      <c r="AU371" s="1" t="s">
        <v>49</v>
      </c>
      <c r="AV371" s="30" t="s">
        <v>49</v>
      </c>
      <c r="AW371" s="30"/>
    </row>
    <row r="372" spans="1:49" s="6" customFormat="1" ht="14.4" customHeight="1">
      <c r="A372" s="1">
        <v>20</v>
      </c>
      <c r="B372" s="1" t="s">
        <v>38</v>
      </c>
      <c r="C372" s="1" t="s">
        <v>38</v>
      </c>
      <c r="D372" s="3" t="s">
        <v>549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216</v>
      </c>
      <c r="W372" s="3">
        <v>34.409999999999997</v>
      </c>
      <c r="X372" s="3">
        <v>-119.85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205</v>
      </c>
      <c r="AE372" s="1" t="s">
        <v>207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-0.153</v>
      </c>
      <c r="AR372" s="6" t="s">
        <v>49</v>
      </c>
      <c r="AS372" s="6" t="s">
        <v>49</v>
      </c>
      <c r="AT372" s="6" t="s">
        <v>49</v>
      </c>
      <c r="AU372" s="1" t="s">
        <v>49</v>
      </c>
      <c r="AV372" s="30" t="s">
        <v>49</v>
      </c>
      <c r="AW372" s="30"/>
    </row>
    <row r="373" spans="1:49" s="6" customFormat="1" ht="14.4" customHeight="1">
      <c r="A373" s="1">
        <v>20</v>
      </c>
      <c r="B373" s="1" t="s">
        <v>38</v>
      </c>
      <c r="C373" s="1" t="s">
        <v>38</v>
      </c>
      <c r="D373" s="3" t="s">
        <v>549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216</v>
      </c>
      <c r="W373" s="3">
        <v>34.409999999999997</v>
      </c>
      <c r="X373" s="3">
        <v>-119.85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205</v>
      </c>
      <c r="AE373" s="1" t="s">
        <v>198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 t="s">
        <v>49</v>
      </c>
      <c r="AR373" s="6" t="s">
        <v>49</v>
      </c>
      <c r="AS373" s="6" t="s">
        <v>49</v>
      </c>
      <c r="AT373" s="6" t="s">
        <v>49</v>
      </c>
      <c r="AU373" s="1" t="s">
        <v>49</v>
      </c>
      <c r="AV373" s="30" t="s">
        <v>49</v>
      </c>
      <c r="AW373" s="30"/>
    </row>
    <row r="374" spans="1:49" s="6" customFormat="1" ht="14.4" customHeight="1">
      <c r="A374" s="1">
        <v>20</v>
      </c>
      <c r="B374" s="1" t="s">
        <v>38</v>
      </c>
      <c r="C374" s="1" t="s">
        <v>38</v>
      </c>
      <c r="D374" s="3" t="s">
        <v>549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216</v>
      </c>
      <c r="W374" s="3">
        <v>34.409999999999997</v>
      </c>
      <c r="X374" s="3">
        <v>-119.85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205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0.45200000000000001</v>
      </c>
      <c r="AR374" s="6" t="s">
        <v>49</v>
      </c>
      <c r="AS374" s="6" t="s">
        <v>49</v>
      </c>
      <c r="AT374" s="6" t="s">
        <v>49</v>
      </c>
      <c r="AU374" s="1" t="s">
        <v>49</v>
      </c>
      <c r="AV374" s="30" t="s">
        <v>49</v>
      </c>
      <c r="AW374" s="30"/>
    </row>
    <row r="375" spans="1:49" s="6" customFormat="1" ht="14.4" customHeight="1">
      <c r="A375" s="1">
        <v>20</v>
      </c>
      <c r="B375" s="1" t="s">
        <v>38</v>
      </c>
      <c r="C375" s="1" t="s">
        <v>38</v>
      </c>
      <c r="D375" s="3" t="s">
        <v>549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216</v>
      </c>
      <c r="W375" s="3">
        <v>34.409999999999997</v>
      </c>
      <c r="X375" s="3">
        <v>-119.85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205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0.123</v>
      </c>
      <c r="AR375" s="6" t="s">
        <v>49</v>
      </c>
      <c r="AS375" s="6" t="s">
        <v>49</v>
      </c>
      <c r="AT375" s="6" t="s">
        <v>49</v>
      </c>
      <c r="AU375" s="1" t="s">
        <v>49</v>
      </c>
      <c r="AV375" s="30" t="s">
        <v>49</v>
      </c>
      <c r="AW375" s="30"/>
    </row>
    <row r="376" spans="1:49" s="6" customFormat="1" ht="14.4" customHeight="1">
      <c r="A376" s="1">
        <v>20</v>
      </c>
      <c r="B376" s="1" t="s">
        <v>38</v>
      </c>
      <c r="C376" s="1" t="s">
        <v>38</v>
      </c>
      <c r="D376" s="3" t="s">
        <v>549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216</v>
      </c>
      <c r="W376" s="3">
        <v>34.409999999999997</v>
      </c>
      <c r="X376" s="3">
        <v>-119.85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206</v>
      </c>
      <c r="AE376" s="1" t="s">
        <v>207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0.183</v>
      </c>
      <c r="AR376" s="6" t="s">
        <v>49</v>
      </c>
      <c r="AS376" s="6" t="s">
        <v>49</v>
      </c>
      <c r="AT376" s="6" t="s">
        <v>49</v>
      </c>
      <c r="AU376" s="1" t="s">
        <v>49</v>
      </c>
      <c r="AV376" s="30" t="s">
        <v>49</v>
      </c>
      <c r="AW376" s="30"/>
    </row>
    <row r="377" spans="1:49" s="6" customFormat="1" ht="14.4" customHeight="1">
      <c r="A377" s="1">
        <v>20</v>
      </c>
      <c r="B377" s="1" t="s">
        <v>38</v>
      </c>
      <c r="C377" s="1" t="s">
        <v>38</v>
      </c>
      <c r="D377" s="3" t="s">
        <v>549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49</v>
      </c>
      <c r="AB377" s="3" t="s">
        <v>49</v>
      </c>
      <c r="AC377" s="3" t="s">
        <v>49</v>
      </c>
      <c r="AD377" s="1" t="s">
        <v>206</v>
      </c>
      <c r="AE377" s="1" t="s">
        <v>198</v>
      </c>
      <c r="AF377" s="1" t="s">
        <v>49</v>
      </c>
      <c r="AG377" s="1" t="s">
        <v>49</v>
      </c>
      <c r="AH377" s="1" t="s">
        <v>199</v>
      </c>
      <c r="AI377" s="1" t="s">
        <v>200</v>
      </c>
      <c r="AJ377" s="1" t="s">
        <v>49</v>
      </c>
      <c r="AK377" s="1" t="s">
        <v>49</v>
      </c>
      <c r="AL377" s="1" t="s">
        <v>49</v>
      </c>
      <c r="AM377" s="1" t="s">
        <v>49</v>
      </c>
      <c r="AN377" s="1" t="s">
        <v>49</v>
      </c>
      <c r="AO377" s="1" t="s">
        <v>49</v>
      </c>
      <c r="AP377" s="6">
        <v>1</v>
      </c>
      <c r="AQ377" s="6">
        <v>9.4E-2</v>
      </c>
      <c r="AR377" s="6" t="s">
        <v>49</v>
      </c>
      <c r="AS377" s="6" t="s">
        <v>49</v>
      </c>
      <c r="AT377" s="6" t="s">
        <v>49</v>
      </c>
      <c r="AU377" s="1" t="s">
        <v>49</v>
      </c>
      <c r="AV377" s="30" t="s">
        <v>49</v>
      </c>
      <c r="AW377" s="30"/>
    </row>
    <row r="378" spans="1:49" s="6" customFormat="1" ht="14.4" customHeight="1">
      <c r="A378" s="1">
        <v>20</v>
      </c>
      <c r="B378" s="1" t="s">
        <v>38</v>
      </c>
      <c r="C378" s="1" t="s">
        <v>38</v>
      </c>
      <c r="D378" s="3" t="s">
        <v>549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49</v>
      </c>
      <c r="AB378" s="3" t="s">
        <v>49</v>
      </c>
      <c r="AC378" s="3" t="s">
        <v>49</v>
      </c>
      <c r="AD378" s="1" t="s">
        <v>206</v>
      </c>
      <c r="AE378" s="1" t="s">
        <v>214</v>
      </c>
      <c r="AF378" s="1" t="s">
        <v>49</v>
      </c>
      <c r="AG378" s="1" t="s">
        <v>49</v>
      </c>
      <c r="AH378" s="1" t="s">
        <v>199</v>
      </c>
      <c r="AI378" s="1" t="s">
        <v>200</v>
      </c>
      <c r="AJ378" s="1" t="s">
        <v>49</v>
      </c>
      <c r="AK378" s="1" t="s">
        <v>49</v>
      </c>
      <c r="AL378" s="1" t="s">
        <v>49</v>
      </c>
      <c r="AM378" s="1" t="s">
        <v>49</v>
      </c>
      <c r="AN378" s="1" t="s">
        <v>49</v>
      </c>
      <c r="AO378" s="1" t="s">
        <v>49</v>
      </c>
      <c r="AP378" s="6">
        <v>1</v>
      </c>
      <c r="AQ378" s="6">
        <v>0.251</v>
      </c>
      <c r="AR378" s="6" t="s">
        <v>49</v>
      </c>
      <c r="AS378" s="6" t="s">
        <v>49</v>
      </c>
      <c r="AT378" s="6" t="s">
        <v>49</v>
      </c>
      <c r="AU378" s="1" t="s">
        <v>49</v>
      </c>
      <c r="AV378" s="30" t="s">
        <v>49</v>
      </c>
      <c r="AW378" s="30"/>
    </row>
    <row r="379" spans="1:49" s="6" customFormat="1" ht="14.4" customHeight="1">
      <c r="A379" s="1">
        <v>20</v>
      </c>
      <c r="B379" s="1" t="s">
        <v>38</v>
      </c>
      <c r="C379" s="1" t="s">
        <v>38</v>
      </c>
      <c r="D379" s="3" t="s">
        <v>549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49</v>
      </c>
      <c r="AB379" s="3" t="s">
        <v>49</v>
      </c>
      <c r="AC379" s="3" t="s">
        <v>49</v>
      </c>
      <c r="AD379" s="1" t="s">
        <v>206</v>
      </c>
      <c r="AE379" s="1" t="s">
        <v>213</v>
      </c>
      <c r="AF379" s="1" t="s">
        <v>49</v>
      </c>
      <c r="AG379" s="1" t="s">
        <v>49</v>
      </c>
      <c r="AH379" s="1" t="s">
        <v>199</v>
      </c>
      <c r="AI379" s="1" t="s">
        <v>200</v>
      </c>
      <c r="AJ379" s="1" t="s">
        <v>49</v>
      </c>
      <c r="AK379" s="1" t="s">
        <v>49</v>
      </c>
      <c r="AL379" s="1" t="s">
        <v>49</v>
      </c>
      <c r="AM379" s="1" t="s">
        <v>49</v>
      </c>
      <c r="AN379" s="1" t="s">
        <v>49</v>
      </c>
      <c r="AO379" s="1" t="s">
        <v>49</v>
      </c>
      <c r="AP379" s="6">
        <v>1</v>
      </c>
      <c r="AQ379" s="6">
        <v>-0.04</v>
      </c>
      <c r="AR379" s="6" t="s">
        <v>49</v>
      </c>
      <c r="AS379" s="6" t="s">
        <v>49</v>
      </c>
      <c r="AT379" s="6" t="s">
        <v>49</v>
      </c>
      <c r="AU379" s="1" t="s">
        <v>49</v>
      </c>
      <c r="AV379" s="30" t="s">
        <v>49</v>
      </c>
      <c r="AW379" s="30"/>
    </row>
    <row r="380" spans="1:49" s="6" customFormat="1" ht="14.4" customHeight="1">
      <c r="A380" s="1">
        <v>20</v>
      </c>
      <c r="B380" s="1" t="s">
        <v>38</v>
      </c>
      <c r="C380" s="1" t="s">
        <v>38</v>
      </c>
      <c r="D380" s="3" t="s">
        <v>549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49</v>
      </c>
      <c r="AB380" s="3" t="s">
        <v>49</v>
      </c>
      <c r="AC380" s="3" t="s">
        <v>49</v>
      </c>
      <c r="AD380" s="1" t="s">
        <v>207</v>
      </c>
      <c r="AE380" s="1" t="s">
        <v>198</v>
      </c>
      <c r="AF380" s="1" t="s">
        <v>49</v>
      </c>
      <c r="AG380" s="1" t="s">
        <v>49</v>
      </c>
      <c r="AH380" s="1" t="s">
        <v>199</v>
      </c>
      <c r="AI380" s="1" t="s">
        <v>200</v>
      </c>
      <c r="AJ380" s="1" t="s">
        <v>49</v>
      </c>
      <c r="AK380" s="1" t="s">
        <v>49</v>
      </c>
      <c r="AL380" s="1" t="s">
        <v>49</v>
      </c>
      <c r="AM380" s="1" t="s">
        <v>49</v>
      </c>
      <c r="AN380" s="1" t="s">
        <v>49</v>
      </c>
      <c r="AO380" s="1" t="s">
        <v>49</v>
      </c>
      <c r="AP380" s="6">
        <v>1</v>
      </c>
      <c r="AQ380" s="6">
        <v>-4.1000000000000002E-2</v>
      </c>
      <c r="AR380" s="6" t="s">
        <v>49</v>
      </c>
      <c r="AS380" s="6" t="s">
        <v>49</v>
      </c>
      <c r="AT380" s="6" t="s">
        <v>49</v>
      </c>
      <c r="AU380" s="1" t="s">
        <v>49</v>
      </c>
      <c r="AV380" s="30" t="s">
        <v>49</v>
      </c>
      <c r="AW380" s="30"/>
    </row>
    <row r="381" spans="1:49" s="6" customFormat="1" ht="14.4" customHeight="1">
      <c r="A381" s="1">
        <v>20</v>
      </c>
      <c r="B381" s="1" t="s">
        <v>38</v>
      </c>
      <c r="C381" s="1" t="s">
        <v>38</v>
      </c>
      <c r="D381" s="3" t="s">
        <v>549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49</v>
      </c>
      <c r="AB381" s="3" t="s">
        <v>49</v>
      </c>
      <c r="AC381" s="3" t="s">
        <v>49</v>
      </c>
      <c r="AD381" s="1" t="s">
        <v>207</v>
      </c>
      <c r="AE381" s="1" t="s">
        <v>214</v>
      </c>
      <c r="AF381" s="1" t="s">
        <v>49</v>
      </c>
      <c r="AG381" s="1" t="s">
        <v>49</v>
      </c>
      <c r="AH381" s="1" t="s">
        <v>199</v>
      </c>
      <c r="AI381" s="1" t="s">
        <v>200</v>
      </c>
      <c r="AJ381" s="1" t="s">
        <v>49</v>
      </c>
      <c r="AK381" s="1" t="s">
        <v>49</v>
      </c>
      <c r="AL381" s="1" t="s">
        <v>49</v>
      </c>
      <c r="AM381" s="1" t="s">
        <v>49</v>
      </c>
      <c r="AN381" s="1" t="s">
        <v>49</v>
      </c>
      <c r="AO381" s="1" t="s">
        <v>49</v>
      </c>
      <c r="AP381" s="6">
        <v>1</v>
      </c>
      <c r="AQ381" s="6">
        <v>-0.153</v>
      </c>
      <c r="AR381" s="6" t="s">
        <v>49</v>
      </c>
      <c r="AS381" s="6" t="s">
        <v>49</v>
      </c>
      <c r="AT381" s="6" t="s">
        <v>49</v>
      </c>
      <c r="AU381" s="1" t="s">
        <v>49</v>
      </c>
      <c r="AV381" s="30" t="s">
        <v>49</v>
      </c>
      <c r="AW381" s="30"/>
    </row>
    <row r="382" spans="1:49" s="6" customFormat="1" ht="14.4" customHeight="1">
      <c r="A382" s="1">
        <v>20</v>
      </c>
      <c r="B382" s="1" t="s">
        <v>38</v>
      </c>
      <c r="C382" s="1" t="s">
        <v>38</v>
      </c>
      <c r="D382" s="3" t="s">
        <v>549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49</v>
      </c>
      <c r="AB382" s="3" t="s">
        <v>49</v>
      </c>
      <c r="AC382" s="3" t="s">
        <v>49</v>
      </c>
      <c r="AD382" s="1" t="s">
        <v>207</v>
      </c>
      <c r="AE382" s="1" t="s">
        <v>213</v>
      </c>
      <c r="AF382" s="1" t="s">
        <v>49</v>
      </c>
      <c r="AG382" s="1" t="s">
        <v>49</v>
      </c>
      <c r="AH382" s="1" t="s">
        <v>199</v>
      </c>
      <c r="AI382" s="1" t="s">
        <v>200</v>
      </c>
      <c r="AJ382" s="1" t="s">
        <v>49</v>
      </c>
      <c r="AK382" s="1" t="s">
        <v>49</v>
      </c>
      <c r="AL382" s="1" t="s">
        <v>49</v>
      </c>
      <c r="AM382" s="1" t="s">
        <v>49</v>
      </c>
      <c r="AN382" s="1" t="s">
        <v>49</v>
      </c>
      <c r="AO382" s="1" t="s">
        <v>49</v>
      </c>
      <c r="AP382" s="6">
        <v>1</v>
      </c>
      <c r="AQ382" s="6">
        <v>-0.20200000000000001</v>
      </c>
      <c r="AR382" s="6" t="s">
        <v>49</v>
      </c>
      <c r="AS382" s="6" t="s">
        <v>49</v>
      </c>
      <c r="AT382" s="6" t="s">
        <v>49</v>
      </c>
      <c r="AU382" s="1" t="s">
        <v>49</v>
      </c>
      <c r="AV382" s="30" t="s">
        <v>49</v>
      </c>
      <c r="AW382" s="30"/>
    </row>
    <row r="383" spans="1:49" s="6" customFormat="1" ht="14.4" customHeight="1">
      <c r="A383" s="1">
        <v>20</v>
      </c>
      <c r="B383" s="1" t="s">
        <v>38</v>
      </c>
      <c r="C383" s="1" t="s">
        <v>38</v>
      </c>
      <c r="D383" s="3" t="s">
        <v>549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49</v>
      </c>
      <c r="AB383" s="3" t="s">
        <v>49</v>
      </c>
      <c r="AC383" s="3" t="s">
        <v>49</v>
      </c>
      <c r="AD383" s="1" t="s">
        <v>198</v>
      </c>
      <c r="AE383" s="1" t="s">
        <v>214</v>
      </c>
      <c r="AF383" s="1" t="s">
        <v>49</v>
      </c>
      <c r="AG383" s="1" t="s">
        <v>49</v>
      </c>
      <c r="AH383" s="1" t="s">
        <v>199</v>
      </c>
      <c r="AI383" s="1" t="s">
        <v>200</v>
      </c>
      <c r="AJ383" s="1" t="s">
        <v>49</v>
      </c>
      <c r="AK383" s="1" t="s">
        <v>49</v>
      </c>
      <c r="AL383" s="1" t="s">
        <v>49</v>
      </c>
      <c r="AM383" s="1" t="s">
        <v>49</v>
      </c>
      <c r="AN383" s="1" t="s">
        <v>49</v>
      </c>
      <c r="AO383" s="1" t="s">
        <v>49</v>
      </c>
      <c r="AP383" s="6">
        <v>1</v>
      </c>
      <c r="AQ383" s="6">
        <v>0.39100000000000001</v>
      </c>
      <c r="AR383" s="6" t="s">
        <v>49</v>
      </c>
      <c r="AS383" s="6" t="s">
        <v>49</v>
      </c>
      <c r="AT383" s="6" t="s">
        <v>49</v>
      </c>
      <c r="AU383" s="1" t="s">
        <v>49</v>
      </c>
      <c r="AV383" s="30" t="s">
        <v>49</v>
      </c>
      <c r="AW383" s="30"/>
    </row>
    <row r="384" spans="1:49" s="6" customFormat="1" ht="14.4" customHeight="1">
      <c r="A384" s="1">
        <v>20</v>
      </c>
      <c r="B384" s="1" t="s">
        <v>38</v>
      </c>
      <c r="C384" s="1" t="s">
        <v>38</v>
      </c>
      <c r="D384" s="3" t="s">
        <v>549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49</v>
      </c>
      <c r="AB384" s="3" t="s">
        <v>49</v>
      </c>
      <c r="AC384" s="3" t="s">
        <v>49</v>
      </c>
      <c r="AD384" s="1" t="s">
        <v>198</v>
      </c>
      <c r="AE384" s="1" t="s">
        <v>213</v>
      </c>
      <c r="AF384" s="1" t="s">
        <v>49</v>
      </c>
      <c r="AG384" s="1" t="s">
        <v>49</v>
      </c>
      <c r="AH384" s="1" t="s">
        <v>199</v>
      </c>
      <c r="AI384" s="1" t="s">
        <v>200</v>
      </c>
      <c r="AJ384" s="1" t="s">
        <v>49</v>
      </c>
      <c r="AK384" s="1" t="s">
        <v>49</v>
      </c>
      <c r="AL384" s="1" t="s">
        <v>49</v>
      </c>
      <c r="AM384" s="1" t="s">
        <v>49</v>
      </c>
      <c r="AN384" s="1" t="s">
        <v>49</v>
      </c>
      <c r="AO384" s="1" t="s">
        <v>49</v>
      </c>
      <c r="AP384" s="6">
        <v>1</v>
      </c>
      <c r="AQ384" s="6">
        <v>7.2999999999999995E-2</v>
      </c>
      <c r="AR384" s="6" t="s">
        <v>49</v>
      </c>
      <c r="AS384" s="6" t="s">
        <v>49</v>
      </c>
      <c r="AT384" s="6" t="s">
        <v>49</v>
      </c>
      <c r="AU384" s="1" t="s">
        <v>49</v>
      </c>
      <c r="AV384" s="30" t="s">
        <v>49</v>
      </c>
      <c r="AW384" s="30"/>
    </row>
    <row r="385" spans="1:49" s="6" customFormat="1" ht="14.4" customHeight="1">
      <c r="A385" s="1">
        <v>20</v>
      </c>
      <c r="B385" s="1" t="s">
        <v>38</v>
      </c>
      <c r="C385" s="1" t="s">
        <v>38</v>
      </c>
      <c r="D385" s="3" t="s">
        <v>549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49</v>
      </c>
      <c r="AB385" s="3" t="s">
        <v>49</v>
      </c>
      <c r="AC385" s="3" t="s">
        <v>49</v>
      </c>
      <c r="AD385" s="1" t="s">
        <v>214</v>
      </c>
      <c r="AE385" s="1" t="s">
        <v>213</v>
      </c>
      <c r="AF385" s="1" t="s">
        <v>49</v>
      </c>
      <c r="AG385" s="1" t="s">
        <v>49</v>
      </c>
      <c r="AH385" s="1" t="s">
        <v>199</v>
      </c>
      <c r="AI385" s="1" t="s">
        <v>200</v>
      </c>
      <c r="AJ385" s="1" t="s">
        <v>49</v>
      </c>
      <c r="AK385" s="1" t="s">
        <v>49</v>
      </c>
      <c r="AL385" s="1" t="s">
        <v>49</v>
      </c>
      <c r="AM385" s="1" t="s">
        <v>49</v>
      </c>
      <c r="AN385" s="1" t="s">
        <v>49</v>
      </c>
      <c r="AO385" s="1" t="s">
        <v>49</v>
      </c>
      <c r="AP385" s="6">
        <v>1</v>
      </c>
      <c r="AQ385" s="6">
        <v>0.111</v>
      </c>
      <c r="AR385" s="6" t="s">
        <v>49</v>
      </c>
      <c r="AS385" s="6" t="s">
        <v>49</v>
      </c>
      <c r="AT385" s="6" t="s">
        <v>49</v>
      </c>
      <c r="AU385" s="1" t="s">
        <v>49</v>
      </c>
      <c r="AV385" s="30" t="s">
        <v>49</v>
      </c>
      <c r="AW385" s="30"/>
    </row>
    <row r="386" spans="1:49" s="6" customFormat="1" ht="14.4" customHeight="1">
      <c r="A386" s="1">
        <v>20</v>
      </c>
      <c r="B386" s="1" t="s">
        <v>38</v>
      </c>
      <c r="C386" s="1" t="s">
        <v>38</v>
      </c>
      <c r="D386" s="3" t="s">
        <v>549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217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50</v>
      </c>
      <c r="AB386" s="1" t="s">
        <v>201</v>
      </c>
      <c r="AC386" s="1" t="s">
        <v>202</v>
      </c>
      <c r="AD386" s="1" t="s">
        <v>203</v>
      </c>
      <c r="AE386" s="1" t="s">
        <v>203</v>
      </c>
      <c r="AF386" s="1" t="s">
        <v>53</v>
      </c>
      <c r="AG386" s="1" t="s">
        <v>53</v>
      </c>
      <c r="AH386" s="1" t="s">
        <v>199</v>
      </c>
      <c r="AI386" s="1" t="s">
        <v>200</v>
      </c>
      <c r="AJ386" s="1">
        <v>15</v>
      </c>
      <c r="AK386" s="1">
        <v>60</v>
      </c>
      <c r="AL386" s="1" t="s">
        <v>49</v>
      </c>
      <c r="AM386" s="3">
        <v>102.2</v>
      </c>
      <c r="AN386" s="3">
        <f>11.13^2</f>
        <v>123.87690000000002</v>
      </c>
      <c r="AO386" s="1" t="s">
        <v>49</v>
      </c>
      <c r="AP386" s="6">
        <v>1</v>
      </c>
      <c r="AQ386" s="6" t="s">
        <v>49</v>
      </c>
      <c r="AR386" s="3">
        <f>11.13^2</f>
        <v>123.87690000000002</v>
      </c>
      <c r="AS386" s="6" t="s">
        <v>49</v>
      </c>
      <c r="AT386" s="6" t="s">
        <v>49</v>
      </c>
      <c r="AU386" s="1" t="s">
        <v>49</v>
      </c>
      <c r="AV386" s="30" t="s">
        <v>49</v>
      </c>
      <c r="AW386" s="29"/>
    </row>
    <row r="387" spans="1:49" s="6" customFormat="1" ht="14.4" customHeight="1">
      <c r="A387" s="1">
        <v>20</v>
      </c>
      <c r="B387" s="1" t="s">
        <v>38</v>
      </c>
      <c r="C387" s="1" t="s">
        <v>38</v>
      </c>
      <c r="D387" s="3" t="s">
        <v>549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217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50</v>
      </c>
      <c r="AB387" s="1" t="s">
        <v>208</v>
      </c>
      <c r="AC387" s="1" t="s">
        <v>209</v>
      </c>
      <c r="AD387" s="1" t="s">
        <v>210</v>
      </c>
      <c r="AE387" s="1" t="s">
        <v>210</v>
      </c>
      <c r="AF387" s="1" t="s">
        <v>53</v>
      </c>
      <c r="AG387" s="1" t="s">
        <v>53</v>
      </c>
      <c r="AH387" s="1" t="s">
        <v>199</v>
      </c>
      <c r="AI387" s="1" t="s">
        <v>200</v>
      </c>
      <c r="AJ387" s="1">
        <v>15</v>
      </c>
      <c r="AK387" s="1">
        <v>60</v>
      </c>
      <c r="AL387" s="1" t="s">
        <v>49</v>
      </c>
      <c r="AM387" s="3">
        <v>92.4</v>
      </c>
      <c r="AN387" s="3">
        <f>20.69^2</f>
        <v>428.07610000000005</v>
      </c>
      <c r="AO387" s="1" t="s">
        <v>49</v>
      </c>
      <c r="AP387" s="6">
        <v>1</v>
      </c>
      <c r="AQ387" s="6" t="s">
        <v>49</v>
      </c>
      <c r="AR387" s="3">
        <f>20.69^2</f>
        <v>428.07610000000005</v>
      </c>
      <c r="AS387" s="6" t="s">
        <v>49</v>
      </c>
      <c r="AT387" s="6" t="s">
        <v>49</v>
      </c>
      <c r="AU387" s="1" t="s">
        <v>49</v>
      </c>
      <c r="AV387" s="30" t="s">
        <v>49</v>
      </c>
      <c r="AW387" s="29"/>
    </row>
    <row r="388" spans="1:49" s="6" customFormat="1" ht="14.4" customHeight="1">
      <c r="A388" s="1">
        <v>20</v>
      </c>
      <c r="B388" s="1" t="s">
        <v>38</v>
      </c>
      <c r="C388" s="1" t="s">
        <v>38</v>
      </c>
      <c r="D388" s="3" t="s">
        <v>549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217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50</v>
      </c>
      <c r="AB388" s="1" t="s">
        <v>208</v>
      </c>
      <c r="AC388" s="1" t="s">
        <v>211</v>
      </c>
      <c r="AD388" s="1" t="s">
        <v>212</v>
      </c>
      <c r="AE388" s="1" t="s">
        <v>212</v>
      </c>
      <c r="AF388" s="1" t="s">
        <v>60</v>
      </c>
      <c r="AG388" s="1" t="s">
        <v>173</v>
      </c>
      <c r="AH388" s="1" t="s">
        <v>199</v>
      </c>
      <c r="AI388" s="1" t="s">
        <v>200</v>
      </c>
      <c r="AJ388" s="1">
        <v>15</v>
      </c>
      <c r="AK388" s="1">
        <v>60</v>
      </c>
      <c r="AL388" s="1" t="s">
        <v>49</v>
      </c>
      <c r="AM388" s="3">
        <v>38</v>
      </c>
      <c r="AN388" s="3">
        <f>7^2</f>
        <v>49</v>
      </c>
      <c r="AO388" s="1" t="s">
        <v>49</v>
      </c>
      <c r="AP388" s="6">
        <v>1</v>
      </c>
      <c r="AQ388" s="6" t="s">
        <v>49</v>
      </c>
      <c r="AR388" s="3">
        <f>7^2</f>
        <v>49</v>
      </c>
      <c r="AS388" s="6" t="s">
        <v>49</v>
      </c>
      <c r="AT388" s="6" t="s">
        <v>49</v>
      </c>
      <c r="AU388" s="1" t="s">
        <v>49</v>
      </c>
      <c r="AV388" s="30" t="s">
        <v>49</v>
      </c>
      <c r="AW388" s="29"/>
    </row>
    <row r="389" spans="1:49" s="6" customFormat="1" ht="14.4" customHeight="1">
      <c r="A389" s="1">
        <v>20</v>
      </c>
      <c r="B389" s="1" t="s">
        <v>38</v>
      </c>
      <c r="C389" s="1" t="s">
        <v>38</v>
      </c>
      <c r="D389" s="3" t="s">
        <v>549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217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50</v>
      </c>
      <c r="AB389" s="1" t="s">
        <v>201</v>
      </c>
      <c r="AC389" s="1" t="s">
        <v>204</v>
      </c>
      <c r="AD389" s="1" t="s">
        <v>205</v>
      </c>
      <c r="AE389" s="1" t="s">
        <v>205</v>
      </c>
      <c r="AF389" s="1" t="s">
        <v>53</v>
      </c>
      <c r="AG389" s="1" t="s">
        <v>53</v>
      </c>
      <c r="AH389" s="1" t="s">
        <v>199</v>
      </c>
      <c r="AI389" s="1" t="s">
        <v>200</v>
      </c>
      <c r="AJ389" s="1">
        <v>15</v>
      </c>
      <c r="AK389" s="1">
        <v>60</v>
      </c>
      <c r="AL389" s="1" t="s">
        <v>49</v>
      </c>
      <c r="AM389" s="3">
        <v>3.9</v>
      </c>
      <c r="AN389" s="3">
        <f>0.83^2</f>
        <v>0.68889999999999996</v>
      </c>
      <c r="AO389" s="1" t="s">
        <v>49</v>
      </c>
      <c r="AP389" s="6">
        <v>1</v>
      </c>
      <c r="AQ389" s="6" t="s">
        <v>49</v>
      </c>
      <c r="AR389" s="3">
        <f>0.83^2</f>
        <v>0.68889999999999996</v>
      </c>
      <c r="AS389" s="6" t="s">
        <v>49</v>
      </c>
      <c r="AT389" s="6" t="s">
        <v>49</v>
      </c>
      <c r="AU389" s="1" t="s">
        <v>49</v>
      </c>
      <c r="AV389" s="30" t="s">
        <v>49</v>
      </c>
      <c r="AW389" s="29"/>
    </row>
    <row r="390" spans="1:49" s="6" customFormat="1" ht="14.4" customHeight="1">
      <c r="A390" s="1">
        <v>20</v>
      </c>
      <c r="B390" s="1" t="s">
        <v>38</v>
      </c>
      <c r="C390" s="1" t="s">
        <v>38</v>
      </c>
      <c r="D390" s="3" t="s">
        <v>549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217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50</v>
      </c>
      <c r="AB390" s="1" t="s">
        <v>201</v>
      </c>
      <c r="AC390" s="1" t="s">
        <v>204</v>
      </c>
      <c r="AD390" s="1" t="s">
        <v>206</v>
      </c>
      <c r="AE390" s="1" t="s">
        <v>206</v>
      </c>
      <c r="AF390" s="1" t="s">
        <v>53</v>
      </c>
      <c r="AG390" s="1" t="s">
        <v>53</v>
      </c>
      <c r="AH390" s="1" t="s">
        <v>199</v>
      </c>
      <c r="AI390" s="1" t="s">
        <v>200</v>
      </c>
      <c r="AJ390" s="1">
        <v>15</v>
      </c>
      <c r="AK390" s="1">
        <v>60</v>
      </c>
      <c r="AL390" s="1" t="s">
        <v>49</v>
      </c>
      <c r="AM390" s="3">
        <v>5025</v>
      </c>
      <c r="AN390" s="3">
        <f>1564^2</f>
        <v>2446096</v>
      </c>
      <c r="AO390" s="1" t="s">
        <v>49</v>
      </c>
      <c r="AP390" s="6">
        <v>1</v>
      </c>
      <c r="AQ390" s="6" t="s">
        <v>49</v>
      </c>
      <c r="AR390" s="3">
        <f>1564^2</f>
        <v>2446096</v>
      </c>
      <c r="AS390" s="6" t="s">
        <v>49</v>
      </c>
      <c r="AT390" s="6" t="s">
        <v>49</v>
      </c>
      <c r="AU390" s="1" t="s">
        <v>49</v>
      </c>
      <c r="AV390" s="30" t="s">
        <v>49</v>
      </c>
      <c r="AW390" s="29"/>
    </row>
    <row r="391" spans="1:49" s="6" customFormat="1" ht="14.4" customHeight="1">
      <c r="A391" s="1">
        <v>20</v>
      </c>
      <c r="B391" s="1" t="s">
        <v>38</v>
      </c>
      <c r="C391" s="1" t="s">
        <v>38</v>
      </c>
      <c r="D391" s="3" t="s">
        <v>549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217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50</v>
      </c>
      <c r="AB391" s="1" t="s">
        <v>201</v>
      </c>
      <c r="AC391" s="1" t="s">
        <v>204</v>
      </c>
      <c r="AD391" s="1" t="s">
        <v>207</v>
      </c>
      <c r="AE391" s="1" t="s">
        <v>207</v>
      </c>
      <c r="AF391" s="1" t="s">
        <v>60</v>
      </c>
      <c r="AG391" s="1" t="s">
        <v>173</v>
      </c>
      <c r="AH391" s="1" t="s">
        <v>199</v>
      </c>
      <c r="AI391" s="1" t="s">
        <v>200</v>
      </c>
      <c r="AJ391" s="1">
        <v>15</v>
      </c>
      <c r="AK391" s="1">
        <v>60</v>
      </c>
      <c r="AL391" s="1" t="s">
        <v>49</v>
      </c>
      <c r="AM391" s="3">
        <v>3592</v>
      </c>
      <c r="AN391" s="3">
        <f>382^2</f>
        <v>145924</v>
      </c>
      <c r="AO391" s="1" t="s">
        <v>49</v>
      </c>
      <c r="AP391" s="6">
        <v>1</v>
      </c>
      <c r="AQ391" s="6" t="s">
        <v>49</v>
      </c>
      <c r="AR391" s="3">
        <f>382^2</f>
        <v>145924</v>
      </c>
      <c r="AS391" s="6" t="s">
        <v>49</v>
      </c>
      <c r="AT391" s="6" t="s">
        <v>49</v>
      </c>
      <c r="AU391" s="1" t="s">
        <v>49</v>
      </c>
      <c r="AV391" s="30" t="s">
        <v>49</v>
      </c>
      <c r="AW391" s="29"/>
    </row>
    <row r="392" spans="1:49" s="6" customFormat="1" ht="14.4" customHeight="1">
      <c r="A392" s="1">
        <v>20</v>
      </c>
      <c r="B392" s="1" t="s">
        <v>38</v>
      </c>
      <c r="C392" s="1" t="s">
        <v>38</v>
      </c>
      <c r="D392" s="3" t="s">
        <v>549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217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50</v>
      </c>
      <c r="AB392" s="1" t="s">
        <v>196</v>
      </c>
      <c r="AC392" s="1" t="s">
        <v>197</v>
      </c>
      <c r="AD392" s="1" t="s">
        <v>198</v>
      </c>
      <c r="AE392" s="1" t="s">
        <v>198</v>
      </c>
      <c r="AF392" s="1" t="s">
        <v>60</v>
      </c>
      <c r="AG392" s="1" t="s">
        <v>60</v>
      </c>
      <c r="AH392" s="1" t="s">
        <v>199</v>
      </c>
      <c r="AI392" s="1" t="s">
        <v>200</v>
      </c>
      <c r="AJ392" s="1">
        <v>15</v>
      </c>
      <c r="AK392" s="1">
        <v>60</v>
      </c>
      <c r="AL392" s="1" t="s">
        <v>49</v>
      </c>
      <c r="AM392" s="3">
        <v>38</v>
      </c>
      <c r="AN392" s="3">
        <f>9^2</f>
        <v>81</v>
      </c>
      <c r="AO392" s="1" t="s">
        <v>49</v>
      </c>
      <c r="AP392" s="6">
        <v>1</v>
      </c>
      <c r="AQ392" s="6" t="s">
        <v>49</v>
      </c>
      <c r="AR392" s="3">
        <f>9^2</f>
        <v>81</v>
      </c>
      <c r="AS392" s="6" t="s">
        <v>49</v>
      </c>
      <c r="AT392" s="6" t="s">
        <v>49</v>
      </c>
      <c r="AU392" s="1" t="s">
        <v>49</v>
      </c>
      <c r="AV392" s="30" t="s">
        <v>49</v>
      </c>
      <c r="AW392" s="29"/>
    </row>
    <row r="393" spans="1:49" s="6" customFormat="1" ht="14.4" customHeight="1">
      <c r="A393" s="1">
        <v>20</v>
      </c>
      <c r="B393" s="1" t="s">
        <v>38</v>
      </c>
      <c r="C393" s="1" t="s">
        <v>38</v>
      </c>
      <c r="D393" s="3" t="s">
        <v>549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217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50</v>
      </c>
      <c r="AB393" s="1" t="s">
        <v>66</v>
      </c>
      <c r="AC393" s="1" t="s">
        <v>124</v>
      </c>
      <c r="AD393" s="1" t="s">
        <v>214</v>
      </c>
      <c r="AE393" s="1" t="s">
        <v>214</v>
      </c>
      <c r="AF393" s="1" t="s">
        <v>53</v>
      </c>
      <c r="AG393" s="1" t="s">
        <v>53</v>
      </c>
      <c r="AH393" s="1" t="s">
        <v>199</v>
      </c>
      <c r="AI393" s="1" t="s">
        <v>200</v>
      </c>
      <c r="AJ393" s="1">
        <v>15</v>
      </c>
      <c r="AK393" s="1">
        <v>60</v>
      </c>
      <c r="AL393" s="1" t="s">
        <v>49</v>
      </c>
      <c r="AM393" s="3">
        <v>2.9</v>
      </c>
      <c r="AN393" s="3">
        <f>1.07^2</f>
        <v>1.1449</v>
      </c>
      <c r="AO393" s="1" t="s">
        <v>49</v>
      </c>
      <c r="AP393" s="6">
        <v>1</v>
      </c>
      <c r="AQ393" s="6" t="s">
        <v>49</v>
      </c>
      <c r="AR393" s="3">
        <f>1.07^2</f>
        <v>1.1449</v>
      </c>
      <c r="AS393" s="6" t="s">
        <v>49</v>
      </c>
      <c r="AT393" s="6" t="s">
        <v>49</v>
      </c>
      <c r="AU393" s="1" t="s">
        <v>49</v>
      </c>
      <c r="AV393" s="30" t="s">
        <v>49</v>
      </c>
      <c r="AW393" s="29"/>
    </row>
    <row r="394" spans="1:49" s="6" customFormat="1" ht="14.4" customHeight="1">
      <c r="A394" s="1">
        <v>20</v>
      </c>
      <c r="B394" s="1" t="s">
        <v>38</v>
      </c>
      <c r="C394" s="1" t="s">
        <v>38</v>
      </c>
      <c r="D394" s="3" t="s">
        <v>549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217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50</v>
      </c>
      <c r="AB394" s="1" t="s">
        <v>66</v>
      </c>
      <c r="AC394" s="1" t="s">
        <v>124</v>
      </c>
      <c r="AD394" s="1" t="s">
        <v>213</v>
      </c>
      <c r="AE394" s="1" t="s">
        <v>213</v>
      </c>
      <c r="AF394" s="1" t="s">
        <v>60</v>
      </c>
      <c r="AG394" s="1" t="s">
        <v>129</v>
      </c>
      <c r="AH394" s="1" t="s">
        <v>199</v>
      </c>
      <c r="AI394" s="1" t="s">
        <v>200</v>
      </c>
      <c r="AJ394" s="1">
        <v>15</v>
      </c>
      <c r="AK394" s="1">
        <v>60</v>
      </c>
      <c r="AL394" s="1" t="s">
        <v>49</v>
      </c>
      <c r="AM394" s="3">
        <v>4.9000000000000004</v>
      </c>
      <c r="AN394" s="3">
        <f>1.11^2</f>
        <v>1.2321000000000002</v>
      </c>
      <c r="AO394" s="1" t="s">
        <v>49</v>
      </c>
      <c r="AP394" s="6">
        <v>1</v>
      </c>
      <c r="AQ394" s="6" t="s">
        <v>49</v>
      </c>
      <c r="AR394" s="3">
        <f>1.11^2</f>
        <v>1.2321000000000002</v>
      </c>
      <c r="AS394" s="6" t="s">
        <v>49</v>
      </c>
      <c r="AT394" s="6" t="s">
        <v>49</v>
      </c>
      <c r="AU394" s="1" t="s">
        <v>49</v>
      </c>
      <c r="AV394" s="30" t="s">
        <v>49</v>
      </c>
      <c r="AW394" s="29"/>
    </row>
    <row r="395" spans="1:49" s="6" customFormat="1" ht="14.4" customHeight="1">
      <c r="A395" s="1">
        <v>20</v>
      </c>
      <c r="B395" s="1" t="s">
        <v>38</v>
      </c>
      <c r="C395" s="1" t="s">
        <v>38</v>
      </c>
      <c r="D395" s="3" t="s">
        <v>549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217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203</v>
      </c>
      <c r="AE395" s="1" t="s">
        <v>210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0.33600000000000002</v>
      </c>
      <c r="AR395" s="6" t="s">
        <v>49</v>
      </c>
      <c r="AS395" s="6" t="s">
        <v>49</v>
      </c>
      <c r="AT395" s="6" t="s">
        <v>49</v>
      </c>
      <c r="AU395" s="1" t="s">
        <v>49</v>
      </c>
      <c r="AV395" s="30" t="s">
        <v>49</v>
      </c>
      <c r="AW395" s="30"/>
    </row>
    <row r="396" spans="1:49" s="6" customFormat="1" ht="14.4" customHeight="1">
      <c r="A396" s="1">
        <v>20</v>
      </c>
      <c r="B396" s="1" t="s">
        <v>38</v>
      </c>
      <c r="C396" s="1" t="s">
        <v>38</v>
      </c>
      <c r="D396" s="3" t="s">
        <v>549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217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203</v>
      </c>
      <c r="AE396" s="1" t="s">
        <v>212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5.7000000000000002E-2</v>
      </c>
      <c r="AR396" s="6" t="s">
        <v>49</v>
      </c>
      <c r="AS396" s="6" t="s">
        <v>49</v>
      </c>
      <c r="AT396" s="6" t="s">
        <v>49</v>
      </c>
      <c r="AU396" s="1" t="s">
        <v>49</v>
      </c>
      <c r="AV396" s="30" t="s">
        <v>49</v>
      </c>
      <c r="AW396" s="30"/>
    </row>
    <row r="397" spans="1:49" s="6" customFormat="1" ht="14.4" customHeight="1">
      <c r="A397" s="1">
        <v>20</v>
      </c>
      <c r="B397" s="1" t="s">
        <v>38</v>
      </c>
      <c r="C397" s="1" t="s">
        <v>38</v>
      </c>
      <c r="D397" s="3" t="s">
        <v>549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217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203</v>
      </c>
      <c r="AE397" s="1" t="s">
        <v>205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-6.3E-2</v>
      </c>
      <c r="AR397" s="6" t="s">
        <v>49</v>
      </c>
      <c r="AS397" s="6" t="s">
        <v>49</v>
      </c>
      <c r="AT397" s="6" t="s">
        <v>49</v>
      </c>
      <c r="AU397" s="1" t="s">
        <v>49</v>
      </c>
      <c r="AV397" s="30" t="s">
        <v>49</v>
      </c>
      <c r="AW397" s="30"/>
    </row>
    <row r="398" spans="1:49" s="6" customFormat="1" ht="14.4" customHeight="1">
      <c r="A398" s="1">
        <v>20</v>
      </c>
      <c r="B398" s="1" t="s">
        <v>38</v>
      </c>
      <c r="C398" s="1" t="s">
        <v>38</v>
      </c>
      <c r="D398" s="3" t="s">
        <v>549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217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203</v>
      </c>
      <c r="AE398" s="1" t="s">
        <v>206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0.11799999999999999</v>
      </c>
      <c r="AR398" s="6" t="s">
        <v>49</v>
      </c>
      <c r="AS398" s="6" t="s">
        <v>49</v>
      </c>
      <c r="AT398" s="6" t="s">
        <v>49</v>
      </c>
      <c r="AU398" s="1" t="s">
        <v>49</v>
      </c>
      <c r="AV398" s="30" t="s">
        <v>49</v>
      </c>
      <c r="AW398" s="30"/>
    </row>
    <row r="399" spans="1:49" s="6" customFormat="1" ht="14.4" customHeight="1">
      <c r="A399" s="1">
        <v>20</v>
      </c>
      <c r="B399" s="1" t="s">
        <v>38</v>
      </c>
      <c r="C399" s="1" t="s">
        <v>38</v>
      </c>
      <c r="D399" s="3" t="s">
        <v>549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217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203</v>
      </c>
      <c r="AE399" s="1" t="s">
        <v>207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6.0999999999999999E-2</v>
      </c>
      <c r="AR399" s="6" t="s">
        <v>49</v>
      </c>
      <c r="AS399" s="6" t="s">
        <v>49</v>
      </c>
      <c r="AT399" s="6" t="s">
        <v>49</v>
      </c>
      <c r="AU399" s="1" t="s">
        <v>49</v>
      </c>
      <c r="AV399" s="30" t="s">
        <v>49</v>
      </c>
      <c r="AW399" s="30"/>
    </row>
    <row r="400" spans="1:49" s="6" customFormat="1" ht="14.4" customHeight="1">
      <c r="A400" s="1">
        <v>20</v>
      </c>
      <c r="B400" s="1" t="s">
        <v>38</v>
      </c>
      <c r="C400" s="1" t="s">
        <v>38</v>
      </c>
      <c r="D400" s="3" t="s">
        <v>549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217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203</v>
      </c>
      <c r="AE400" s="1" t="s">
        <v>198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 t="s">
        <v>49</v>
      </c>
      <c r="AR400" s="6" t="s">
        <v>49</v>
      </c>
      <c r="AS400" s="6" t="s">
        <v>49</v>
      </c>
      <c r="AT400" s="6" t="s">
        <v>49</v>
      </c>
      <c r="AU400" s="1" t="s">
        <v>49</v>
      </c>
      <c r="AV400" s="30" t="s">
        <v>49</v>
      </c>
      <c r="AW400" s="30"/>
    </row>
    <row r="401" spans="1:49" s="6" customFormat="1" ht="14.4" customHeight="1">
      <c r="A401" s="1">
        <v>20</v>
      </c>
      <c r="B401" s="1" t="s">
        <v>38</v>
      </c>
      <c r="C401" s="1" t="s">
        <v>38</v>
      </c>
      <c r="D401" s="3" t="s">
        <v>549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217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203</v>
      </c>
      <c r="AE401" s="1" t="s">
        <v>214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3.4000000000000002E-2</v>
      </c>
      <c r="AR401" s="6" t="s">
        <v>49</v>
      </c>
      <c r="AS401" s="6" t="s">
        <v>49</v>
      </c>
      <c r="AT401" s="6" t="s">
        <v>49</v>
      </c>
      <c r="AU401" s="1" t="s">
        <v>49</v>
      </c>
      <c r="AV401" s="30" t="s">
        <v>49</v>
      </c>
      <c r="AW401" s="30"/>
    </row>
    <row r="402" spans="1:49" s="6" customFormat="1" ht="14.4" customHeight="1">
      <c r="A402" s="1">
        <v>20</v>
      </c>
      <c r="B402" s="1" t="s">
        <v>38</v>
      </c>
      <c r="C402" s="1" t="s">
        <v>38</v>
      </c>
      <c r="D402" s="3" t="s">
        <v>549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217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203</v>
      </c>
      <c r="AE402" s="1" t="s">
        <v>213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0.32900000000000001</v>
      </c>
      <c r="AR402" s="6" t="s">
        <v>49</v>
      </c>
      <c r="AS402" s="6" t="s">
        <v>49</v>
      </c>
      <c r="AT402" s="6" t="s">
        <v>49</v>
      </c>
      <c r="AU402" s="1" t="s">
        <v>49</v>
      </c>
      <c r="AV402" s="30" t="s">
        <v>49</v>
      </c>
      <c r="AW402" s="30"/>
    </row>
    <row r="403" spans="1:49" s="6" customFormat="1" ht="14.4" customHeight="1">
      <c r="A403" s="1">
        <v>20</v>
      </c>
      <c r="B403" s="1" t="s">
        <v>38</v>
      </c>
      <c r="C403" s="1" t="s">
        <v>38</v>
      </c>
      <c r="D403" s="3" t="s">
        <v>549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217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210</v>
      </c>
      <c r="AE403" s="1" t="s">
        <v>212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-0.152</v>
      </c>
      <c r="AR403" s="6" t="s">
        <v>49</v>
      </c>
      <c r="AS403" s="6" t="s">
        <v>49</v>
      </c>
      <c r="AT403" s="6" t="s">
        <v>49</v>
      </c>
      <c r="AU403" s="1" t="s">
        <v>49</v>
      </c>
      <c r="AV403" s="30" t="s">
        <v>49</v>
      </c>
      <c r="AW403" s="30"/>
    </row>
    <row r="404" spans="1:49" s="6" customFormat="1" ht="14.4" customHeight="1">
      <c r="A404" s="1">
        <v>20</v>
      </c>
      <c r="B404" s="1" t="s">
        <v>38</v>
      </c>
      <c r="C404" s="1" t="s">
        <v>38</v>
      </c>
      <c r="D404" s="3" t="s">
        <v>549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217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210</v>
      </c>
      <c r="AE404" s="1" t="s">
        <v>205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-0.308</v>
      </c>
      <c r="AR404" s="6" t="s">
        <v>49</v>
      </c>
      <c r="AS404" s="6" t="s">
        <v>49</v>
      </c>
      <c r="AT404" s="6" t="s">
        <v>49</v>
      </c>
      <c r="AU404" s="1" t="s">
        <v>49</v>
      </c>
      <c r="AV404" s="30" t="s">
        <v>49</v>
      </c>
      <c r="AW404" s="30"/>
    </row>
    <row r="405" spans="1:49" s="6" customFormat="1" ht="14.4" customHeight="1">
      <c r="A405" s="1">
        <v>20</v>
      </c>
      <c r="B405" s="1" t="s">
        <v>38</v>
      </c>
      <c r="C405" s="1" t="s">
        <v>38</v>
      </c>
      <c r="D405" s="3" t="s">
        <v>549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217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210</v>
      </c>
      <c r="AE405" s="1" t="s">
        <v>206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4.9000000000000002E-2</v>
      </c>
      <c r="AR405" s="6" t="s">
        <v>49</v>
      </c>
      <c r="AS405" s="6" t="s">
        <v>49</v>
      </c>
      <c r="AT405" s="6" t="s">
        <v>49</v>
      </c>
      <c r="AU405" s="1" t="s">
        <v>49</v>
      </c>
      <c r="AV405" s="30" t="s">
        <v>49</v>
      </c>
      <c r="AW405" s="30"/>
    </row>
    <row r="406" spans="1:49" s="6" customFormat="1" ht="14.4" customHeight="1">
      <c r="A406" s="1">
        <v>20</v>
      </c>
      <c r="B406" s="1" t="s">
        <v>38</v>
      </c>
      <c r="C406" s="1" t="s">
        <v>38</v>
      </c>
      <c r="D406" s="3" t="s">
        <v>549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217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210</v>
      </c>
      <c r="AE406" s="1" t="s">
        <v>207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-8.7999999999999995E-2</v>
      </c>
      <c r="AR406" s="6" t="s">
        <v>49</v>
      </c>
      <c r="AS406" s="6" t="s">
        <v>49</v>
      </c>
      <c r="AT406" s="6" t="s">
        <v>49</v>
      </c>
      <c r="AU406" s="1" t="s">
        <v>49</v>
      </c>
      <c r="AV406" s="30" t="s">
        <v>49</v>
      </c>
      <c r="AW406" s="30"/>
    </row>
    <row r="407" spans="1:49" s="6" customFormat="1" ht="14.4" customHeight="1">
      <c r="A407" s="1">
        <v>20</v>
      </c>
      <c r="B407" s="1" t="s">
        <v>38</v>
      </c>
      <c r="C407" s="1" t="s">
        <v>38</v>
      </c>
      <c r="D407" s="3" t="s">
        <v>549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217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210</v>
      </c>
      <c r="AE407" s="1" t="s">
        <v>198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-0.44700000000000001</v>
      </c>
      <c r="AR407" s="6" t="s">
        <v>49</v>
      </c>
      <c r="AS407" s="6" t="s">
        <v>49</v>
      </c>
      <c r="AT407" s="6" t="s">
        <v>49</v>
      </c>
      <c r="AU407" s="1" t="s">
        <v>49</v>
      </c>
      <c r="AV407" s="30" t="s">
        <v>49</v>
      </c>
      <c r="AW407" s="30"/>
    </row>
    <row r="408" spans="1:49" s="6" customFormat="1" ht="14.4" customHeight="1">
      <c r="A408" s="1">
        <v>20</v>
      </c>
      <c r="B408" s="1" t="s">
        <v>38</v>
      </c>
      <c r="C408" s="1" t="s">
        <v>38</v>
      </c>
      <c r="D408" s="3" t="s">
        <v>549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217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210</v>
      </c>
      <c r="AE408" s="1" t="s">
        <v>214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-0.19700000000000001</v>
      </c>
      <c r="AR408" s="6" t="s">
        <v>49</v>
      </c>
      <c r="AS408" s="6" t="s">
        <v>49</v>
      </c>
      <c r="AT408" s="6" t="s">
        <v>49</v>
      </c>
      <c r="AU408" s="1" t="s">
        <v>49</v>
      </c>
      <c r="AV408" s="30" t="s">
        <v>49</v>
      </c>
      <c r="AW408" s="30"/>
    </row>
    <row r="409" spans="1:49" s="6" customFormat="1" ht="14.4" customHeight="1">
      <c r="A409" s="1">
        <v>20</v>
      </c>
      <c r="B409" s="1" t="s">
        <v>38</v>
      </c>
      <c r="C409" s="1" t="s">
        <v>38</v>
      </c>
      <c r="D409" s="3" t="s">
        <v>549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217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210</v>
      </c>
      <c r="AE409" s="1" t="s">
        <v>213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>
        <v>8.5000000000000006E-2</v>
      </c>
      <c r="AR409" s="6" t="s">
        <v>49</v>
      </c>
      <c r="AS409" s="6" t="s">
        <v>49</v>
      </c>
      <c r="AT409" s="6" t="s">
        <v>49</v>
      </c>
      <c r="AU409" s="1" t="s">
        <v>49</v>
      </c>
      <c r="AV409" s="30" t="s">
        <v>49</v>
      </c>
      <c r="AW409" s="30"/>
    </row>
    <row r="410" spans="1:49" s="6" customFormat="1" ht="14.4" customHeight="1">
      <c r="A410" s="1">
        <v>20</v>
      </c>
      <c r="B410" s="1" t="s">
        <v>38</v>
      </c>
      <c r="C410" s="1" t="s">
        <v>38</v>
      </c>
      <c r="D410" s="3" t="s">
        <v>549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217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212</v>
      </c>
      <c r="AE410" s="1" t="s">
        <v>205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0.126</v>
      </c>
      <c r="AR410" s="6" t="s">
        <v>49</v>
      </c>
      <c r="AS410" s="6" t="s">
        <v>49</v>
      </c>
      <c r="AT410" s="6" t="s">
        <v>49</v>
      </c>
      <c r="AU410" s="1" t="s">
        <v>49</v>
      </c>
      <c r="AV410" s="30" t="s">
        <v>49</v>
      </c>
      <c r="AW410" s="30"/>
    </row>
    <row r="411" spans="1:49" s="6" customFormat="1" ht="14.4" customHeight="1">
      <c r="A411" s="1">
        <v>20</v>
      </c>
      <c r="B411" s="1" t="s">
        <v>38</v>
      </c>
      <c r="C411" s="1" t="s">
        <v>38</v>
      </c>
      <c r="D411" s="3" t="s">
        <v>549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217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212</v>
      </c>
      <c r="AE411" s="1" t="s">
        <v>206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5.0999999999999997E-2</v>
      </c>
      <c r="AR411" s="6" t="s">
        <v>49</v>
      </c>
      <c r="AS411" s="6" t="s">
        <v>49</v>
      </c>
      <c r="AT411" s="6" t="s">
        <v>49</v>
      </c>
      <c r="AU411" s="1" t="s">
        <v>49</v>
      </c>
      <c r="AV411" s="30" t="s">
        <v>49</v>
      </c>
      <c r="AW411" s="30"/>
    </row>
    <row r="412" spans="1:49" s="6" customFormat="1" ht="14.4" customHeight="1">
      <c r="A412" s="1">
        <v>20</v>
      </c>
      <c r="B412" s="1" t="s">
        <v>38</v>
      </c>
      <c r="C412" s="1" t="s">
        <v>38</v>
      </c>
      <c r="D412" s="3" t="s">
        <v>549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217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212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0.13600000000000001</v>
      </c>
      <c r="AR412" s="6" t="s">
        <v>49</v>
      </c>
      <c r="AS412" s="6" t="s">
        <v>49</v>
      </c>
      <c r="AT412" s="6" t="s">
        <v>49</v>
      </c>
      <c r="AU412" s="1" t="s">
        <v>49</v>
      </c>
      <c r="AV412" s="30" t="s">
        <v>49</v>
      </c>
      <c r="AW412" s="30"/>
    </row>
    <row r="413" spans="1:49" s="6" customFormat="1" ht="14.4" customHeight="1">
      <c r="A413" s="1">
        <v>20</v>
      </c>
      <c r="B413" s="1" t="s">
        <v>38</v>
      </c>
      <c r="C413" s="1" t="s">
        <v>38</v>
      </c>
      <c r="D413" s="3" t="s">
        <v>549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217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212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7.5999999999999998E-2</v>
      </c>
      <c r="AR413" s="6" t="s">
        <v>49</v>
      </c>
      <c r="AS413" s="6" t="s">
        <v>49</v>
      </c>
      <c r="AT413" s="6" t="s">
        <v>49</v>
      </c>
      <c r="AU413" s="1" t="s">
        <v>49</v>
      </c>
      <c r="AV413" s="30" t="s">
        <v>49</v>
      </c>
      <c r="AW413" s="30"/>
    </row>
    <row r="414" spans="1:49" s="6" customFormat="1" ht="14.4" customHeight="1">
      <c r="A414" s="1">
        <v>20</v>
      </c>
      <c r="B414" s="1" t="s">
        <v>38</v>
      </c>
      <c r="C414" s="1" t="s">
        <v>38</v>
      </c>
      <c r="D414" s="3" t="s">
        <v>549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217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212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-5.2999999999999999E-2</v>
      </c>
      <c r="AR414" s="6" t="s">
        <v>49</v>
      </c>
      <c r="AS414" s="6" t="s">
        <v>49</v>
      </c>
      <c r="AT414" s="6" t="s">
        <v>49</v>
      </c>
      <c r="AU414" s="1" t="s">
        <v>49</v>
      </c>
      <c r="AV414" s="30" t="s">
        <v>49</v>
      </c>
      <c r="AW414" s="30"/>
    </row>
    <row r="415" spans="1:49" s="6" customFormat="1" ht="14.4" customHeight="1">
      <c r="A415" s="1">
        <v>20</v>
      </c>
      <c r="B415" s="1" t="s">
        <v>38</v>
      </c>
      <c r="C415" s="1" t="s">
        <v>38</v>
      </c>
      <c r="D415" s="3" t="s">
        <v>549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217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212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-5.3999999999999999E-2</v>
      </c>
      <c r="AR415" s="6" t="s">
        <v>49</v>
      </c>
      <c r="AS415" s="6" t="s">
        <v>49</v>
      </c>
      <c r="AT415" s="6" t="s">
        <v>49</v>
      </c>
      <c r="AU415" s="1" t="s">
        <v>49</v>
      </c>
      <c r="AV415" s="30" t="s">
        <v>49</v>
      </c>
      <c r="AW415" s="30"/>
    </row>
    <row r="416" spans="1:49" s="6" customFormat="1" ht="14.4" customHeight="1">
      <c r="A416" s="1">
        <v>20</v>
      </c>
      <c r="B416" s="1" t="s">
        <v>38</v>
      </c>
      <c r="C416" s="1" t="s">
        <v>38</v>
      </c>
      <c r="D416" s="3" t="s">
        <v>549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217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205</v>
      </c>
      <c r="AE416" s="1" t="s">
        <v>206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0.13200000000000001</v>
      </c>
      <c r="AR416" s="6" t="s">
        <v>49</v>
      </c>
      <c r="AS416" s="6" t="s">
        <v>49</v>
      </c>
      <c r="AT416" s="6" t="s">
        <v>49</v>
      </c>
      <c r="AU416" s="1" t="s">
        <v>49</v>
      </c>
      <c r="AV416" s="30" t="s">
        <v>49</v>
      </c>
      <c r="AW416" s="30"/>
    </row>
    <row r="417" spans="1:49" s="6" customFormat="1" ht="14.4" customHeight="1">
      <c r="A417" s="1">
        <v>20</v>
      </c>
      <c r="B417" s="1" t="s">
        <v>38</v>
      </c>
      <c r="C417" s="1" t="s">
        <v>38</v>
      </c>
      <c r="D417" s="3" t="s">
        <v>549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217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205</v>
      </c>
      <c r="AE417" s="1" t="s">
        <v>207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-7.0000000000000001E-3</v>
      </c>
      <c r="AR417" s="6" t="s">
        <v>49</v>
      </c>
      <c r="AS417" s="6" t="s">
        <v>49</v>
      </c>
      <c r="AT417" s="6" t="s">
        <v>49</v>
      </c>
      <c r="AU417" s="1" t="s">
        <v>49</v>
      </c>
      <c r="AV417" s="30" t="s">
        <v>49</v>
      </c>
      <c r="AW417" s="30"/>
    </row>
    <row r="418" spans="1:49" s="6" customFormat="1" ht="14.4" customHeight="1">
      <c r="A418" s="1">
        <v>20</v>
      </c>
      <c r="B418" s="1" t="s">
        <v>38</v>
      </c>
      <c r="C418" s="1" t="s">
        <v>38</v>
      </c>
      <c r="D418" s="3" t="s">
        <v>549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217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205</v>
      </c>
      <c r="AE418" s="1" t="s">
        <v>198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 t="s">
        <v>49</v>
      </c>
      <c r="AR418" s="6" t="s">
        <v>49</v>
      </c>
      <c r="AS418" s="6" t="s">
        <v>49</v>
      </c>
      <c r="AT418" s="6" t="s">
        <v>49</v>
      </c>
      <c r="AU418" s="1" t="s">
        <v>49</v>
      </c>
      <c r="AV418" s="30" t="s">
        <v>49</v>
      </c>
      <c r="AW418" s="30"/>
    </row>
    <row r="419" spans="1:49" s="6" customFormat="1" ht="14.4" customHeight="1">
      <c r="A419" s="1">
        <v>20</v>
      </c>
      <c r="B419" s="1" t="s">
        <v>38</v>
      </c>
      <c r="C419" s="1" t="s">
        <v>38</v>
      </c>
      <c r="D419" s="3" t="s">
        <v>549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217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205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-6.0000000000000001E-3</v>
      </c>
      <c r="AR419" s="6" t="s">
        <v>49</v>
      </c>
      <c r="AS419" s="6" t="s">
        <v>49</v>
      </c>
      <c r="AT419" s="6" t="s">
        <v>49</v>
      </c>
      <c r="AU419" s="1" t="s">
        <v>49</v>
      </c>
      <c r="AV419" s="30" t="s">
        <v>49</v>
      </c>
      <c r="AW419" s="30"/>
    </row>
    <row r="420" spans="1:49" s="6" customFormat="1" ht="14.4" customHeight="1">
      <c r="A420" s="1">
        <v>20</v>
      </c>
      <c r="B420" s="1" t="s">
        <v>38</v>
      </c>
      <c r="C420" s="1" t="s">
        <v>38</v>
      </c>
      <c r="D420" s="3" t="s">
        <v>549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217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205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-0.05</v>
      </c>
      <c r="AR420" s="6" t="s">
        <v>49</v>
      </c>
      <c r="AS420" s="6" t="s">
        <v>49</v>
      </c>
      <c r="AT420" s="6" t="s">
        <v>49</v>
      </c>
      <c r="AU420" s="1" t="s">
        <v>49</v>
      </c>
      <c r="AV420" s="30" t="s">
        <v>49</v>
      </c>
      <c r="AW420" s="30"/>
    </row>
    <row r="421" spans="1:49" s="6" customFormat="1" ht="14.4" customHeight="1">
      <c r="A421" s="1">
        <v>20</v>
      </c>
      <c r="B421" s="1" t="s">
        <v>38</v>
      </c>
      <c r="C421" s="1" t="s">
        <v>38</v>
      </c>
      <c r="D421" s="3" t="s">
        <v>549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217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206</v>
      </c>
      <c r="AE421" s="1" t="s">
        <v>207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-0.10299999999999999</v>
      </c>
      <c r="AR421" s="6" t="s">
        <v>49</v>
      </c>
      <c r="AS421" s="6" t="s">
        <v>49</v>
      </c>
      <c r="AT421" s="6" t="s">
        <v>49</v>
      </c>
      <c r="AU421" s="1" t="s">
        <v>49</v>
      </c>
      <c r="AV421" s="30" t="s">
        <v>49</v>
      </c>
      <c r="AW421" s="30"/>
    </row>
    <row r="422" spans="1:49" s="6" customFormat="1" ht="14.4" customHeight="1">
      <c r="A422" s="1">
        <v>20</v>
      </c>
      <c r="B422" s="1" t="s">
        <v>38</v>
      </c>
      <c r="C422" s="1" t="s">
        <v>38</v>
      </c>
      <c r="D422" s="3" t="s">
        <v>549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49</v>
      </c>
      <c r="AB422" s="3" t="s">
        <v>49</v>
      </c>
      <c r="AC422" s="3" t="s">
        <v>49</v>
      </c>
      <c r="AD422" s="1" t="s">
        <v>206</v>
      </c>
      <c r="AE422" s="1" t="s">
        <v>198</v>
      </c>
      <c r="AF422" s="1" t="s">
        <v>49</v>
      </c>
      <c r="AG422" s="1" t="s">
        <v>49</v>
      </c>
      <c r="AH422" s="1" t="s">
        <v>199</v>
      </c>
      <c r="AI422" s="1" t="s">
        <v>200</v>
      </c>
      <c r="AJ422" s="1" t="s">
        <v>49</v>
      </c>
      <c r="AK422" s="1" t="s">
        <v>49</v>
      </c>
      <c r="AL422" s="1" t="s">
        <v>49</v>
      </c>
      <c r="AM422" s="1" t="s">
        <v>49</v>
      </c>
      <c r="AN422" s="1" t="s">
        <v>49</v>
      </c>
      <c r="AO422" s="1" t="s">
        <v>49</v>
      </c>
      <c r="AP422" s="6">
        <v>1</v>
      </c>
      <c r="AQ422" s="6">
        <v>3.4000000000000002E-2</v>
      </c>
      <c r="AR422" s="6" t="s">
        <v>49</v>
      </c>
      <c r="AS422" s="6" t="s">
        <v>49</v>
      </c>
      <c r="AT422" s="6" t="s">
        <v>49</v>
      </c>
      <c r="AU422" s="1" t="s">
        <v>49</v>
      </c>
      <c r="AV422" s="30" t="s">
        <v>49</v>
      </c>
      <c r="AW422" s="30"/>
    </row>
    <row r="423" spans="1:49" s="6" customFormat="1" ht="14.4" customHeight="1">
      <c r="A423" s="1">
        <v>20</v>
      </c>
      <c r="B423" s="1" t="s">
        <v>38</v>
      </c>
      <c r="C423" s="1" t="s">
        <v>38</v>
      </c>
      <c r="D423" s="3" t="s">
        <v>549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49</v>
      </c>
      <c r="AB423" s="3" t="s">
        <v>49</v>
      </c>
      <c r="AC423" s="3" t="s">
        <v>49</v>
      </c>
      <c r="AD423" s="1" t="s">
        <v>206</v>
      </c>
      <c r="AE423" s="1" t="s">
        <v>214</v>
      </c>
      <c r="AF423" s="1" t="s">
        <v>49</v>
      </c>
      <c r="AG423" s="1" t="s">
        <v>49</v>
      </c>
      <c r="AH423" s="1" t="s">
        <v>199</v>
      </c>
      <c r="AI423" s="1" t="s">
        <v>200</v>
      </c>
      <c r="AJ423" s="1" t="s">
        <v>49</v>
      </c>
      <c r="AK423" s="1" t="s">
        <v>49</v>
      </c>
      <c r="AL423" s="1" t="s">
        <v>49</v>
      </c>
      <c r="AM423" s="1" t="s">
        <v>49</v>
      </c>
      <c r="AN423" s="1" t="s">
        <v>49</v>
      </c>
      <c r="AO423" s="1" t="s">
        <v>49</v>
      </c>
      <c r="AP423" s="6">
        <v>1</v>
      </c>
      <c r="AQ423" s="6">
        <v>0.30599999999999999</v>
      </c>
      <c r="AR423" s="6" t="s">
        <v>49</v>
      </c>
      <c r="AS423" s="6" t="s">
        <v>49</v>
      </c>
      <c r="AT423" s="6" t="s">
        <v>49</v>
      </c>
      <c r="AU423" s="1" t="s">
        <v>49</v>
      </c>
      <c r="AV423" s="30" t="s">
        <v>49</v>
      </c>
      <c r="AW423" s="30"/>
    </row>
    <row r="424" spans="1:49" s="6" customFormat="1" ht="14.4" customHeight="1">
      <c r="A424" s="1">
        <v>20</v>
      </c>
      <c r="B424" s="1" t="s">
        <v>38</v>
      </c>
      <c r="C424" s="1" t="s">
        <v>38</v>
      </c>
      <c r="D424" s="3" t="s">
        <v>549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49</v>
      </c>
      <c r="AB424" s="3" t="s">
        <v>49</v>
      </c>
      <c r="AC424" s="3" t="s">
        <v>49</v>
      </c>
      <c r="AD424" s="1" t="s">
        <v>206</v>
      </c>
      <c r="AE424" s="1" t="s">
        <v>213</v>
      </c>
      <c r="AF424" s="1" t="s">
        <v>49</v>
      </c>
      <c r="AG424" s="1" t="s">
        <v>49</v>
      </c>
      <c r="AH424" s="1" t="s">
        <v>199</v>
      </c>
      <c r="AI424" s="1" t="s">
        <v>200</v>
      </c>
      <c r="AJ424" s="1" t="s">
        <v>49</v>
      </c>
      <c r="AK424" s="1" t="s">
        <v>49</v>
      </c>
      <c r="AL424" s="1" t="s">
        <v>49</v>
      </c>
      <c r="AM424" s="1" t="s">
        <v>49</v>
      </c>
      <c r="AN424" s="1" t="s">
        <v>49</v>
      </c>
      <c r="AO424" s="1" t="s">
        <v>49</v>
      </c>
      <c r="AP424" s="6">
        <v>1</v>
      </c>
      <c r="AQ424" s="6">
        <v>-0.17100000000000001</v>
      </c>
      <c r="AR424" s="6" t="s">
        <v>49</v>
      </c>
      <c r="AS424" s="6" t="s">
        <v>49</v>
      </c>
      <c r="AT424" s="6" t="s">
        <v>49</v>
      </c>
      <c r="AU424" s="1" t="s">
        <v>49</v>
      </c>
      <c r="AV424" s="30" t="s">
        <v>49</v>
      </c>
      <c r="AW424" s="30"/>
    </row>
    <row r="425" spans="1:49" s="6" customFormat="1" ht="14.4" customHeight="1">
      <c r="A425" s="1">
        <v>20</v>
      </c>
      <c r="B425" s="1" t="s">
        <v>38</v>
      </c>
      <c r="C425" s="1" t="s">
        <v>38</v>
      </c>
      <c r="D425" s="3" t="s">
        <v>549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49</v>
      </c>
      <c r="AB425" s="3" t="s">
        <v>49</v>
      </c>
      <c r="AC425" s="3" t="s">
        <v>49</v>
      </c>
      <c r="AD425" s="1" t="s">
        <v>207</v>
      </c>
      <c r="AE425" s="1" t="s">
        <v>198</v>
      </c>
      <c r="AF425" s="1" t="s">
        <v>49</v>
      </c>
      <c r="AG425" s="1" t="s">
        <v>49</v>
      </c>
      <c r="AH425" s="1" t="s">
        <v>199</v>
      </c>
      <c r="AI425" s="1" t="s">
        <v>200</v>
      </c>
      <c r="AJ425" s="1" t="s">
        <v>49</v>
      </c>
      <c r="AK425" s="1" t="s">
        <v>49</v>
      </c>
      <c r="AL425" s="1" t="s">
        <v>49</v>
      </c>
      <c r="AM425" s="1" t="s">
        <v>49</v>
      </c>
      <c r="AN425" s="1" t="s">
        <v>49</v>
      </c>
      <c r="AO425" s="1" t="s">
        <v>49</v>
      </c>
      <c r="AP425" s="6">
        <v>1</v>
      </c>
      <c r="AQ425" s="6">
        <v>-3.4000000000000002E-2</v>
      </c>
      <c r="AR425" s="6" t="s">
        <v>49</v>
      </c>
      <c r="AS425" s="6" t="s">
        <v>49</v>
      </c>
      <c r="AT425" s="6" t="s">
        <v>49</v>
      </c>
      <c r="AU425" s="1" t="s">
        <v>49</v>
      </c>
      <c r="AV425" s="30" t="s">
        <v>49</v>
      </c>
      <c r="AW425" s="30"/>
    </row>
    <row r="426" spans="1:49" s="6" customFormat="1" ht="14.4" customHeight="1">
      <c r="A426" s="1">
        <v>20</v>
      </c>
      <c r="B426" s="1" t="s">
        <v>38</v>
      </c>
      <c r="C426" s="1" t="s">
        <v>38</v>
      </c>
      <c r="D426" s="3" t="s">
        <v>549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49</v>
      </c>
      <c r="AB426" s="3" t="s">
        <v>49</v>
      </c>
      <c r="AC426" s="3" t="s">
        <v>49</v>
      </c>
      <c r="AD426" s="1" t="s">
        <v>207</v>
      </c>
      <c r="AE426" s="1" t="s">
        <v>214</v>
      </c>
      <c r="AF426" s="1" t="s">
        <v>49</v>
      </c>
      <c r="AG426" s="1" t="s">
        <v>49</v>
      </c>
      <c r="AH426" s="1" t="s">
        <v>199</v>
      </c>
      <c r="AI426" s="1" t="s">
        <v>200</v>
      </c>
      <c r="AJ426" s="1" t="s">
        <v>49</v>
      </c>
      <c r="AK426" s="1" t="s">
        <v>49</v>
      </c>
      <c r="AL426" s="1" t="s">
        <v>49</v>
      </c>
      <c r="AM426" s="1" t="s">
        <v>49</v>
      </c>
      <c r="AN426" s="1" t="s">
        <v>49</v>
      </c>
      <c r="AO426" s="1" t="s">
        <v>49</v>
      </c>
      <c r="AP426" s="6">
        <v>1</v>
      </c>
      <c r="AQ426" s="6">
        <v>7.1999999999999995E-2</v>
      </c>
      <c r="AR426" s="6" t="s">
        <v>49</v>
      </c>
      <c r="AS426" s="6" t="s">
        <v>49</v>
      </c>
      <c r="AT426" s="6" t="s">
        <v>49</v>
      </c>
      <c r="AU426" s="1" t="s">
        <v>49</v>
      </c>
      <c r="AV426" s="30" t="s">
        <v>49</v>
      </c>
      <c r="AW426" s="30"/>
    </row>
    <row r="427" spans="1:49" s="6" customFormat="1" ht="14.4" customHeight="1">
      <c r="A427" s="1">
        <v>20</v>
      </c>
      <c r="B427" s="1" t="s">
        <v>38</v>
      </c>
      <c r="C427" s="1" t="s">
        <v>38</v>
      </c>
      <c r="D427" s="3" t="s">
        <v>549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49</v>
      </c>
      <c r="AB427" s="3" t="s">
        <v>49</v>
      </c>
      <c r="AC427" s="3" t="s">
        <v>49</v>
      </c>
      <c r="AD427" s="1" t="s">
        <v>207</v>
      </c>
      <c r="AE427" s="1" t="s">
        <v>213</v>
      </c>
      <c r="AF427" s="1" t="s">
        <v>49</v>
      </c>
      <c r="AG427" s="1" t="s">
        <v>49</v>
      </c>
      <c r="AH427" s="1" t="s">
        <v>199</v>
      </c>
      <c r="AI427" s="1" t="s">
        <v>200</v>
      </c>
      <c r="AJ427" s="1" t="s">
        <v>49</v>
      </c>
      <c r="AK427" s="1" t="s">
        <v>49</v>
      </c>
      <c r="AL427" s="1" t="s">
        <v>49</v>
      </c>
      <c r="AM427" s="1" t="s">
        <v>49</v>
      </c>
      <c r="AN427" s="1" t="s">
        <v>49</v>
      </c>
      <c r="AO427" s="1" t="s">
        <v>49</v>
      </c>
      <c r="AP427" s="6">
        <v>1</v>
      </c>
      <c r="AQ427" s="6">
        <v>4.7E-2</v>
      </c>
      <c r="AR427" s="6" t="s">
        <v>49</v>
      </c>
      <c r="AS427" s="6" t="s">
        <v>49</v>
      </c>
      <c r="AT427" s="6" t="s">
        <v>49</v>
      </c>
      <c r="AU427" s="1" t="s">
        <v>49</v>
      </c>
      <c r="AV427" s="30" t="s">
        <v>49</v>
      </c>
      <c r="AW427" s="30"/>
    </row>
    <row r="428" spans="1:49" s="6" customFormat="1" ht="14.4" customHeight="1">
      <c r="A428" s="1">
        <v>20</v>
      </c>
      <c r="B428" s="1" t="s">
        <v>38</v>
      </c>
      <c r="C428" s="1" t="s">
        <v>38</v>
      </c>
      <c r="D428" s="3" t="s">
        <v>549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49</v>
      </c>
      <c r="AB428" s="3" t="s">
        <v>49</v>
      </c>
      <c r="AC428" s="3" t="s">
        <v>49</v>
      </c>
      <c r="AD428" s="1" t="s">
        <v>198</v>
      </c>
      <c r="AE428" s="1" t="s">
        <v>214</v>
      </c>
      <c r="AF428" s="1" t="s">
        <v>49</v>
      </c>
      <c r="AG428" s="1" t="s">
        <v>49</v>
      </c>
      <c r="AH428" s="1" t="s">
        <v>199</v>
      </c>
      <c r="AI428" s="1" t="s">
        <v>200</v>
      </c>
      <c r="AJ428" s="1" t="s">
        <v>49</v>
      </c>
      <c r="AK428" s="1" t="s">
        <v>49</v>
      </c>
      <c r="AL428" s="1" t="s">
        <v>49</v>
      </c>
      <c r="AM428" s="1" t="s">
        <v>49</v>
      </c>
      <c r="AN428" s="1" t="s">
        <v>49</v>
      </c>
      <c r="AO428" s="1" t="s">
        <v>49</v>
      </c>
      <c r="AP428" s="6">
        <v>1</v>
      </c>
      <c r="AQ428" s="6">
        <v>-1.2E-2</v>
      </c>
      <c r="AR428" s="6" t="s">
        <v>49</v>
      </c>
      <c r="AS428" s="6" t="s">
        <v>49</v>
      </c>
      <c r="AT428" s="6" t="s">
        <v>49</v>
      </c>
      <c r="AU428" s="1" t="s">
        <v>49</v>
      </c>
      <c r="AV428" s="30" t="s">
        <v>49</v>
      </c>
      <c r="AW428" s="30"/>
    </row>
    <row r="429" spans="1:49" s="6" customFormat="1" ht="14.4" customHeight="1">
      <c r="A429" s="1">
        <v>20</v>
      </c>
      <c r="B429" s="1" t="s">
        <v>38</v>
      </c>
      <c r="C429" s="1" t="s">
        <v>38</v>
      </c>
      <c r="D429" s="3" t="s">
        <v>549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49</v>
      </c>
      <c r="AB429" s="3" t="s">
        <v>49</v>
      </c>
      <c r="AC429" s="3" t="s">
        <v>49</v>
      </c>
      <c r="AD429" s="1" t="s">
        <v>198</v>
      </c>
      <c r="AE429" s="1" t="s">
        <v>213</v>
      </c>
      <c r="AF429" s="1" t="s">
        <v>49</v>
      </c>
      <c r="AG429" s="1" t="s">
        <v>49</v>
      </c>
      <c r="AH429" s="1" t="s">
        <v>199</v>
      </c>
      <c r="AI429" s="1" t="s">
        <v>200</v>
      </c>
      <c r="AJ429" s="1" t="s">
        <v>49</v>
      </c>
      <c r="AK429" s="1" t="s">
        <v>49</v>
      </c>
      <c r="AL429" s="1" t="s">
        <v>49</v>
      </c>
      <c r="AM429" s="1" t="s">
        <v>49</v>
      </c>
      <c r="AN429" s="1" t="s">
        <v>49</v>
      </c>
      <c r="AO429" s="1" t="s">
        <v>49</v>
      </c>
      <c r="AP429" s="6">
        <v>1</v>
      </c>
      <c r="AQ429" s="6">
        <v>-0.16600000000000001</v>
      </c>
      <c r="AR429" s="6" t="s">
        <v>49</v>
      </c>
      <c r="AS429" s="6" t="s">
        <v>49</v>
      </c>
      <c r="AT429" s="6" t="s">
        <v>49</v>
      </c>
      <c r="AU429" s="1" t="s">
        <v>49</v>
      </c>
      <c r="AV429" s="30" t="s">
        <v>49</v>
      </c>
      <c r="AW429" s="30"/>
    </row>
    <row r="430" spans="1:49" s="6" customFormat="1" ht="14.4" customHeight="1">
      <c r="A430" s="1">
        <v>20</v>
      </c>
      <c r="B430" s="1" t="s">
        <v>38</v>
      </c>
      <c r="C430" s="1" t="s">
        <v>38</v>
      </c>
      <c r="D430" s="3" t="s">
        <v>549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49</v>
      </c>
      <c r="AB430" s="3" t="s">
        <v>49</v>
      </c>
      <c r="AC430" s="3" t="s">
        <v>49</v>
      </c>
      <c r="AD430" s="1" t="s">
        <v>214</v>
      </c>
      <c r="AE430" s="1" t="s">
        <v>213</v>
      </c>
      <c r="AF430" s="1" t="s">
        <v>49</v>
      </c>
      <c r="AG430" s="1" t="s">
        <v>49</v>
      </c>
      <c r="AH430" s="1" t="s">
        <v>199</v>
      </c>
      <c r="AI430" s="1" t="s">
        <v>200</v>
      </c>
      <c r="AJ430" s="1" t="s">
        <v>49</v>
      </c>
      <c r="AK430" s="1" t="s">
        <v>49</v>
      </c>
      <c r="AL430" s="1" t="s">
        <v>49</v>
      </c>
      <c r="AM430" s="1" t="s">
        <v>49</v>
      </c>
      <c r="AN430" s="1" t="s">
        <v>49</v>
      </c>
      <c r="AO430" s="1" t="s">
        <v>49</v>
      </c>
      <c r="AP430" s="6">
        <v>1</v>
      </c>
      <c r="AQ430" s="6">
        <v>0.124</v>
      </c>
      <c r="AR430" s="6" t="s">
        <v>49</v>
      </c>
      <c r="AS430" s="6" t="s">
        <v>49</v>
      </c>
      <c r="AT430" s="6" t="s">
        <v>49</v>
      </c>
      <c r="AU430" s="1" t="s">
        <v>49</v>
      </c>
      <c r="AV430" s="30" t="s">
        <v>49</v>
      </c>
      <c r="AW430" s="30"/>
    </row>
    <row r="431" spans="1:49" s="6" customFormat="1" ht="14.4" customHeight="1">
      <c r="A431" s="1">
        <v>20</v>
      </c>
      <c r="B431" s="1" t="s">
        <v>38</v>
      </c>
      <c r="C431" s="1" t="s">
        <v>38</v>
      </c>
      <c r="D431" s="3" t="s">
        <v>549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218</v>
      </c>
      <c r="W431" s="3">
        <v>34.4</v>
      </c>
      <c r="X431" s="3">
        <v>-119.54</v>
      </c>
      <c r="Y431" s="1" t="s">
        <v>48</v>
      </c>
      <c r="Z431" s="1" t="s">
        <v>49</v>
      </c>
      <c r="AA431" s="1" t="s">
        <v>50</v>
      </c>
      <c r="AB431" s="1" t="s">
        <v>201</v>
      </c>
      <c r="AC431" s="1" t="s">
        <v>202</v>
      </c>
      <c r="AD431" s="1" t="s">
        <v>203</v>
      </c>
      <c r="AE431" s="1" t="s">
        <v>203</v>
      </c>
      <c r="AF431" s="1" t="s">
        <v>53</v>
      </c>
      <c r="AG431" s="1" t="s">
        <v>53</v>
      </c>
      <c r="AH431" s="1" t="s">
        <v>199</v>
      </c>
      <c r="AI431" s="1" t="s">
        <v>200</v>
      </c>
      <c r="AJ431" s="1">
        <v>15</v>
      </c>
      <c r="AK431" s="1">
        <v>60</v>
      </c>
      <c r="AL431" s="1" t="s">
        <v>49</v>
      </c>
      <c r="AM431" s="3">
        <v>108.2</v>
      </c>
      <c r="AN431" s="3">
        <f>9.55^2</f>
        <v>91.202500000000015</v>
      </c>
      <c r="AO431" s="1" t="s">
        <v>49</v>
      </c>
      <c r="AP431" s="6">
        <v>1</v>
      </c>
      <c r="AQ431" s="6" t="s">
        <v>49</v>
      </c>
      <c r="AR431" s="6" t="s">
        <v>49</v>
      </c>
      <c r="AS431" s="6" t="s">
        <v>49</v>
      </c>
      <c r="AT431" s="6" t="s">
        <v>49</v>
      </c>
      <c r="AU431" s="1" t="s">
        <v>49</v>
      </c>
      <c r="AV431" s="30" t="s">
        <v>49</v>
      </c>
      <c r="AW431" s="29"/>
    </row>
    <row r="432" spans="1:49" s="6" customFormat="1" ht="14.4" customHeight="1">
      <c r="A432" s="1">
        <v>20</v>
      </c>
      <c r="B432" s="1" t="s">
        <v>38</v>
      </c>
      <c r="C432" s="1" t="s">
        <v>38</v>
      </c>
      <c r="D432" s="3" t="s">
        <v>549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218</v>
      </c>
      <c r="W432" s="3">
        <v>34.4</v>
      </c>
      <c r="X432" s="3">
        <v>-119.54</v>
      </c>
      <c r="Y432" s="1" t="s">
        <v>48</v>
      </c>
      <c r="Z432" s="1" t="s">
        <v>49</v>
      </c>
      <c r="AA432" s="1" t="s">
        <v>50</v>
      </c>
      <c r="AB432" s="1" t="s">
        <v>208</v>
      </c>
      <c r="AC432" s="1" t="s">
        <v>209</v>
      </c>
      <c r="AD432" s="1" t="s">
        <v>210</v>
      </c>
      <c r="AE432" s="1" t="s">
        <v>210</v>
      </c>
      <c r="AF432" s="1" t="s">
        <v>53</v>
      </c>
      <c r="AG432" s="1" t="s">
        <v>53</v>
      </c>
      <c r="AH432" s="1" t="s">
        <v>199</v>
      </c>
      <c r="AI432" s="1" t="s">
        <v>200</v>
      </c>
      <c r="AJ432" s="1">
        <v>15</v>
      </c>
      <c r="AK432" s="1">
        <v>60</v>
      </c>
      <c r="AL432" s="1" t="s">
        <v>49</v>
      </c>
      <c r="AM432" s="3">
        <v>96.3</v>
      </c>
      <c r="AN432" s="3">
        <f>14.65^2</f>
        <v>214.6225</v>
      </c>
      <c r="AO432" s="1" t="s">
        <v>49</v>
      </c>
      <c r="AP432" s="6">
        <v>1</v>
      </c>
      <c r="AQ432" s="6" t="s">
        <v>49</v>
      </c>
      <c r="AR432" s="6" t="s">
        <v>49</v>
      </c>
      <c r="AS432" s="6" t="s">
        <v>49</v>
      </c>
      <c r="AT432" s="6" t="s">
        <v>49</v>
      </c>
      <c r="AU432" s="1" t="s">
        <v>49</v>
      </c>
      <c r="AV432" s="30" t="s">
        <v>49</v>
      </c>
      <c r="AW432" s="29"/>
    </row>
    <row r="433" spans="1:49" s="6" customFormat="1" ht="14.4" customHeight="1">
      <c r="A433" s="1">
        <v>20</v>
      </c>
      <c r="B433" s="1" t="s">
        <v>38</v>
      </c>
      <c r="C433" s="1" t="s">
        <v>38</v>
      </c>
      <c r="D433" s="3" t="s">
        <v>549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218</v>
      </c>
      <c r="W433" s="3">
        <v>34.4</v>
      </c>
      <c r="X433" s="3">
        <v>-119.54</v>
      </c>
      <c r="Y433" s="1" t="s">
        <v>48</v>
      </c>
      <c r="Z433" s="1" t="s">
        <v>49</v>
      </c>
      <c r="AA433" s="1" t="s">
        <v>50</v>
      </c>
      <c r="AB433" s="1" t="s">
        <v>208</v>
      </c>
      <c r="AC433" s="1" t="s">
        <v>211</v>
      </c>
      <c r="AD433" s="1" t="s">
        <v>212</v>
      </c>
      <c r="AE433" s="1" t="s">
        <v>212</v>
      </c>
      <c r="AF433" s="1" t="s">
        <v>60</v>
      </c>
      <c r="AG433" s="1" t="s">
        <v>173</v>
      </c>
      <c r="AH433" s="1" t="s">
        <v>199</v>
      </c>
      <c r="AI433" s="1" t="s">
        <v>200</v>
      </c>
      <c r="AJ433" s="1">
        <v>15</v>
      </c>
      <c r="AK433" s="1">
        <v>60</v>
      </c>
      <c r="AL433" s="1" t="s">
        <v>49</v>
      </c>
      <c r="AM433" s="3">
        <v>38</v>
      </c>
      <c r="AN433" s="3">
        <f>5^2</f>
        <v>25</v>
      </c>
      <c r="AO433" s="1" t="s">
        <v>49</v>
      </c>
      <c r="AP433" s="6">
        <v>1</v>
      </c>
      <c r="AQ433" s="6" t="s">
        <v>49</v>
      </c>
      <c r="AR433" s="6" t="s">
        <v>49</v>
      </c>
      <c r="AS433" s="6" t="s">
        <v>49</v>
      </c>
      <c r="AT433" s="6" t="s">
        <v>49</v>
      </c>
      <c r="AU433" s="1" t="s">
        <v>49</v>
      </c>
      <c r="AV433" s="30" t="s">
        <v>49</v>
      </c>
      <c r="AW433" s="29"/>
    </row>
    <row r="434" spans="1:49" s="6" customFormat="1" ht="14.4" customHeight="1">
      <c r="A434" s="1">
        <v>20</v>
      </c>
      <c r="B434" s="1" t="s">
        <v>38</v>
      </c>
      <c r="C434" s="1" t="s">
        <v>38</v>
      </c>
      <c r="D434" s="3" t="s">
        <v>549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218</v>
      </c>
      <c r="W434" s="3">
        <v>34.4</v>
      </c>
      <c r="X434" s="3">
        <v>-119.54</v>
      </c>
      <c r="Y434" s="1" t="s">
        <v>48</v>
      </c>
      <c r="Z434" s="1" t="s">
        <v>49</v>
      </c>
      <c r="AA434" s="1" t="s">
        <v>50</v>
      </c>
      <c r="AB434" s="1" t="s">
        <v>201</v>
      </c>
      <c r="AC434" s="1" t="s">
        <v>204</v>
      </c>
      <c r="AD434" s="1" t="s">
        <v>205</v>
      </c>
      <c r="AE434" s="1" t="s">
        <v>205</v>
      </c>
      <c r="AF434" s="1" t="s">
        <v>53</v>
      </c>
      <c r="AG434" s="1" t="s">
        <v>53</v>
      </c>
      <c r="AH434" s="1" t="s">
        <v>199</v>
      </c>
      <c r="AI434" s="1" t="s">
        <v>200</v>
      </c>
      <c r="AJ434" s="1">
        <v>15</v>
      </c>
      <c r="AK434" s="1">
        <v>60</v>
      </c>
      <c r="AL434" s="1" t="s">
        <v>49</v>
      </c>
      <c r="AM434" s="3">
        <v>3.7</v>
      </c>
      <c r="AN434" s="3">
        <f>0.74^2</f>
        <v>0.54759999999999998</v>
      </c>
      <c r="AO434" s="1" t="s">
        <v>49</v>
      </c>
      <c r="AP434" s="6">
        <v>1</v>
      </c>
      <c r="AQ434" s="6" t="s">
        <v>49</v>
      </c>
      <c r="AR434" s="6" t="s">
        <v>49</v>
      </c>
      <c r="AS434" s="6" t="s">
        <v>49</v>
      </c>
      <c r="AT434" s="6" t="s">
        <v>49</v>
      </c>
      <c r="AU434" s="1" t="s">
        <v>49</v>
      </c>
      <c r="AV434" s="30" t="s">
        <v>49</v>
      </c>
      <c r="AW434" s="29"/>
    </row>
    <row r="435" spans="1:49" s="6" customFormat="1" ht="14.4" customHeight="1">
      <c r="A435" s="1">
        <v>20</v>
      </c>
      <c r="B435" s="1" t="s">
        <v>38</v>
      </c>
      <c r="C435" s="1" t="s">
        <v>38</v>
      </c>
      <c r="D435" s="3" t="s">
        <v>549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218</v>
      </c>
      <c r="W435" s="3">
        <v>34.4</v>
      </c>
      <c r="X435" s="3">
        <v>-119.54</v>
      </c>
      <c r="Y435" s="1" t="s">
        <v>48</v>
      </c>
      <c r="Z435" s="1" t="s">
        <v>49</v>
      </c>
      <c r="AA435" s="1" t="s">
        <v>50</v>
      </c>
      <c r="AB435" s="1" t="s">
        <v>201</v>
      </c>
      <c r="AC435" s="1" t="s">
        <v>204</v>
      </c>
      <c r="AD435" s="1" t="s">
        <v>206</v>
      </c>
      <c r="AE435" s="1" t="s">
        <v>206</v>
      </c>
      <c r="AF435" s="1" t="s">
        <v>53</v>
      </c>
      <c r="AG435" s="1" t="s">
        <v>53</v>
      </c>
      <c r="AH435" s="1" t="s">
        <v>199</v>
      </c>
      <c r="AI435" s="1" t="s">
        <v>200</v>
      </c>
      <c r="AJ435" s="1">
        <v>15</v>
      </c>
      <c r="AK435" s="1">
        <v>60</v>
      </c>
      <c r="AL435" s="1" t="s">
        <v>49</v>
      </c>
      <c r="AM435" s="3">
        <v>6321</v>
      </c>
      <c r="AN435" s="3">
        <f>1549^2</f>
        <v>2399401</v>
      </c>
      <c r="AO435" s="1" t="s">
        <v>49</v>
      </c>
      <c r="AP435" s="6">
        <v>1</v>
      </c>
      <c r="AQ435" s="6" t="s">
        <v>49</v>
      </c>
      <c r="AR435" s="6" t="s">
        <v>49</v>
      </c>
      <c r="AS435" s="6" t="s">
        <v>49</v>
      </c>
      <c r="AT435" s="6" t="s">
        <v>49</v>
      </c>
      <c r="AU435" s="1" t="s">
        <v>49</v>
      </c>
      <c r="AV435" s="30" t="s">
        <v>49</v>
      </c>
      <c r="AW435" s="29"/>
    </row>
    <row r="436" spans="1:49" s="6" customFormat="1" ht="14.4" customHeight="1">
      <c r="A436" s="1">
        <v>20</v>
      </c>
      <c r="B436" s="1" t="s">
        <v>38</v>
      </c>
      <c r="C436" s="1" t="s">
        <v>38</v>
      </c>
      <c r="D436" s="3" t="s">
        <v>549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218</v>
      </c>
      <c r="W436" s="3">
        <v>34.4</v>
      </c>
      <c r="X436" s="3">
        <v>-119.54</v>
      </c>
      <c r="Y436" s="1" t="s">
        <v>48</v>
      </c>
      <c r="Z436" s="1" t="s">
        <v>49</v>
      </c>
      <c r="AA436" s="1" t="s">
        <v>50</v>
      </c>
      <c r="AB436" s="1" t="s">
        <v>201</v>
      </c>
      <c r="AC436" s="1" t="s">
        <v>204</v>
      </c>
      <c r="AD436" s="1" t="s">
        <v>207</v>
      </c>
      <c r="AE436" s="1" t="s">
        <v>207</v>
      </c>
      <c r="AF436" s="1" t="s">
        <v>60</v>
      </c>
      <c r="AG436" s="1" t="s">
        <v>173</v>
      </c>
      <c r="AH436" s="1" t="s">
        <v>199</v>
      </c>
      <c r="AI436" s="1" t="s">
        <v>200</v>
      </c>
      <c r="AJ436" s="1">
        <v>15</v>
      </c>
      <c r="AK436" s="1">
        <v>60</v>
      </c>
      <c r="AL436" s="1" t="s">
        <v>49</v>
      </c>
      <c r="AM436" s="3">
        <v>3718</v>
      </c>
      <c r="AN436" s="3">
        <f>307^2</f>
        <v>94249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1" t="s">
        <v>49</v>
      </c>
      <c r="AV436" s="30" t="s">
        <v>49</v>
      </c>
      <c r="AW436" s="29"/>
    </row>
    <row r="437" spans="1:49" s="6" customFormat="1" ht="14.4" customHeight="1">
      <c r="A437" s="1">
        <v>20</v>
      </c>
      <c r="B437" s="1" t="s">
        <v>38</v>
      </c>
      <c r="C437" s="1" t="s">
        <v>38</v>
      </c>
      <c r="D437" s="3" t="s">
        <v>549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218</v>
      </c>
      <c r="W437" s="3">
        <v>34.4</v>
      </c>
      <c r="X437" s="3">
        <v>-119.54</v>
      </c>
      <c r="Y437" s="1" t="s">
        <v>48</v>
      </c>
      <c r="Z437" s="1" t="s">
        <v>49</v>
      </c>
      <c r="AA437" s="1" t="s">
        <v>50</v>
      </c>
      <c r="AB437" s="1" t="s">
        <v>196</v>
      </c>
      <c r="AC437" s="1" t="s">
        <v>197</v>
      </c>
      <c r="AD437" s="1" t="s">
        <v>198</v>
      </c>
      <c r="AE437" s="1" t="s">
        <v>198</v>
      </c>
      <c r="AF437" s="1" t="s">
        <v>60</v>
      </c>
      <c r="AG437" s="1" t="s">
        <v>60</v>
      </c>
      <c r="AH437" s="1" t="s">
        <v>199</v>
      </c>
      <c r="AI437" s="1" t="s">
        <v>200</v>
      </c>
      <c r="AJ437" s="1">
        <v>15</v>
      </c>
      <c r="AK437" s="1">
        <v>60</v>
      </c>
      <c r="AL437" s="1" t="s">
        <v>49</v>
      </c>
      <c r="AM437" s="3">
        <v>35</v>
      </c>
      <c r="AN437" s="3">
        <f>9^2</f>
        <v>81</v>
      </c>
      <c r="AO437" s="1" t="s">
        <v>49</v>
      </c>
      <c r="AP437" s="6">
        <v>1</v>
      </c>
      <c r="AQ437" s="6" t="s">
        <v>49</v>
      </c>
      <c r="AR437" s="6" t="s">
        <v>49</v>
      </c>
      <c r="AS437" s="6" t="s">
        <v>49</v>
      </c>
      <c r="AT437" s="6" t="s">
        <v>49</v>
      </c>
      <c r="AU437" s="1" t="s">
        <v>49</v>
      </c>
      <c r="AV437" s="30" t="s">
        <v>49</v>
      </c>
      <c r="AW437" s="29"/>
    </row>
    <row r="438" spans="1:49" s="6" customFormat="1" ht="14.4" customHeight="1">
      <c r="A438" s="1">
        <v>20</v>
      </c>
      <c r="B438" s="1" t="s">
        <v>38</v>
      </c>
      <c r="C438" s="1" t="s">
        <v>38</v>
      </c>
      <c r="D438" s="3" t="s">
        <v>549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218</v>
      </c>
      <c r="W438" s="3">
        <v>34.4</v>
      </c>
      <c r="X438" s="3">
        <v>-119.54</v>
      </c>
      <c r="Y438" s="1" t="s">
        <v>48</v>
      </c>
      <c r="Z438" s="1" t="s">
        <v>49</v>
      </c>
      <c r="AA438" s="1" t="s">
        <v>50</v>
      </c>
      <c r="AB438" s="1" t="s">
        <v>66</v>
      </c>
      <c r="AC438" s="1" t="s">
        <v>124</v>
      </c>
      <c r="AD438" s="1" t="s">
        <v>214</v>
      </c>
      <c r="AE438" s="1" t="s">
        <v>214</v>
      </c>
      <c r="AF438" s="1" t="s">
        <v>53</v>
      </c>
      <c r="AG438" s="1" t="s">
        <v>53</v>
      </c>
      <c r="AH438" s="1" t="s">
        <v>199</v>
      </c>
      <c r="AI438" s="1" t="s">
        <v>200</v>
      </c>
      <c r="AJ438" s="1">
        <v>15</v>
      </c>
      <c r="AK438" s="1">
        <v>60</v>
      </c>
      <c r="AL438" s="1" t="s">
        <v>49</v>
      </c>
      <c r="AM438" s="3">
        <v>3</v>
      </c>
      <c r="AN438" s="3">
        <f>0.78^2</f>
        <v>0.60840000000000005</v>
      </c>
      <c r="AO438" s="1" t="s">
        <v>49</v>
      </c>
      <c r="AP438" s="6">
        <v>1</v>
      </c>
      <c r="AQ438" s="6" t="s">
        <v>49</v>
      </c>
      <c r="AR438" s="6" t="s">
        <v>49</v>
      </c>
      <c r="AS438" s="6" t="s">
        <v>49</v>
      </c>
      <c r="AT438" s="6" t="s">
        <v>49</v>
      </c>
      <c r="AU438" s="1" t="s">
        <v>49</v>
      </c>
      <c r="AV438" s="30" t="s">
        <v>49</v>
      </c>
      <c r="AW438" s="29"/>
    </row>
    <row r="439" spans="1:49" s="6" customFormat="1" ht="14.4" customHeight="1">
      <c r="A439" s="1">
        <v>20</v>
      </c>
      <c r="B439" s="1" t="s">
        <v>38</v>
      </c>
      <c r="C439" s="1" t="s">
        <v>38</v>
      </c>
      <c r="D439" s="3" t="s">
        <v>549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218</v>
      </c>
      <c r="W439" s="3">
        <v>34.4</v>
      </c>
      <c r="X439" s="3">
        <v>-119.54</v>
      </c>
      <c r="Y439" s="1" t="s">
        <v>48</v>
      </c>
      <c r="Z439" s="1" t="s">
        <v>49</v>
      </c>
      <c r="AA439" s="1" t="s">
        <v>50</v>
      </c>
      <c r="AB439" s="1" t="s">
        <v>66</v>
      </c>
      <c r="AC439" s="1" t="s">
        <v>124</v>
      </c>
      <c r="AD439" s="1" t="s">
        <v>213</v>
      </c>
      <c r="AE439" s="1" t="s">
        <v>213</v>
      </c>
      <c r="AF439" s="1" t="s">
        <v>60</v>
      </c>
      <c r="AG439" s="1" t="s">
        <v>129</v>
      </c>
      <c r="AH439" s="1" t="s">
        <v>199</v>
      </c>
      <c r="AI439" s="1" t="s">
        <v>200</v>
      </c>
      <c r="AJ439" s="1">
        <v>15</v>
      </c>
      <c r="AK439" s="1">
        <v>60</v>
      </c>
      <c r="AL439" s="1" t="s">
        <v>49</v>
      </c>
      <c r="AM439" s="3">
        <v>4.9000000000000004</v>
      </c>
      <c r="AN439" s="3">
        <f>0.76^2</f>
        <v>0.5776</v>
      </c>
      <c r="AO439" s="1" t="s">
        <v>49</v>
      </c>
      <c r="AP439" s="6">
        <v>1</v>
      </c>
      <c r="AQ439" s="6" t="s">
        <v>49</v>
      </c>
      <c r="AR439" s="6" t="s">
        <v>49</v>
      </c>
      <c r="AS439" s="6" t="s">
        <v>49</v>
      </c>
      <c r="AT439" s="6" t="s">
        <v>49</v>
      </c>
      <c r="AU439" s="1" t="s">
        <v>49</v>
      </c>
      <c r="AV439" s="30" t="s">
        <v>49</v>
      </c>
      <c r="AW439" s="29"/>
    </row>
    <row r="440" spans="1:49" s="6" customFormat="1" ht="14.4" customHeight="1">
      <c r="A440" s="1">
        <v>20</v>
      </c>
      <c r="B440" s="1" t="s">
        <v>38</v>
      </c>
      <c r="C440" s="1" t="s">
        <v>38</v>
      </c>
      <c r="D440" s="3" t="s">
        <v>549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218</v>
      </c>
      <c r="W440" s="3">
        <v>34.4</v>
      </c>
      <c r="X440" s="3">
        <v>-119.54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203</v>
      </c>
      <c r="AE440" s="1" t="s">
        <v>210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0.185</v>
      </c>
      <c r="AR440" s="6" t="s">
        <v>49</v>
      </c>
      <c r="AS440" s="6" t="s">
        <v>49</v>
      </c>
      <c r="AT440" s="6" t="s">
        <v>49</v>
      </c>
      <c r="AU440" s="1" t="s">
        <v>49</v>
      </c>
      <c r="AV440" s="30" t="s">
        <v>49</v>
      </c>
      <c r="AW440" s="30"/>
    </row>
    <row r="441" spans="1:49" s="6" customFormat="1" ht="14.4" customHeight="1">
      <c r="A441" s="1">
        <v>20</v>
      </c>
      <c r="B441" s="1" t="s">
        <v>38</v>
      </c>
      <c r="C441" s="1" t="s">
        <v>38</v>
      </c>
      <c r="D441" s="3" t="s">
        <v>549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218</v>
      </c>
      <c r="W441" s="3">
        <v>34.4</v>
      </c>
      <c r="X441" s="3">
        <v>-119.54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203</v>
      </c>
      <c r="AE441" s="1" t="s">
        <v>212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-0.27700000000000002</v>
      </c>
      <c r="AR441" s="6" t="s">
        <v>49</v>
      </c>
      <c r="AS441" s="6" t="s">
        <v>49</v>
      </c>
      <c r="AT441" s="6" t="s">
        <v>49</v>
      </c>
      <c r="AU441" s="1" t="s">
        <v>49</v>
      </c>
      <c r="AV441" s="30" t="s">
        <v>49</v>
      </c>
      <c r="AW441" s="30"/>
    </row>
    <row r="442" spans="1:49" s="6" customFormat="1" ht="14.4" customHeight="1">
      <c r="A442" s="1">
        <v>20</v>
      </c>
      <c r="B442" s="1" t="s">
        <v>38</v>
      </c>
      <c r="C442" s="1" t="s">
        <v>38</v>
      </c>
      <c r="D442" s="3" t="s">
        <v>549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218</v>
      </c>
      <c r="W442" s="3">
        <v>34.4</v>
      </c>
      <c r="X442" s="3">
        <v>-119.54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203</v>
      </c>
      <c r="AE442" s="1" t="s">
        <v>205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-0.193</v>
      </c>
      <c r="AR442" s="6" t="s">
        <v>49</v>
      </c>
      <c r="AS442" s="6" t="s">
        <v>49</v>
      </c>
      <c r="AT442" s="6" t="s">
        <v>49</v>
      </c>
      <c r="AU442" s="1" t="s">
        <v>49</v>
      </c>
      <c r="AV442" s="30" t="s">
        <v>49</v>
      </c>
      <c r="AW442" s="30"/>
    </row>
    <row r="443" spans="1:49" s="6" customFormat="1" ht="14.4" customHeight="1">
      <c r="A443" s="1">
        <v>20</v>
      </c>
      <c r="B443" s="1" t="s">
        <v>38</v>
      </c>
      <c r="C443" s="1" t="s">
        <v>38</v>
      </c>
      <c r="D443" s="3" t="s">
        <v>549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218</v>
      </c>
      <c r="W443" s="3">
        <v>34.4</v>
      </c>
      <c r="X443" s="3">
        <v>-119.54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203</v>
      </c>
      <c r="AE443" s="1" t="s">
        <v>206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4.2000000000000003E-2</v>
      </c>
      <c r="AR443" s="6" t="s">
        <v>49</v>
      </c>
      <c r="AS443" s="6" t="s">
        <v>49</v>
      </c>
      <c r="AT443" s="6" t="s">
        <v>49</v>
      </c>
      <c r="AU443" s="1" t="s">
        <v>49</v>
      </c>
      <c r="AV443" s="30" t="s">
        <v>49</v>
      </c>
      <c r="AW443" s="30"/>
    </row>
    <row r="444" spans="1:49" s="6" customFormat="1" ht="14.4" customHeight="1">
      <c r="A444" s="1">
        <v>20</v>
      </c>
      <c r="B444" s="1" t="s">
        <v>38</v>
      </c>
      <c r="C444" s="1" t="s">
        <v>38</v>
      </c>
      <c r="D444" s="3" t="s">
        <v>549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218</v>
      </c>
      <c r="W444" s="3">
        <v>34.4</v>
      </c>
      <c r="X444" s="3">
        <v>-119.54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203</v>
      </c>
      <c r="AE444" s="1" t="s">
        <v>207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-0.222</v>
      </c>
      <c r="AR444" s="6" t="s">
        <v>49</v>
      </c>
      <c r="AS444" s="6" t="s">
        <v>49</v>
      </c>
      <c r="AT444" s="6" t="s">
        <v>49</v>
      </c>
      <c r="AU444" s="1" t="s">
        <v>49</v>
      </c>
      <c r="AV444" s="30" t="s">
        <v>49</v>
      </c>
      <c r="AW444" s="30"/>
    </row>
    <row r="445" spans="1:49" s="6" customFormat="1" ht="14.4" customHeight="1">
      <c r="A445" s="1">
        <v>20</v>
      </c>
      <c r="B445" s="1" t="s">
        <v>38</v>
      </c>
      <c r="C445" s="1" t="s">
        <v>38</v>
      </c>
      <c r="D445" s="3" t="s">
        <v>549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218</v>
      </c>
      <c r="W445" s="3">
        <v>34.4</v>
      </c>
      <c r="X445" s="3">
        <v>-119.54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203</v>
      </c>
      <c r="AE445" s="1" t="s">
        <v>198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 t="s">
        <v>49</v>
      </c>
      <c r="AR445" s="6" t="s">
        <v>49</v>
      </c>
      <c r="AS445" s="6" t="s">
        <v>49</v>
      </c>
      <c r="AT445" s="6" t="s">
        <v>49</v>
      </c>
      <c r="AU445" s="1" t="s">
        <v>49</v>
      </c>
      <c r="AV445" s="30" t="s">
        <v>49</v>
      </c>
      <c r="AW445" s="30"/>
    </row>
    <row r="446" spans="1:49" s="6" customFormat="1" ht="14.4" customHeight="1">
      <c r="A446" s="1">
        <v>20</v>
      </c>
      <c r="B446" s="1" t="s">
        <v>38</v>
      </c>
      <c r="C446" s="1" t="s">
        <v>38</v>
      </c>
      <c r="D446" s="3" t="s">
        <v>549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218</v>
      </c>
      <c r="W446" s="3">
        <v>34.4</v>
      </c>
      <c r="X446" s="3">
        <v>-119.54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203</v>
      </c>
      <c r="AE446" s="1" t="s">
        <v>214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-6.5000000000000002E-2</v>
      </c>
      <c r="AR446" s="6" t="s">
        <v>49</v>
      </c>
      <c r="AS446" s="6" t="s">
        <v>49</v>
      </c>
      <c r="AT446" s="6" t="s">
        <v>49</v>
      </c>
      <c r="AU446" s="1" t="s">
        <v>49</v>
      </c>
      <c r="AV446" s="30" t="s">
        <v>49</v>
      </c>
      <c r="AW446" s="30"/>
    </row>
    <row r="447" spans="1:49" s="6" customFormat="1" ht="14.4" customHeight="1">
      <c r="A447" s="1">
        <v>20</v>
      </c>
      <c r="B447" s="1" t="s">
        <v>38</v>
      </c>
      <c r="C447" s="1" t="s">
        <v>38</v>
      </c>
      <c r="D447" s="3" t="s">
        <v>549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218</v>
      </c>
      <c r="W447" s="3">
        <v>34.4</v>
      </c>
      <c r="X447" s="3">
        <v>-119.54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203</v>
      </c>
      <c r="AE447" s="1" t="s">
        <v>213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0.22600000000000001</v>
      </c>
      <c r="AR447" s="6" t="s">
        <v>49</v>
      </c>
      <c r="AS447" s="6" t="s">
        <v>49</v>
      </c>
      <c r="AT447" s="6" t="s">
        <v>49</v>
      </c>
      <c r="AU447" s="1" t="s">
        <v>49</v>
      </c>
      <c r="AV447" s="30" t="s">
        <v>49</v>
      </c>
      <c r="AW447" s="30"/>
    </row>
    <row r="448" spans="1:49" s="6" customFormat="1" ht="14.4" customHeight="1">
      <c r="A448" s="1">
        <v>20</v>
      </c>
      <c r="B448" s="1" t="s">
        <v>38</v>
      </c>
      <c r="C448" s="1" t="s">
        <v>38</v>
      </c>
      <c r="D448" s="3" t="s">
        <v>549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218</v>
      </c>
      <c r="W448" s="3">
        <v>34.4</v>
      </c>
      <c r="X448" s="3">
        <v>-119.54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210</v>
      </c>
      <c r="AE448" s="1" t="s">
        <v>212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-0.34699999999999998</v>
      </c>
      <c r="AR448" s="6" t="s">
        <v>49</v>
      </c>
      <c r="AS448" s="6" t="s">
        <v>49</v>
      </c>
      <c r="AT448" s="6" t="s">
        <v>49</v>
      </c>
      <c r="AU448" s="1" t="s">
        <v>49</v>
      </c>
      <c r="AV448" s="30" t="s">
        <v>49</v>
      </c>
      <c r="AW448" s="30"/>
    </row>
    <row r="449" spans="1:49" s="6" customFormat="1" ht="14.4" customHeight="1">
      <c r="A449" s="1">
        <v>20</v>
      </c>
      <c r="B449" s="1" t="s">
        <v>38</v>
      </c>
      <c r="C449" s="1" t="s">
        <v>38</v>
      </c>
      <c r="D449" s="3" t="s">
        <v>549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218</v>
      </c>
      <c r="W449" s="3">
        <v>34.4</v>
      </c>
      <c r="X449" s="3">
        <v>-119.54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210</v>
      </c>
      <c r="AE449" s="1" t="s">
        <v>205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-1.4E-2</v>
      </c>
      <c r="AR449" s="6" t="s">
        <v>49</v>
      </c>
      <c r="AS449" s="6" t="s">
        <v>49</v>
      </c>
      <c r="AT449" s="6" t="s">
        <v>49</v>
      </c>
      <c r="AU449" s="1" t="s">
        <v>49</v>
      </c>
      <c r="AV449" s="30" t="s">
        <v>49</v>
      </c>
      <c r="AW449" s="30"/>
    </row>
    <row r="450" spans="1:49" s="6" customFormat="1" ht="14.4" customHeight="1">
      <c r="A450" s="1">
        <v>20</v>
      </c>
      <c r="B450" s="1" t="s">
        <v>38</v>
      </c>
      <c r="C450" s="1" t="s">
        <v>38</v>
      </c>
      <c r="D450" s="3" t="s">
        <v>549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218</v>
      </c>
      <c r="W450" s="3">
        <v>34.4</v>
      </c>
      <c r="X450" s="3">
        <v>-119.54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210</v>
      </c>
      <c r="AE450" s="1" t="s">
        <v>206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-0.28100000000000003</v>
      </c>
      <c r="AR450" s="6" t="s">
        <v>49</v>
      </c>
      <c r="AS450" s="6" t="s">
        <v>49</v>
      </c>
      <c r="AT450" s="6" t="s">
        <v>49</v>
      </c>
      <c r="AU450" s="1" t="s">
        <v>49</v>
      </c>
      <c r="AV450" s="30" t="s">
        <v>49</v>
      </c>
      <c r="AW450" s="30"/>
    </row>
    <row r="451" spans="1:49" s="6" customFormat="1" ht="14.4" customHeight="1">
      <c r="A451" s="1">
        <v>20</v>
      </c>
      <c r="B451" s="1" t="s">
        <v>38</v>
      </c>
      <c r="C451" s="1" t="s">
        <v>38</v>
      </c>
      <c r="D451" s="3" t="s">
        <v>549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218</v>
      </c>
      <c r="W451" s="3">
        <v>34.4</v>
      </c>
      <c r="X451" s="3">
        <v>-119.54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210</v>
      </c>
      <c r="AE451" s="1" t="s">
        <v>207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0.112</v>
      </c>
      <c r="AR451" s="6" t="s">
        <v>49</v>
      </c>
      <c r="AS451" s="6" t="s">
        <v>49</v>
      </c>
      <c r="AT451" s="6" t="s">
        <v>49</v>
      </c>
      <c r="AU451" s="1" t="s">
        <v>49</v>
      </c>
      <c r="AV451" s="30" t="s">
        <v>49</v>
      </c>
      <c r="AW451" s="30"/>
    </row>
    <row r="452" spans="1:49" s="6" customFormat="1" ht="14.4" customHeight="1">
      <c r="A452" s="1">
        <v>20</v>
      </c>
      <c r="B452" s="1" t="s">
        <v>38</v>
      </c>
      <c r="C452" s="1" t="s">
        <v>38</v>
      </c>
      <c r="D452" s="3" t="s">
        <v>549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218</v>
      </c>
      <c r="W452" s="3">
        <v>34.4</v>
      </c>
      <c r="X452" s="3">
        <v>-119.54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210</v>
      </c>
      <c r="AE452" s="1" t="s">
        <v>198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-0.11</v>
      </c>
      <c r="AR452" s="6" t="s">
        <v>49</v>
      </c>
      <c r="AS452" s="6" t="s">
        <v>49</v>
      </c>
      <c r="AT452" s="6" t="s">
        <v>49</v>
      </c>
      <c r="AU452" s="1" t="s">
        <v>49</v>
      </c>
      <c r="AV452" s="30" t="s">
        <v>49</v>
      </c>
      <c r="AW452" s="30"/>
    </row>
    <row r="453" spans="1:49" s="6" customFormat="1" ht="14.4" customHeight="1">
      <c r="A453" s="1">
        <v>20</v>
      </c>
      <c r="B453" s="1" t="s">
        <v>38</v>
      </c>
      <c r="C453" s="1" t="s">
        <v>38</v>
      </c>
      <c r="D453" s="3" t="s">
        <v>549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218</v>
      </c>
      <c r="W453" s="3">
        <v>34.4</v>
      </c>
      <c r="X453" s="3">
        <v>-119.54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210</v>
      </c>
      <c r="AE453" s="1" t="s">
        <v>214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-9.2999999999999999E-2</v>
      </c>
      <c r="AR453" s="6" t="s">
        <v>49</v>
      </c>
      <c r="AS453" s="6" t="s">
        <v>49</v>
      </c>
      <c r="AT453" s="6" t="s">
        <v>49</v>
      </c>
      <c r="AU453" s="1" t="s">
        <v>49</v>
      </c>
      <c r="AV453" s="30" t="s">
        <v>49</v>
      </c>
      <c r="AW453" s="30"/>
    </row>
    <row r="454" spans="1:49" s="6" customFormat="1" ht="14.4" customHeight="1">
      <c r="A454" s="1">
        <v>20</v>
      </c>
      <c r="B454" s="1" t="s">
        <v>38</v>
      </c>
      <c r="C454" s="1" t="s">
        <v>38</v>
      </c>
      <c r="D454" s="3" t="s">
        <v>549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218</v>
      </c>
      <c r="W454" s="3">
        <v>34.4</v>
      </c>
      <c r="X454" s="3">
        <v>-119.54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210</v>
      </c>
      <c r="AE454" s="1" t="s">
        <v>213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>
        <v>-0.09</v>
      </c>
      <c r="AR454" s="6" t="s">
        <v>49</v>
      </c>
      <c r="AS454" s="6" t="s">
        <v>49</v>
      </c>
      <c r="AT454" s="6" t="s">
        <v>49</v>
      </c>
      <c r="AU454" s="1" t="s">
        <v>49</v>
      </c>
      <c r="AV454" s="30" t="s">
        <v>49</v>
      </c>
      <c r="AW454" s="30"/>
    </row>
    <row r="455" spans="1:49" s="6" customFormat="1" ht="14.4" customHeight="1">
      <c r="A455" s="1">
        <v>20</v>
      </c>
      <c r="B455" s="1" t="s">
        <v>38</v>
      </c>
      <c r="C455" s="1" t="s">
        <v>38</v>
      </c>
      <c r="D455" s="3" t="s">
        <v>549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218</v>
      </c>
      <c r="W455" s="3">
        <v>34.4</v>
      </c>
      <c r="X455" s="3">
        <v>-119.54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212</v>
      </c>
      <c r="AE455" s="1" t="s">
        <v>205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0.32500000000000001</v>
      </c>
      <c r="AR455" s="6" t="s">
        <v>49</v>
      </c>
      <c r="AS455" s="6" t="s">
        <v>49</v>
      </c>
      <c r="AT455" s="6" t="s">
        <v>49</v>
      </c>
      <c r="AU455" s="1" t="s">
        <v>49</v>
      </c>
      <c r="AV455" s="30" t="s">
        <v>49</v>
      </c>
      <c r="AW455" s="30"/>
    </row>
    <row r="456" spans="1:49" s="6" customFormat="1" ht="14.4" customHeight="1">
      <c r="A456" s="1">
        <v>20</v>
      </c>
      <c r="B456" s="1" t="s">
        <v>38</v>
      </c>
      <c r="C456" s="1" t="s">
        <v>38</v>
      </c>
      <c r="D456" s="3" t="s">
        <v>549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218</v>
      </c>
      <c r="W456" s="3">
        <v>34.4</v>
      </c>
      <c r="X456" s="3">
        <v>-119.54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212</v>
      </c>
      <c r="AE456" s="1" t="s">
        <v>206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0.22</v>
      </c>
      <c r="AR456" s="6" t="s">
        <v>49</v>
      </c>
      <c r="AS456" s="6" t="s">
        <v>49</v>
      </c>
      <c r="AT456" s="6" t="s">
        <v>49</v>
      </c>
      <c r="AU456" s="1" t="s">
        <v>49</v>
      </c>
      <c r="AV456" s="30" t="s">
        <v>49</v>
      </c>
      <c r="AW456" s="30"/>
    </row>
    <row r="457" spans="1:49" s="6" customFormat="1" ht="14.4" customHeight="1">
      <c r="A457" s="1">
        <v>20</v>
      </c>
      <c r="B457" s="1" t="s">
        <v>38</v>
      </c>
      <c r="C457" s="1" t="s">
        <v>38</v>
      </c>
      <c r="D457" s="3" t="s">
        <v>549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218</v>
      </c>
      <c r="W457" s="3">
        <v>34.4</v>
      </c>
      <c r="X457" s="3">
        <v>-119.54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212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0.217</v>
      </c>
      <c r="AR457" s="6" t="s">
        <v>49</v>
      </c>
      <c r="AS457" s="6" t="s">
        <v>49</v>
      </c>
      <c r="AT457" s="6" t="s">
        <v>49</v>
      </c>
      <c r="AU457" s="1" t="s">
        <v>49</v>
      </c>
      <c r="AV457" s="30" t="s">
        <v>49</v>
      </c>
      <c r="AW457" s="30"/>
    </row>
    <row r="458" spans="1:49" s="6" customFormat="1" ht="14.4" customHeight="1">
      <c r="A458" s="1">
        <v>20</v>
      </c>
      <c r="B458" s="1" t="s">
        <v>38</v>
      </c>
      <c r="C458" s="1" t="s">
        <v>38</v>
      </c>
      <c r="D458" s="3" t="s">
        <v>549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218</v>
      </c>
      <c r="W458" s="3">
        <v>34.4</v>
      </c>
      <c r="X458" s="3">
        <v>-119.54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212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0.38500000000000001</v>
      </c>
      <c r="AR458" s="6" t="s">
        <v>49</v>
      </c>
      <c r="AS458" s="6" t="s">
        <v>49</v>
      </c>
      <c r="AT458" s="6" t="s">
        <v>49</v>
      </c>
      <c r="AU458" s="1" t="s">
        <v>49</v>
      </c>
      <c r="AV458" s="30" t="s">
        <v>49</v>
      </c>
      <c r="AW458" s="30"/>
    </row>
    <row r="459" spans="1:49" s="6" customFormat="1" ht="14.4" customHeight="1">
      <c r="A459" s="1">
        <v>20</v>
      </c>
      <c r="B459" s="1" t="s">
        <v>38</v>
      </c>
      <c r="C459" s="1" t="s">
        <v>38</v>
      </c>
      <c r="D459" s="3" t="s">
        <v>549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218</v>
      </c>
      <c r="W459" s="3">
        <v>34.4</v>
      </c>
      <c r="X459" s="3">
        <v>-119.54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212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0.253</v>
      </c>
      <c r="AR459" s="6" t="s">
        <v>49</v>
      </c>
      <c r="AS459" s="6" t="s">
        <v>49</v>
      </c>
      <c r="AT459" s="6" t="s">
        <v>49</v>
      </c>
      <c r="AU459" s="1" t="s">
        <v>49</v>
      </c>
      <c r="AV459" s="30" t="s">
        <v>49</v>
      </c>
      <c r="AW459" s="30"/>
    </row>
    <row r="460" spans="1:49" s="6" customFormat="1" ht="14.4" customHeight="1">
      <c r="A460" s="1">
        <v>20</v>
      </c>
      <c r="B460" s="1" t="s">
        <v>38</v>
      </c>
      <c r="C460" s="1" t="s">
        <v>38</v>
      </c>
      <c r="D460" s="3" t="s">
        <v>549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218</v>
      </c>
      <c r="W460" s="3">
        <v>34.4</v>
      </c>
      <c r="X460" s="3">
        <v>-119.54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212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-7.5999999999999998E-2</v>
      </c>
      <c r="AR460" s="6" t="s">
        <v>49</v>
      </c>
      <c r="AS460" s="6" t="s">
        <v>49</v>
      </c>
      <c r="AT460" s="6" t="s">
        <v>49</v>
      </c>
      <c r="AU460" s="1" t="s">
        <v>49</v>
      </c>
      <c r="AV460" s="30" t="s">
        <v>49</v>
      </c>
      <c r="AW460" s="30"/>
    </row>
    <row r="461" spans="1:49" s="6" customFormat="1" ht="14.4" customHeight="1">
      <c r="A461" s="1">
        <v>20</v>
      </c>
      <c r="B461" s="1" t="s">
        <v>38</v>
      </c>
      <c r="C461" s="1" t="s">
        <v>38</v>
      </c>
      <c r="D461" s="3" t="s">
        <v>549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218</v>
      </c>
      <c r="W461" s="3">
        <v>34.4</v>
      </c>
      <c r="X461" s="3">
        <v>-119.54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205</v>
      </c>
      <c r="AE461" s="1" t="s">
        <v>206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5.3999999999999999E-2</v>
      </c>
      <c r="AR461" s="6" t="s">
        <v>49</v>
      </c>
      <c r="AS461" s="6" t="s">
        <v>49</v>
      </c>
      <c r="AT461" s="6" t="s">
        <v>49</v>
      </c>
      <c r="AU461" s="1" t="s">
        <v>49</v>
      </c>
      <c r="AV461" s="30" t="s">
        <v>49</v>
      </c>
      <c r="AW461" s="30"/>
    </row>
    <row r="462" spans="1:49" s="6" customFormat="1" ht="14.4" customHeight="1">
      <c r="A462" s="1">
        <v>20</v>
      </c>
      <c r="B462" s="1" t="s">
        <v>38</v>
      </c>
      <c r="C462" s="1" t="s">
        <v>38</v>
      </c>
      <c r="D462" s="3" t="s">
        <v>549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218</v>
      </c>
      <c r="W462" s="3">
        <v>34.4</v>
      </c>
      <c r="X462" s="3">
        <v>-119.54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205</v>
      </c>
      <c r="AE462" s="1" t="s">
        <v>207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2.1000000000000001E-2</v>
      </c>
      <c r="AR462" s="6" t="s">
        <v>49</v>
      </c>
      <c r="AS462" s="6" t="s">
        <v>49</v>
      </c>
      <c r="AT462" s="6" t="s">
        <v>49</v>
      </c>
      <c r="AU462" s="1" t="s">
        <v>49</v>
      </c>
      <c r="AV462" s="30" t="s">
        <v>49</v>
      </c>
      <c r="AW462" s="30"/>
    </row>
    <row r="463" spans="1:49" s="6" customFormat="1" ht="14.4" customHeight="1">
      <c r="A463" s="1">
        <v>20</v>
      </c>
      <c r="B463" s="1" t="s">
        <v>38</v>
      </c>
      <c r="C463" s="1" t="s">
        <v>38</v>
      </c>
      <c r="D463" s="3" t="s">
        <v>549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218</v>
      </c>
      <c r="W463" s="3">
        <v>34.4</v>
      </c>
      <c r="X463" s="3">
        <v>-119.54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205</v>
      </c>
      <c r="AE463" s="1" t="s">
        <v>198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 t="s">
        <v>49</v>
      </c>
      <c r="AR463" s="6" t="s">
        <v>49</v>
      </c>
      <c r="AS463" s="6" t="s">
        <v>49</v>
      </c>
      <c r="AT463" s="6" t="s">
        <v>49</v>
      </c>
      <c r="AU463" s="1" t="s">
        <v>49</v>
      </c>
      <c r="AV463" s="30" t="s">
        <v>49</v>
      </c>
      <c r="AW463" s="30"/>
    </row>
    <row r="464" spans="1:49" s="6" customFormat="1" ht="14.4" customHeight="1">
      <c r="A464" s="1">
        <v>20</v>
      </c>
      <c r="B464" s="1" t="s">
        <v>38</v>
      </c>
      <c r="C464" s="1" t="s">
        <v>38</v>
      </c>
      <c r="D464" s="3" t="s">
        <v>549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218</v>
      </c>
      <c r="W464" s="3">
        <v>34.4</v>
      </c>
      <c r="X464" s="3">
        <v>-119.54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205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9.2999999999999999E-2</v>
      </c>
      <c r="AR464" s="6" t="s">
        <v>49</v>
      </c>
      <c r="AS464" s="6" t="s">
        <v>49</v>
      </c>
      <c r="AT464" s="6" t="s">
        <v>49</v>
      </c>
      <c r="AU464" s="1" t="s">
        <v>49</v>
      </c>
      <c r="AV464" s="30" t="s">
        <v>49</v>
      </c>
      <c r="AW464" s="30"/>
    </row>
    <row r="465" spans="1:49" s="6" customFormat="1" ht="14.4" customHeight="1">
      <c r="A465" s="1">
        <v>20</v>
      </c>
      <c r="B465" s="1" t="s">
        <v>38</v>
      </c>
      <c r="C465" s="1" t="s">
        <v>38</v>
      </c>
      <c r="D465" s="3" t="s">
        <v>549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218</v>
      </c>
      <c r="W465" s="3">
        <v>34.4</v>
      </c>
      <c r="X465" s="3">
        <v>-119.54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205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-0.27800000000000002</v>
      </c>
      <c r="AR465" s="6" t="s">
        <v>49</v>
      </c>
      <c r="AS465" s="6" t="s">
        <v>49</v>
      </c>
      <c r="AT465" s="6" t="s">
        <v>49</v>
      </c>
      <c r="AU465" s="1" t="s">
        <v>49</v>
      </c>
      <c r="AV465" s="30" t="s">
        <v>49</v>
      </c>
      <c r="AW465" s="30"/>
    </row>
    <row r="466" spans="1:49" s="6" customFormat="1" ht="14.4" customHeight="1">
      <c r="A466" s="1">
        <v>20</v>
      </c>
      <c r="B466" s="1" t="s">
        <v>38</v>
      </c>
      <c r="C466" s="1" t="s">
        <v>38</v>
      </c>
      <c r="D466" s="3" t="s">
        <v>549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218</v>
      </c>
      <c r="W466" s="3">
        <v>34.4</v>
      </c>
      <c r="X466" s="3">
        <v>-119.54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206</v>
      </c>
      <c r="AE466" s="1" t="s">
        <v>207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5.7000000000000002E-2</v>
      </c>
      <c r="AR466" s="6" t="s">
        <v>49</v>
      </c>
      <c r="AS466" s="6" t="s">
        <v>49</v>
      </c>
      <c r="AT466" s="6" t="s">
        <v>49</v>
      </c>
      <c r="AU466" s="1" t="s">
        <v>49</v>
      </c>
      <c r="AV466" s="30" t="s">
        <v>49</v>
      </c>
      <c r="AW466" s="30"/>
    </row>
    <row r="467" spans="1:49" s="6" customFormat="1" ht="14.4" customHeight="1">
      <c r="A467" s="1">
        <v>20</v>
      </c>
      <c r="B467" s="1" t="s">
        <v>38</v>
      </c>
      <c r="C467" s="1" t="s">
        <v>38</v>
      </c>
      <c r="D467" s="3" t="s">
        <v>549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49</v>
      </c>
      <c r="AB467" s="3" t="s">
        <v>49</v>
      </c>
      <c r="AC467" s="3" t="s">
        <v>49</v>
      </c>
      <c r="AD467" s="1" t="s">
        <v>206</v>
      </c>
      <c r="AE467" s="1" t="s">
        <v>198</v>
      </c>
      <c r="AF467" s="1" t="s">
        <v>49</v>
      </c>
      <c r="AG467" s="1" t="s">
        <v>49</v>
      </c>
      <c r="AH467" s="1" t="s">
        <v>199</v>
      </c>
      <c r="AI467" s="1" t="s">
        <v>200</v>
      </c>
      <c r="AJ467" s="1" t="s">
        <v>49</v>
      </c>
      <c r="AK467" s="1" t="s">
        <v>49</v>
      </c>
      <c r="AL467" s="1" t="s">
        <v>49</v>
      </c>
      <c r="AM467" s="1" t="s">
        <v>49</v>
      </c>
      <c r="AN467" s="1" t="s">
        <v>49</v>
      </c>
      <c r="AO467" s="1" t="s">
        <v>49</v>
      </c>
      <c r="AP467" s="6">
        <v>1</v>
      </c>
      <c r="AQ467" s="6">
        <v>8.5999999999999993E-2</v>
      </c>
      <c r="AR467" s="6" t="s">
        <v>49</v>
      </c>
      <c r="AS467" s="6" t="s">
        <v>49</v>
      </c>
      <c r="AT467" s="6" t="s">
        <v>49</v>
      </c>
      <c r="AU467" s="1" t="s">
        <v>49</v>
      </c>
      <c r="AV467" s="30" t="s">
        <v>49</v>
      </c>
      <c r="AW467" s="30"/>
    </row>
    <row r="468" spans="1:49" s="6" customFormat="1" ht="14.4" customHeight="1">
      <c r="A468" s="1">
        <v>20</v>
      </c>
      <c r="B468" s="1" t="s">
        <v>38</v>
      </c>
      <c r="C468" s="1" t="s">
        <v>38</v>
      </c>
      <c r="D468" s="3" t="s">
        <v>549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49</v>
      </c>
      <c r="AB468" s="3" t="s">
        <v>49</v>
      </c>
      <c r="AC468" s="3" t="s">
        <v>49</v>
      </c>
      <c r="AD468" s="1" t="s">
        <v>206</v>
      </c>
      <c r="AE468" s="1" t="s">
        <v>214</v>
      </c>
      <c r="AF468" s="1" t="s">
        <v>49</v>
      </c>
      <c r="AG468" s="1" t="s">
        <v>49</v>
      </c>
      <c r="AH468" s="1" t="s">
        <v>199</v>
      </c>
      <c r="AI468" s="1" t="s">
        <v>200</v>
      </c>
      <c r="AJ468" s="1" t="s">
        <v>49</v>
      </c>
      <c r="AK468" s="1" t="s">
        <v>49</v>
      </c>
      <c r="AL468" s="1" t="s">
        <v>49</v>
      </c>
      <c r="AM468" s="1" t="s">
        <v>49</v>
      </c>
      <c r="AN468" s="1" t="s">
        <v>49</v>
      </c>
      <c r="AO468" s="1" t="s">
        <v>49</v>
      </c>
      <c r="AP468" s="6">
        <v>1</v>
      </c>
      <c r="AQ468" s="6">
        <v>4.7E-2</v>
      </c>
      <c r="AR468" s="6" t="s">
        <v>49</v>
      </c>
      <c r="AS468" s="6" t="s">
        <v>49</v>
      </c>
      <c r="AT468" s="6" t="s">
        <v>49</v>
      </c>
      <c r="AU468" s="1" t="s">
        <v>49</v>
      </c>
      <c r="AV468" s="30" t="s">
        <v>49</v>
      </c>
      <c r="AW468" s="30"/>
    </row>
    <row r="469" spans="1:49" s="6" customFormat="1" ht="14.4" customHeight="1">
      <c r="A469" s="1">
        <v>20</v>
      </c>
      <c r="B469" s="1" t="s">
        <v>38</v>
      </c>
      <c r="C469" s="1" t="s">
        <v>38</v>
      </c>
      <c r="D469" s="3" t="s">
        <v>549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49</v>
      </c>
      <c r="AB469" s="3" t="s">
        <v>49</v>
      </c>
      <c r="AC469" s="3" t="s">
        <v>49</v>
      </c>
      <c r="AD469" s="1" t="s">
        <v>206</v>
      </c>
      <c r="AE469" s="1" t="s">
        <v>213</v>
      </c>
      <c r="AF469" s="1" t="s">
        <v>49</v>
      </c>
      <c r="AG469" s="1" t="s">
        <v>49</v>
      </c>
      <c r="AH469" s="1" t="s">
        <v>199</v>
      </c>
      <c r="AI469" s="1" t="s">
        <v>200</v>
      </c>
      <c r="AJ469" s="1" t="s">
        <v>49</v>
      </c>
      <c r="AK469" s="1" t="s">
        <v>49</v>
      </c>
      <c r="AL469" s="1" t="s">
        <v>49</v>
      </c>
      <c r="AM469" s="1" t="s">
        <v>49</v>
      </c>
      <c r="AN469" s="1" t="s">
        <v>49</v>
      </c>
      <c r="AO469" s="1" t="s">
        <v>49</v>
      </c>
      <c r="AP469" s="6">
        <v>1</v>
      </c>
      <c r="AQ469" s="6">
        <v>-7.2999999999999995E-2</v>
      </c>
      <c r="AR469" s="6" t="s">
        <v>49</v>
      </c>
      <c r="AS469" s="6" t="s">
        <v>49</v>
      </c>
      <c r="AT469" s="6" t="s">
        <v>49</v>
      </c>
      <c r="AU469" s="1" t="s">
        <v>49</v>
      </c>
      <c r="AV469" s="30" t="s">
        <v>49</v>
      </c>
      <c r="AW469" s="30"/>
    </row>
    <row r="470" spans="1:49" s="6" customFormat="1" ht="14.4" customHeight="1">
      <c r="A470" s="1">
        <v>20</v>
      </c>
      <c r="B470" s="1" t="s">
        <v>38</v>
      </c>
      <c r="C470" s="1" t="s">
        <v>38</v>
      </c>
      <c r="D470" s="3" t="s">
        <v>549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49</v>
      </c>
      <c r="AB470" s="3" t="s">
        <v>49</v>
      </c>
      <c r="AC470" s="3" t="s">
        <v>49</v>
      </c>
      <c r="AD470" s="1" t="s">
        <v>207</v>
      </c>
      <c r="AE470" s="1" t="s">
        <v>198</v>
      </c>
      <c r="AF470" s="1" t="s">
        <v>49</v>
      </c>
      <c r="AG470" s="1" t="s">
        <v>49</v>
      </c>
      <c r="AH470" s="1" t="s">
        <v>199</v>
      </c>
      <c r="AI470" s="1" t="s">
        <v>200</v>
      </c>
      <c r="AJ470" s="1" t="s">
        <v>49</v>
      </c>
      <c r="AK470" s="1" t="s">
        <v>49</v>
      </c>
      <c r="AL470" s="1" t="s">
        <v>49</v>
      </c>
      <c r="AM470" s="1" t="s">
        <v>49</v>
      </c>
      <c r="AN470" s="1" t="s">
        <v>49</v>
      </c>
      <c r="AO470" s="1" t="s">
        <v>49</v>
      </c>
      <c r="AP470" s="6">
        <v>1</v>
      </c>
      <c r="AQ470" s="6">
        <v>0.11</v>
      </c>
      <c r="AR470" s="6" t="s">
        <v>49</v>
      </c>
      <c r="AS470" s="6" t="s">
        <v>49</v>
      </c>
      <c r="AT470" s="6" t="s">
        <v>49</v>
      </c>
      <c r="AU470" s="1" t="s">
        <v>49</v>
      </c>
      <c r="AV470" s="30" t="s">
        <v>49</v>
      </c>
      <c r="AW470" s="30"/>
    </row>
    <row r="471" spans="1:49" s="6" customFormat="1" ht="14.4" customHeight="1">
      <c r="A471" s="1">
        <v>20</v>
      </c>
      <c r="B471" s="1" t="s">
        <v>38</v>
      </c>
      <c r="C471" s="1" t="s">
        <v>38</v>
      </c>
      <c r="D471" s="3" t="s">
        <v>549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49</v>
      </c>
      <c r="AB471" s="3" t="s">
        <v>49</v>
      </c>
      <c r="AC471" s="3" t="s">
        <v>49</v>
      </c>
      <c r="AD471" s="1" t="s">
        <v>207</v>
      </c>
      <c r="AE471" s="1" t="s">
        <v>214</v>
      </c>
      <c r="AF471" s="1" t="s">
        <v>49</v>
      </c>
      <c r="AG471" s="1" t="s">
        <v>49</v>
      </c>
      <c r="AH471" s="1" t="s">
        <v>199</v>
      </c>
      <c r="AI471" s="1" t="s">
        <v>200</v>
      </c>
      <c r="AJ471" s="1" t="s">
        <v>49</v>
      </c>
      <c r="AK471" s="1" t="s">
        <v>49</v>
      </c>
      <c r="AL471" s="1" t="s">
        <v>49</v>
      </c>
      <c r="AM471" s="1" t="s">
        <v>49</v>
      </c>
      <c r="AN471" s="1" t="s">
        <v>49</v>
      </c>
      <c r="AO471" s="1" t="s">
        <v>49</v>
      </c>
      <c r="AP471" s="6">
        <v>1</v>
      </c>
      <c r="AQ471" s="6">
        <v>0.19700000000000001</v>
      </c>
      <c r="AR471" s="6" t="s">
        <v>49</v>
      </c>
      <c r="AS471" s="6" t="s">
        <v>49</v>
      </c>
      <c r="AT471" s="6" t="s">
        <v>49</v>
      </c>
      <c r="AU471" s="1" t="s">
        <v>49</v>
      </c>
      <c r="AV471" s="30" t="s">
        <v>49</v>
      </c>
      <c r="AW471" s="30"/>
    </row>
    <row r="472" spans="1:49" s="6" customFormat="1" ht="14.4" customHeight="1">
      <c r="A472" s="1">
        <v>20</v>
      </c>
      <c r="B472" s="1" t="s">
        <v>38</v>
      </c>
      <c r="C472" s="1" t="s">
        <v>38</v>
      </c>
      <c r="D472" s="3" t="s">
        <v>549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49</v>
      </c>
      <c r="AB472" s="3" t="s">
        <v>49</v>
      </c>
      <c r="AC472" s="3" t="s">
        <v>49</v>
      </c>
      <c r="AD472" s="1" t="s">
        <v>207</v>
      </c>
      <c r="AE472" s="1" t="s">
        <v>213</v>
      </c>
      <c r="AF472" s="1" t="s">
        <v>49</v>
      </c>
      <c r="AG472" s="1" t="s">
        <v>49</v>
      </c>
      <c r="AH472" s="1" t="s">
        <v>199</v>
      </c>
      <c r="AI472" s="1" t="s">
        <v>200</v>
      </c>
      <c r="AJ472" s="1" t="s">
        <v>49</v>
      </c>
      <c r="AK472" s="1" t="s">
        <v>49</v>
      </c>
      <c r="AL472" s="1" t="s">
        <v>49</v>
      </c>
      <c r="AM472" s="1" t="s">
        <v>49</v>
      </c>
      <c r="AN472" s="1" t="s">
        <v>49</v>
      </c>
      <c r="AO472" s="1" t="s">
        <v>49</v>
      </c>
      <c r="AP472" s="6">
        <v>1</v>
      </c>
      <c r="AQ472" s="6">
        <v>-0.126</v>
      </c>
      <c r="AR472" s="6" t="s">
        <v>49</v>
      </c>
      <c r="AS472" s="6" t="s">
        <v>49</v>
      </c>
      <c r="AT472" s="6" t="s">
        <v>49</v>
      </c>
      <c r="AU472" s="1" t="s">
        <v>49</v>
      </c>
      <c r="AV472" s="30" t="s">
        <v>49</v>
      </c>
      <c r="AW472" s="30"/>
    </row>
    <row r="473" spans="1:49" s="6" customFormat="1" ht="14.4" customHeight="1">
      <c r="A473" s="1">
        <v>20</v>
      </c>
      <c r="B473" s="1" t="s">
        <v>38</v>
      </c>
      <c r="C473" s="1" t="s">
        <v>38</v>
      </c>
      <c r="D473" s="3" t="s">
        <v>549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49</v>
      </c>
      <c r="AB473" s="3" t="s">
        <v>49</v>
      </c>
      <c r="AC473" s="3" t="s">
        <v>49</v>
      </c>
      <c r="AD473" s="1" t="s">
        <v>198</v>
      </c>
      <c r="AE473" s="1" t="s">
        <v>214</v>
      </c>
      <c r="AF473" s="1" t="s">
        <v>49</v>
      </c>
      <c r="AG473" s="1" t="s">
        <v>49</v>
      </c>
      <c r="AH473" s="1" t="s">
        <v>199</v>
      </c>
      <c r="AI473" s="1" t="s">
        <v>200</v>
      </c>
      <c r="AJ473" s="1" t="s">
        <v>49</v>
      </c>
      <c r="AK473" s="1" t="s">
        <v>49</v>
      </c>
      <c r="AL473" s="1" t="s">
        <v>49</v>
      </c>
      <c r="AM473" s="1" t="s">
        <v>49</v>
      </c>
      <c r="AN473" s="1" t="s">
        <v>49</v>
      </c>
      <c r="AO473" s="1" t="s">
        <v>49</v>
      </c>
      <c r="AP473" s="6">
        <v>1</v>
      </c>
      <c r="AQ473" s="6">
        <v>0.14699999999999999</v>
      </c>
      <c r="AR473" s="6" t="s">
        <v>49</v>
      </c>
      <c r="AS473" s="6" t="s">
        <v>49</v>
      </c>
      <c r="AT473" s="6" t="s">
        <v>49</v>
      </c>
      <c r="AU473" s="1" t="s">
        <v>49</v>
      </c>
      <c r="AV473" s="30" t="s">
        <v>49</v>
      </c>
      <c r="AW473" s="30"/>
    </row>
    <row r="474" spans="1:49" s="6" customFormat="1" ht="14.4" customHeight="1">
      <c r="A474" s="1">
        <v>20</v>
      </c>
      <c r="B474" s="1" t="s">
        <v>38</v>
      </c>
      <c r="C474" s="1" t="s">
        <v>38</v>
      </c>
      <c r="D474" s="3" t="s">
        <v>549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49</v>
      </c>
      <c r="AB474" s="3" t="s">
        <v>49</v>
      </c>
      <c r="AC474" s="3" t="s">
        <v>49</v>
      </c>
      <c r="AD474" s="1" t="s">
        <v>198</v>
      </c>
      <c r="AE474" s="1" t="s">
        <v>213</v>
      </c>
      <c r="AF474" s="1" t="s">
        <v>49</v>
      </c>
      <c r="AG474" s="1" t="s">
        <v>49</v>
      </c>
      <c r="AH474" s="1" t="s">
        <v>199</v>
      </c>
      <c r="AI474" s="1" t="s">
        <v>200</v>
      </c>
      <c r="AJ474" s="1" t="s">
        <v>49</v>
      </c>
      <c r="AK474" s="1" t="s">
        <v>49</v>
      </c>
      <c r="AL474" s="1" t="s">
        <v>49</v>
      </c>
      <c r="AM474" s="1" t="s">
        <v>49</v>
      </c>
      <c r="AN474" s="1" t="s">
        <v>49</v>
      </c>
      <c r="AO474" s="1" t="s">
        <v>49</v>
      </c>
      <c r="AP474" s="6">
        <v>1</v>
      </c>
      <c r="AQ474" s="6">
        <v>-0.29699999999999999</v>
      </c>
      <c r="AR474" s="6" t="s">
        <v>49</v>
      </c>
      <c r="AS474" s="6" t="s">
        <v>49</v>
      </c>
      <c r="AT474" s="6" t="s">
        <v>49</v>
      </c>
      <c r="AU474" s="1" t="s">
        <v>49</v>
      </c>
      <c r="AV474" s="30" t="s">
        <v>49</v>
      </c>
      <c r="AW474" s="30"/>
    </row>
    <row r="475" spans="1:49" s="6" customFormat="1" ht="14.4" customHeight="1">
      <c r="A475" s="1">
        <v>20</v>
      </c>
      <c r="B475" s="1" t="s">
        <v>38</v>
      </c>
      <c r="C475" s="1" t="s">
        <v>38</v>
      </c>
      <c r="D475" s="3" t="s">
        <v>549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49</v>
      </c>
      <c r="AB475" s="3" t="s">
        <v>49</v>
      </c>
      <c r="AC475" s="3" t="s">
        <v>49</v>
      </c>
      <c r="AD475" s="1" t="s">
        <v>214</v>
      </c>
      <c r="AE475" s="1" t="s">
        <v>213</v>
      </c>
      <c r="AF475" s="1" t="s">
        <v>49</v>
      </c>
      <c r="AG475" s="1" t="s">
        <v>49</v>
      </c>
      <c r="AH475" s="1" t="s">
        <v>199</v>
      </c>
      <c r="AI475" s="1" t="s">
        <v>200</v>
      </c>
      <c r="AJ475" s="1" t="s">
        <v>49</v>
      </c>
      <c r="AK475" s="1" t="s">
        <v>49</v>
      </c>
      <c r="AL475" s="1" t="s">
        <v>49</v>
      </c>
      <c r="AM475" s="1" t="s">
        <v>49</v>
      </c>
      <c r="AN475" s="1" t="s">
        <v>49</v>
      </c>
      <c r="AO475" s="1" t="s">
        <v>49</v>
      </c>
      <c r="AP475" s="6">
        <v>1</v>
      </c>
      <c r="AQ475" s="6">
        <v>0.13600000000000001</v>
      </c>
      <c r="AR475" s="6" t="s">
        <v>49</v>
      </c>
      <c r="AS475" s="6" t="s">
        <v>49</v>
      </c>
      <c r="AT475" s="6" t="s">
        <v>49</v>
      </c>
      <c r="AU475" s="1" t="s">
        <v>49</v>
      </c>
      <c r="AV475" s="30" t="s">
        <v>49</v>
      </c>
      <c r="AW475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cp:lastPrinted>2020-04-21T15:45:59Z</cp:lastPrinted>
  <dcterms:created xsi:type="dcterms:W3CDTF">2019-03-05T19:30:05Z</dcterms:created>
  <dcterms:modified xsi:type="dcterms:W3CDTF">2022-02-11T08:57:03Z</dcterms:modified>
</cp:coreProperties>
</file>