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unyurdakul/flexibility repo/aggregate_STO/input_files/"/>
    </mc:Choice>
  </mc:AlternateContent>
  <xr:revisionPtr revIDLastSave="0" documentId="13_ncr:1_{DA78F9AC-B542-6A42-B12D-A9428C5FEF0D}" xr6:coauthVersionLast="36" xr6:coauthVersionMax="36" xr10:uidLastSave="{00000000-0000-0000-0000-000000000000}"/>
  <bookViews>
    <workbookView xWindow="0" yWindow="0" windowWidth="33600" windowHeight="21000" activeTab="2" xr2:uid="{250E94DA-C422-1E47-A6A0-0FB280B973B4}"/>
  </bookViews>
  <sheets>
    <sheet name="Sheet1" sheetId="1" r:id="rId1"/>
    <sheet name="Sheet6" sheetId="6" r:id="rId2"/>
    <sheet name="Sheet7" sheetId="7" r:id="rId3"/>
    <sheet name="Sheet2" sheetId="2" r:id="rId4"/>
    <sheet name="Sheet3" sheetId="3" r:id="rId5"/>
    <sheet name="Sheet4" sheetId="4" r:id="rId6"/>
    <sheet name="Sheet5" sheetId="5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8" l="1"/>
  <c r="J6" i="8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J22" i="8" s="1"/>
  <c r="G23" i="8"/>
  <c r="J23" i="8" s="1"/>
  <c r="G24" i="8"/>
  <c r="J24" i="8" s="1"/>
  <c r="G25" i="8"/>
  <c r="G26" i="8"/>
  <c r="G27" i="8"/>
  <c r="G28" i="8"/>
  <c r="G5" i="8"/>
  <c r="J5" i="8" s="1"/>
  <c r="F6" i="8"/>
  <c r="F7" i="8"/>
  <c r="F8" i="8"/>
  <c r="F9" i="8"/>
  <c r="F10" i="8"/>
  <c r="F11" i="8"/>
  <c r="J11" i="8" s="1"/>
  <c r="F12" i="8"/>
  <c r="F13" i="8"/>
  <c r="F14" i="8"/>
  <c r="F15" i="8"/>
  <c r="F16" i="8"/>
  <c r="F17" i="8"/>
  <c r="F18" i="8"/>
  <c r="J18" i="8" s="1"/>
  <c r="F19" i="8"/>
  <c r="F20" i="8"/>
  <c r="F21" i="8"/>
  <c r="J21" i="8" s="1"/>
  <c r="F22" i="8"/>
  <c r="F23" i="8"/>
  <c r="F24" i="8"/>
  <c r="F25" i="8"/>
  <c r="F26" i="8"/>
  <c r="F27" i="8"/>
  <c r="J27" i="8" s="1"/>
  <c r="F28" i="8"/>
  <c r="J28" i="8" s="1"/>
  <c r="F5" i="8"/>
  <c r="E6" i="8"/>
  <c r="E7" i="8"/>
  <c r="E8" i="8"/>
  <c r="E9" i="8"/>
  <c r="E10" i="8"/>
  <c r="E11" i="8"/>
  <c r="E12" i="8"/>
  <c r="J12" i="8" s="1"/>
  <c r="E13" i="8"/>
  <c r="E14" i="8"/>
  <c r="E15" i="8"/>
  <c r="J15" i="8" s="1"/>
  <c r="E16" i="8"/>
  <c r="E17" i="8"/>
  <c r="J17" i="8" s="1"/>
  <c r="E18" i="8"/>
  <c r="E19" i="8"/>
  <c r="E20" i="8"/>
  <c r="E21" i="8"/>
  <c r="E22" i="8"/>
  <c r="E23" i="8"/>
  <c r="E24" i="8"/>
  <c r="E25" i="8"/>
  <c r="J25" i="8" s="1"/>
  <c r="E26" i="8"/>
  <c r="J26" i="8" s="1"/>
  <c r="E27" i="8"/>
  <c r="E28" i="8"/>
  <c r="E5" i="8"/>
  <c r="D10" i="9"/>
  <c r="D8" i="9"/>
  <c r="D9" i="9"/>
  <c r="C7" i="9"/>
  <c r="D7" i="9" s="1"/>
  <c r="D5" i="9"/>
  <c r="D6" i="9"/>
  <c r="D4" i="9"/>
  <c r="J7" i="8"/>
  <c r="J8" i="8"/>
  <c r="J9" i="8"/>
  <c r="J10" i="8"/>
  <c r="J19" i="8"/>
  <c r="J20" i="8"/>
  <c r="J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5" i="8"/>
  <c r="J13" i="8" l="1"/>
  <c r="J16" i="8"/>
  <c r="J14" i="8"/>
  <c r="I33" i="1"/>
  <c r="I32" i="1"/>
  <c r="I31" i="1"/>
  <c r="I30" i="1"/>
  <c r="I29" i="1"/>
  <c r="I28" i="1"/>
  <c r="I27" i="1"/>
  <c r="I26" i="1"/>
  <c r="I25" i="1"/>
  <c r="I24" i="1"/>
  <c r="I23" i="1"/>
  <c r="I22" i="1"/>
  <c r="D5" i="1"/>
  <c r="D6" i="1"/>
  <c r="D7" i="1"/>
  <c r="D8" i="1"/>
  <c r="D4" i="1"/>
  <c r="E5" i="1"/>
  <c r="E6" i="1"/>
  <c r="E7" i="1"/>
  <c r="E8" i="1"/>
  <c r="E4" i="1"/>
  <c r="N16" i="6" l="1"/>
  <c r="B5" i="2"/>
  <c r="B6" i="2"/>
  <c r="C6" i="2"/>
  <c r="H3" i="3"/>
  <c r="H4" i="3"/>
  <c r="H5" i="3"/>
  <c r="H6" i="3"/>
  <c r="H7" i="3"/>
  <c r="H8" i="3"/>
  <c r="H9" i="3"/>
  <c r="H2" i="3"/>
  <c r="F2" i="3"/>
  <c r="G3" i="3"/>
  <c r="G4" i="3"/>
  <c r="G5" i="3"/>
  <c r="G6" i="3"/>
  <c r="F7" i="3" s="1"/>
  <c r="G7" i="3"/>
  <c r="F8" i="3" s="1"/>
  <c r="G8" i="3"/>
  <c r="F9" i="3" s="1"/>
  <c r="G9" i="3"/>
  <c r="G2" i="3"/>
  <c r="F3" i="3" s="1"/>
  <c r="G1" i="3"/>
  <c r="F4" i="3"/>
  <c r="F5" i="3"/>
  <c r="F6" i="3"/>
  <c r="C10" i="3"/>
  <c r="E3" i="2"/>
  <c r="D3" i="2"/>
  <c r="C3" i="2"/>
  <c r="E4" i="2"/>
  <c r="D4" i="2"/>
  <c r="C4" i="2"/>
  <c r="C5" i="2"/>
  <c r="E5" i="2"/>
  <c r="D5" i="2"/>
  <c r="E6" i="2"/>
  <c r="D6" i="2"/>
  <c r="B3" i="2"/>
  <c r="B4" i="2"/>
</calcChain>
</file>

<file path=xl/sharedStrings.xml><?xml version="1.0" encoding="utf-8"?>
<sst xmlns="http://schemas.openxmlformats.org/spreadsheetml/2006/main" count="149" uniqueCount="86">
  <si>
    <t>g2</t>
  </si>
  <si>
    <t>g1</t>
  </si>
  <si>
    <t>g3</t>
  </si>
  <si>
    <t>g4</t>
  </si>
  <si>
    <t>g5</t>
  </si>
  <si>
    <t>Start-up</t>
  </si>
  <si>
    <t>No-Load</t>
  </si>
  <si>
    <t>Marginal</t>
  </si>
  <si>
    <t>Ramp-up</t>
  </si>
  <si>
    <t>Ramp-down</t>
  </si>
  <si>
    <t>min upt</t>
  </si>
  <si>
    <t>min dwt</t>
  </si>
  <si>
    <t>g5&gt;g4, g1&gt;g2</t>
  </si>
  <si>
    <t>a/b</t>
  </si>
  <si>
    <t>Daimler</t>
  </si>
  <si>
    <t>Stock</t>
  </si>
  <si>
    <t>Yearly</t>
  </si>
  <si>
    <t>Monthly</t>
  </si>
  <si>
    <t>VW</t>
  </si>
  <si>
    <t>Apple</t>
  </si>
  <si>
    <t>Alphabet</t>
  </si>
  <si>
    <t>Nvidia</t>
  </si>
  <si>
    <t>Netflix</t>
  </si>
  <si>
    <t>Microsoft</t>
  </si>
  <si>
    <t>BMW</t>
  </si>
  <si>
    <t>Allotted</t>
  </si>
  <si>
    <t>1,1</t>
  </si>
  <si>
    <t>1,2</t>
  </si>
  <si>
    <t>1,3</t>
  </si>
  <si>
    <t>1,4</t>
  </si>
  <si>
    <t>1,5</t>
  </si>
  <si>
    <t>1,6</t>
  </si>
  <si>
    <t>decreasing costs with increasing samples</t>
  </si>
  <si>
    <t>fixed less than non-fixed</t>
  </si>
  <si>
    <t>both less than single</t>
  </si>
  <si>
    <t>single less than w/out</t>
  </si>
  <si>
    <t>yes</t>
  </si>
  <si>
    <t>no</t>
  </si>
  <si>
    <t>yes exc 1</t>
  </si>
  <si>
    <t>no exc 1</t>
  </si>
  <si>
    <t>2,1</t>
  </si>
  <si>
    <t>3,1</t>
  </si>
  <si>
    <t>4,1</t>
  </si>
  <si>
    <t>5,1</t>
  </si>
  <si>
    <t>6,1</t>
  </si>
  <si>
    <t>FRP</t>
  </si>
  <si>
    <t>single</t>
  </si>
  <si>
    <t>fixed_s20</t>
  </si>
  <si>
    <t>fixed_s1</t>
  </si>
  <si>
    <t>fixed_s10</t>
  </si>
  <si>
    <t>DAM+RTM</t>
  </si>
  <si>
    <t>DAM+FRP</t>
  </si>
  <si>
    <t>s1</t>
  </si>
  <si>
    <t>s10</t>
  </si>
  <si>
    <t>s20</t>
  </si>
  <si>
    <t>Daha fazla 5</t>
  </si>
  <si>
    <t>daha az 4</t>
  </si>
  <si>
    <t>min. cost</t>
  </si>
  <si>
    <t>max. cost</t>
  </si>
  <si>
    <t>min. power</t>
  </si>
  <si>
    <t>max. power</t>
  </si>
  <si>
    <t>Period</t>
  </si>
  <si>
    <t>DAMC</t>
  </si>
  <si>
    <t>DAMC-nf</t>
  </si>
  <si>
    <t>DAMC-95</t>
  </si>
  <si>
    <t>DAMC-w/o</t>
  </si>
  <si>
    <t>95, w/o ayni</t>
  </si>
  <si>
    <t>DAMC&lt;DAMC-nf&lt;DAMC-95</t>
  </si>
  <si>
    <t>14, 15, 16</t>
  </si>
  <si>
    <t>52, 56, 60</t>
  </si>
  <si>
    <t>17, 18</t>
  </si>
  <si>
    <t>DAMC&lt;DAMC-nf=DAMC-95</t>
  </si>
  <si>
    <t>DAMC=DAMC-nf&lt;DAMC-95=DAMC-w/o</t>
  </si>
  <si>
    <t>DAMC&lt;DAMC-nf&lt;DAMC-95=DAMC-w/o</t>
  </si>
  <si>
    <t>DAMC&lt;DAMC-nf=DAMC-95&lt;DAMC-w/o</t>
  </si>
  <si>
    <t>2-1-8 configuration</t>
  </si>
  <si>
    <t>DACIA OLD</t>
  </si>
  <si>
    <t>DACIA OLD + INSURANCE</t>
  </si>
  <si>
    <t>INSURANCE ROW</t>
  </si>
  <si>
    <t>ISK</t>
  </si>
  <si>
    <t>EUR</t>
  </si>
  <si>
    <t>DACIA NEW</t>
  </si>
  <si>
    <t>DACIA NEW + INSURANCE</t>
  </si>
  <si>
    <t>0.0069 </t>
  </si>
  <si>
    <t>SUZUKI VITARA</t>
  </si>
  <si>
    <t>SUZUKI VITARA +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</si>
</sst>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2AB-6A62-B445-B663-DC63925A5ED2}">
  <dimension ref="B3:N33"/>
  <sheetViews>
    <sheetView zoomScale="150" workbookViewId="0">
      <selection activeCell="C7" sqref="C7"/>
    </sheetView>
  </sheetViews>
  <sheetFormatPr baseColWidth="10" defaultRowHeight="16" x14ac:dyDescent="0.2"/>
  <cols>
    <col min="10" max="10" width="12.6640625" customWidth="1"/>
  </cols>
  <sheetData>
    <row r="3" spans="2:14" x14ac:dyDescent="0.2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K3" t="s">
        <v>57</v>
      </c>
      <c r="L3" t="s">
        <v>58</v>
      </c>
      <c r="M3" t="s">
        <v>59</v>
      </c>
      <c r="N3" t="s">
        <v>60</v>
      </c>
    </row>
    <row r="4" spans="2:14" x14ac:dyDescent="0.2">
      <c r="B4" t="s">
        <v>1</v>
      </c>
      <c r="C4">
        <v>2000</v>
      </c>
      <c r="D4">
        <f xml:space="preserve"> K4</f>
        <v>716.74702333058599</v>
      </c>
      <c r="E4">
        <f>(L4-K4)/(N4-M4)</f>
        <v>25.999941406673372</v>
      </c>
      <c r="F4">
        <v>988</v>
      </c>
      <c r="G4">
        <v>988</v>
      </c>
      <c r="H4">
        <v>1</v>
      </c>
      <c r="I4">
        <v>1</v>
      </c>
      <c r="K4">
        <v>716.74702333058599</v>
      </c>
      <c r="L4">
        <v>26716.933634581001</v>
      </c>
      <c r="M4">
        <v>16.9011004444456</v>
      </c>
      <c r="N4">
        <v>1016.91053141097</v>
      </c>
    </row>
    <row r="5" spans="2:14" x14ac:dyDescent="0.2">
      <c r="B5" t="s">
        <v>0</v>
      </c>
      <c r="C5">
        <v>500</v>
      </c>
      <c r="D5">
        <f t="shared" ref="D5:D8" si="0" xml:space="preserve"> K5</f>
        <v>553.42714977977096</v>
      </c>
      <c r="E5">
        <f t="shared" ref="E5:E8" si="1">(L5-K5)/(N5-M5)</f>
        <v>98.730742912555201</v>
      </c>
      <c r="F5">
        <v>482</v>
      </c>
      <c r="G5">
        <v>482</v>
      </c>
      <c r="H5">
        <v>1</v>
      </c>
      <c r="I5">
        <v>1</v>
      </c>
      <c r="K5">
        <v>553.42714977977096</v>
      </c>
      <c r="L5">
        <v>55473.928912640098</v>
      </c>
      <c r="M5">
        <v>2.3572038308141301</v>
      </c>
      <c r="N5">
        <v>558.62266018925402</v>
      </c>
    </row>
    <row r="6" spans="2:14" x14ac:dyDescent="0.2">
      <c r="B6" t="s">
        <v>2</v>
      </c>
      <c r="C6">
        <v>200</v>
      </c>
      <c r="D6">
        <f t="shared" si="0"/>
        <v>185.77450247252699</v>
      </c>
      <c r="E6">
        <f t="shared" si="1"/>
        <v>27.994565607271372</v>
      </c>
      <c r="F6">
        <v>587.9</v>
      </c>
      <c r="G6">
        <v>587.9</v>
      </c>
      <c r="H6">
        <v>1</v>
      </c>
      <c r="I6">
        <v>1</v>
      </c>
      <c r="K6">
        <v>185.77450247252699</v>
      </c>
      <c r="L6">
        <v>16985.322597393701</v>
      </c>
      <c r="M6">
        <v>1.61904359091783</v>
      </c>
      <c r="N6">
        <v>601.71937486941499</v>
      </c>
    </row>
    <row r="7" spans="2:14" x14ac:dyDescent="0.2">
      <c r="B7" t="s">
        <v>3</v>
      </c>
      <c r="C7">
        <v>1300</v>
      </c>
      <c r="D7">
        <f t="shared" si="0"/>
        <v>604.55141496295801</v>
      </c>
      <c r="E7">
        <f t="shared" si="1"/>
        <v>35.287533147366027</v>
      </c>
      <c r="F7">
        <v>500.48</v>
      </c>
      <c r="G7">
        <v>500.48</v>
      </c>
      <c r="H7">
        <v>4</v>
      </c>
      <c r="I7">
        <v>4</v>
      </c>
      <c r="K7">
        <v>604.55141496295801</v>
      </c>
      <c r="L7">
        <v>20084.878506266599</v>
      </c>
      <c r="M7">
        <v>2.3572038308141301</v>
      </c>
      <c r="N7">
        <v>554.40279483177403</v>
      </c>
    </row>
    <row r="8" spans="2:14" x14ac:dyDescent="0.2">
      <c r="B8" t="s">
        <v>4</v>
      </c>
      <c r="C8">
        <v>150</v>
      </c>
      <c r="D8">
        <f t="shared" si="0"/>
        <v>245.55559057117901</v>
      </c>
      <c r="E8">
        <f t="shared" si="1"/>
        <v>29.990849149363378</v>
      </c>
      <c r="F8">
        <v>570.85</v>
      </c>
      <c r="G8">
        <v>570.85</v>
      </c>
      <c r="H8">
        <v>1</v>
      </c>
      <c r="I8">
        <v>1</v>
      </c>
      <c r="K8">
        <v>245.55559057117901</v>
      </c>
      <c r="L8">
        <v>18245.427576008999</v>
      </c>
      <c r="M8">
        <v>2.32691479840204</v>
      </c>
      <c r="N8">
        <v>602.50571919947402</v>
      </c>
    </row>
    <row r="12" spans="2:14" x14ac:dyDescent="0.2">
      <c r="J12" t="s">
        <v>12</v>
      </c>
    </row>
    <row r="19" spans="3:9" x14ac:dyDescent="0.2">
      <c r="C19" t="s">
        <v>1</v>
      </c>
      <c r="D19" t="s">
        <v>2</v>
      </c>
      <c r="E19" t="s">
        <v>4</v>
      </c>
      <c r="F19" t="s">
        <v>3</v>
      </c>
      <c r="G19" t="s">
        <v>0</v>
      </c>
    </row>
    <row r="22" spans="3:9" x14ac:dyDescent="0.2">
      <c r="I22">
        <f>2700/70</f>
        <v>38.571428571428569</v>
      </c>
    </row>
    <row r="23" spans="3:9" x14ac:dyDescent="0.2">
      <c r="I23">
        <f>1900/30</f>
        <v>63.333333333333336</v>
      </c>
    </row>
    <row r="24" spans="3:9" x14ac:dyDescent="0.2">
      <c r="I24">
        <f>1700/28</f>
        <v>60.714285714285715</v>
      </c>
    </row>
    <row r="25" spans="3:9" x14ac:dyDescent="0.2">
      <c r="I25">
        <f>2300/37</f>
        <v>62.162162162162161</v>
      </c>
    </row>
    <row r="26" spans="3:9" x14ac:dyDescent="0.2">
      <c r="I26">
        <f>2000/34</f>
        <v>58.823529411764703</v>
      </c>
    </row>
    <row r="27" spans="3:9" x14ac:dyDescent="0.2">
      <c r="I27">
        <f>2300/39</f>
        <v>58.974358974358971</v>
      </c>
    </row>
    <row r="28" spans="3:9" x14ac:dyDescent="0.2">
      <c r="I28">
        <f>1800/29</f>
        <v>62.068965517241381</v>
      </c>
    </row>
    <row r="29" spans="3:9" x14ac:dyDescent="0.2">
      <c r="I29">
        <f>2000/80</f>
        <v>25</v>
      </c>
    </row>
    <row r="30" spans="3:9" x14ac:dyDescent="0.2">
      <c r="I30">
        <f>600/1.5</f>
        <v>400</v>
      </c>
    </row>
    <row r="31" spans="3:9" x14ac:dyDescent="0.2">
      <c r="I31">
        <f>2800/78</f>
        <v>35.897435897435898</v>
      </c>
    </row>
    <row r="32" spans="3:9" x14ac:dyDescent="0.2">
      <c r="I32">
        <f>750/21</f>
        <v>35.714285714285715</v>
      </c>
    </row>
    <row r="33" spans="9:9" x14ac:dyDescent="0.2">
      <c r="I33">
        <f>750/21</f>
        <v>35.714285714285715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94B-93B2-A045-AA4B-BA3144E3C73C}">
  <dimension ref="B1:N16"/>
  <sheetViews>
    <sheetView zoomScale="108" workbookViewId="0">
      <selection activeCell="N16" sqref="N16"/>
    </sheetView>
  </sheetViews>
  <sheetFormatPr baseColWidth="10" defaultRowHeight="16" x14ac:dyDescent="0.2"/>
  <sheetData>
    <row r="1" spans="2:14" x14ac:dyDescent="0.2">
      <c r="C1" t="s">
        <v>0</v>
      </c>
      <c r="D1" t="s">
        <v>2</v>
      </c>
      <c r="E1" t="s">
        <v>3</v>
      </c>
      <c r="F1" t="s">
        <v>4</v>
      </c>
    </row>
    <row r="2" spans="2:14" x14ac:dyDescent="0.2">
      <c r="B2" t="s">
        <v>46</v>
      </c>
      <c r="D2">
        <v>7</v>
      </c>
      <c r="F2">
        <v>14</v>
      </c>
    </row>
    <row r="3" spans="2:14" x14ac:dyDescent="0.2">
      <c r="B3" t="s">
        <v>45</v>
      </c>
      <c r="C3">
        <v>10</v>
      </c>
      <c r="D3">
        <v>13</v>
      </c>
      <c r="E3">
        <v>0</v>
      </c>
      <c r="F3">
        <v>8</v>
      </c>
    </row>
    <row r="4" spans="2:14" x14ac:dyDescent="0.2">
      <c r="B4" t="s">
        <v>48</v>
      </c>
      <c r="C4">
        <v>15</v>
      </c>
      <c r="D4">
        <v>14</v>
      </c>
      <c r="E4">
        <v>0</v>
      </c>
      <c r="F4">
        <v>7</v>
      </c>
    </row>
    <row r="5" spans="2:14" x14ac:dyDescent="0.2">
      <c r="B5" t="s">
        <v>49</v>
      </c>
      <c r="C5">
        <v>13</v>
      </c>
      <c r="D5">
        <v>8</v>
      </c>
      <c r="E5">
        <v>4</v>
      </c>
      <c r="F5">
        <v>15</v>
      </c>
    </row>
    <row r="6" spans="2:14" x14ac:dyDescent="0.2">
      <c r="B6" t="s">
        <v>47</v>
      </c>
      <c r="C6">
        <v>7</v>
      </c>
      <c r="D6">
        <v>13</v>
      </c>
      <c r="E6">
        <v>4</v>
      </c>
      <c r="F6">
        <v>18</v>
      </c>
    </row>
    <row r="16" spans="2:14" x14ac:dyDescent="0.2">
      <c r="N16">
        <f>85.5057191994743 + 82.7193748694151 + 326.910531410979</f>
        <v>495.13562547986839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24CE-B5EC-2248-9689-459DA3174D29}">
  <dimension ref="A1:P31"/>
  <sheetViews>
    <sheetView tabSelected="1" topLeftCell="G1" workbookViewId="0">
      <selection activeCell="I31" sqref="I31"/>
    </sheetView>
  </sheetViews>
  <sheetFormatPr baseColWidth="10" defaultRowHeight="16" x14ac:dyDescent="0.2"/>
  <cols>
    <col min="8" max="8" width="16.1640625" customWidth="1"/>
    <col min="14" max="14" width="33.33203125" customWidth="1"/>
  </cols>
  <sheetData>
    <row r="1" spans="1:16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H1" s="2" t="s">
        <v>75</v>
      </c>
    </row>
    <row r="2" spans="1:16" x14ac:dyDescent="0.2">
      <c r="A2" t="s">
        <v>1</v>
      </c>
      <c r="B2">
        <v>24</v>
      </c>
      <c r="C2">
        <v>24</v>
      </c>
      <c r="D2">
        <v>24</v>
      </c>
      <c r="E2">
        <v>24</v>
      </c>
      <c r="F2">
        <v>24</v>
      </c>
    </row>
    <row r="3" spans="1:16" x14ac:dyDescent="0.2">
      <c r="A3" t="s">
        <v>0</v>
      </c>
      <c r="B3">
        <v>0</v>
      </c>
      <c r="C3">
        <v>6</v>
      </c>
      <c r="D3">
        <v>4</v>
      </c>
      <c r="E3">
        <v>4</v>
      </c>
      <c r="F3">
        <v>7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</row>
    <row r="4" spans="1:16" x14ac:dyDescent="0.2">
      <c r="A4" t="s">
        <v>2</v>
      </c>
      <c r="B4">
        <v>7</v>
      </c>
      <c r="C4">
        <v>11</v>
      </c>
      <c r="D4">
        <v>14</v>
      </c>
      <c r="E4">
        <v>14</v>
      </c>
      <c r="F4">
        <v>10</v>
      </c>
      <c r="I4">
        <v>24</v>
      </c>
      <c r="J4">
        <v>7.23</v>
      </c>
      <c r="K4">
        <v>7.23</v>
      </c>
      <c r="L4">
        <v>954</v>
      </c>
      <c r="M4">
        <v>954</v>
      </c>
    </row>
    <row r="5" spans="1:16" x14ac:dyDescent="0.2">
      <c r="A5" t="s">
        <v>3</v>
      </c>
      <c r="B5">
        <v>0</v>
      </c>
      <c r="C5">
        <v>0</v>
      </c>
      <c r="D5">
        <v>6</v>
      </c>
      <c r="E5">
        <v>13</v>
      </c>
      <c r="F5">
        <v>12</v>
      </c>
      <c r="I5">
        <v>25</v>
      </c>
      <c r="J5">
        <v>7.26</v>
      </c>
      <c r="K5">
        <v>7.26</v>
      </c>
      <c r="L5">
        <v>1153</v>
      </c>
      <c r="M5">
        <v>1153</v>
      </c>
      <c r="N5">
        <v>7</v>
      </c>
    </row>
    <row r="6" spans="1:16" x14ac:dyDescent="0.2">
      <c r="A6" t="s">
        <v>4</v>
      </c>
      <c r="B6">
        <v>23</v>
      </c>
      <c r="C6">
        <v>23</v>
      </c>
      <c r="D6">
        <v>22</v>
      </c>
      <c r="E6">
        <v>19</v>
      </c>
      <c r="F6">
        <v>23</v>
      </c>
      <c r="I6">
        <v>26</v>
      </c>
      <c r="J6">
        <v>7.09</v>
      </c>
      <c r="K6">
        <v>7.09</v>
      </c>
      <c r="L6">
        <v>954</v>
      </c>
      <c r="M6">
        <v>954</v>
      </c>
    </row>
    <row r="7" spans="1:16" x14ac:dyDescent="0.2">
      <c r="I7">
        <v>27</v>
      </c>
      <c r="J7">
        <v>7.14</v>
      </c>
      <c r="K7">
        <v>7.14</v>
      </c>
      <c r="L7">
        <v>904</v>
      </c>
      <c r="M7">
        <v>904</v>
      </c>
    </row>
    <row r="8" spans="1:16" x14ac:dyDescent="0.2">
      <c r="B8">
        <v>5</v>
      </c>
      <c r="C8">
        <v>3</v>
      </c>
      <c r="D8">
        <v>1</v>
      </c>
      <c r="E8">
        <v>2</v>
      </c>
      <c r="F8">
        <v>4</v>
      </c>
    </row>
    <row r="9" spans="1:16" x14ac:dyDescent="0.2">
      <c r="I9">
        <v>64</v>
      </c>
      <c r="J9">
        <v>9</v>
      </c>
      <c r="K9">
        <v>17</v>
      </c>
      <c r="L9">
        <v>15</v>
      </c>
      <c r="M9">
        <v>1100</v>
      </c>
    </row>
    <row r="10" spans="1:16" x14ac:dyDescent="0.2">
      <c r="I10">
        <v>65</v>
      </c>
      <c r="J10">
        <v>9</v>
      </c>
      <c r="K10">
        <v>17</v>
      </c>
      <c r="L10">
        <v>17</v>
      </c>
      <c r="M10">
        <v>1400</v>
      </c>
      <c r="P10">
        <v>14</v>
      </c>
    </row>
    <row r="11" spans="1:16" x14ac:dyDescent="0.2">
      <c r="I11">
        <v>66</v>
      </c>
      <c r="J11">
        <v>59</v>
      </c>
      <c r="K11">
        <v>66</v>
      </c>
      <c r="L11">
        <v>66</v>
      </c>
      <c r="M11">
        <v>1200</v>
      </c>
    </row>
    <row r="12" spans="1:16" x14ac:dyDescent="0.2">
      <c r="I12">
        <v>67</v>
      </c>
      <c r="J12">
        <v>108</v>
      </c>
      <c r="K12">
        <v>115</v>
      </c>
      <c r="L12">
        <v>115</v>
      </c>
      <c r="M12">
        <v>1100</v>
      </c>
    </row>
    <row r="13" spans="1:16" x14ac:dyDescent="0.2">
      <c r="D13" t="s">
        <v>55</v>
      </c>
    </row>
    <row r="14" spans="1:16" x14ac:dyDescent="0.2">
      <c r="D14" t="s">
        <v>56</v>
      </c>
      <c r="I14">
        <v>68</v>
      </c>
      <c r="J14">
        <v>58</v>
      </c>
      <c r="K14">
        <v>65</v>
      </c>
      <c r="L14">
        <v>65</v>
      </c>
      <c r="M14">
        <v>1150</v>
      </c>
    </row>
    <row r="15" spans="1:16" x14ac:dyDescent="0.2">
      <c r="I15">
        <v>69</v>
      </c>
      <c r="J15">
        <v>108</v>
      </c>
      <c r="K15">
        <v>115</v>
      </c>
      <c r="L15">
        <v>115</v>
      </c>
      <c r="M15">
        <v>1400</v>
      </c>
      <c r="N15">
        <v>18</v>
      </c>
    </row>
    <row r="16" spans="1:16" x14ac:dyDescent="0.2">
      <c r="I16">
        <v>70</v>
      </c>
      <c r="J16">
        <v>158</v>
      </c>
      <c r="K16">
        <v>164</v>
      </c>
      <c r="L16">
        <v>164</v>
      </c>
      <c r="M16">
        <v>1200</v>
      </c>
    </row>
    <row r="17" spans="9:14" x14ac:dyDescent="0.2">
      <c r="I17">
        <v>71</v>
      </c>
      <c r="J17">
        <v>157</v>
      </c>
      <c r="K17">
        <v>163</v>
      </c>
      <c r="L17">
        <v>163</v>
      </c>
      <c r="M17">
        <v>1153</v>
      </c>
    </row>
    <row r="20" spans="9:14" x14ac:dyDescent="0.2">
      <c r="I20" t="s">
        <v>69</v>
      </c>
      <c r="J20" t="s">
        <v>68</v>
      </c>
      <c r="K20" t="s">
        <v>66</v>
      </c>
      <c r="N20" t="s">
        <v>67</v>
      </c>
    </row>
    <row r="21" spans="9:14" x14ac:dyDescent="0.2">
      <c r="J21" t="s">
        <v>70</v>
      </c>
      <c r="N21" t="s">
        <v>71</v>
      </c>
    </row>
    <row r="29" spans="9:14" x14ac:dyDescent="0.2">
      <c r="I29">
        <v>7</v>
      </c>
      <c r="K29">
        <v>24</v>
      </c>
      <c r="N29" t="s">
        <v>72</v>
      </c>
    </row>
    <row r="30" spans="9:14" x14ac:dyDescent="0.2">
      <c r="I30">
        <v>15</v>
      </c>
      <c r="K30">
        <v>56</v>
      </c>
      <c r="N30" t="s">
        <v>73</v>
      </c>
    </row>
    <row r="31" spans="9:14" x14ac:dyDescent="0.2">
      <c r="I31">
        <v>19</v>
      </c>
      <c r="K31">
        <v>72</v>
      </c>
      <c r="N3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3C0D-0258-7245-AC6D-2FBA199337A1}">
  <dimension ref="A2:E6"/>
  <sheetViews>
    <sheetView topLeftCell="A2" zoomScale="168" workbookViewId="0">
      <selection activeCell="B6" sqref="B6"/>
    </sheetView>
  </sheetViews>
  <sheetFormatPr baseColWidth="10" defaultRowHeight="16" x14ac:dyDescent="0.2"/>
  <sheetData>
    <row r="2" spans="1:5" x14ac:dyDescent="0.2">
      <c r="A2" s="1" t="s">
        <v>13</v>
      </c>
      <c r="B2">
        <v>1</v>
      </c>
      <c r="C2">
        <v>2</v>
      </c>
      <c r="D2">
        <v>4</v>
      </c>
      <c r="E2">
        <v>6</v>
      </c>
    </row>
    <row r="3" spans="1:5" x14ac:dyDescent="0.2">
      <c r="A3">
        <v>1</v>
      </c>
      <c r="B3">
        <f xml:space="preserve"> 408693.444966 -400275.342315</f>
        <v>8418.1026509999647</v>
      </c>
      <c r="C3">
        <f>408658.731415-400246.937669999</f>
        <v>8411.7937450009631</v>
      </c>
      <c r="D3">
        <f>409016.330988 -621432.963832</f>
        <v>-212416.63284400007</v>
      </c>
      <c r="E3">
        <f>409910.769577 -375261.567666</f>
        <v>34649.201911000011</v>
      </c>
    </row>
    <row r="4" spans="1:5" x14ac:dyDescent="0.2">
      <c r="A4">
        <v>2</v>
      </c>
      <c r="B4">
        <f>408658.731415 -400246.937669999</f>
        <v>8411.7937450009631</v>
      </c>
      <c r="C4">
        <f>408496.439891-547952.293629</f>
        <v>-139455.85373799998</v>
      </c>
      <c r="D4">
        <f>409090.183828 - 381974.354261</f>
        <v>27115.829566999979</v>
      </c>
      <c r="E4">
        <f>408918.793013- 589776.332906</f>
        <v>-180857.53989299998</v>
      </c>
    </row>
    <row r="5" spans="1:5" x14ac:dyDescent="0.2">
      <c r="A5">
        <v>4</v>
      </c>
      <c r="B5">
        <f xml:space="preserve"> 408170.480484-390551.00032</f>
        <v>17619.480164000008</v>
      </c>
      <c r="C5">
        <f>409303.369921-571548.513669</f>
        <v>-162245.14374800003</v>
      </c>
      <c r="D5">
        <f>409559.339662-381465.017712</f>
        <v>28094.321950000012</v>
      </c>
      <c r="E5">
        <f>409359.691667-394243.165667999</f>
        <v>15116.525999000994</v>
      </c>
    </row>
    <row r="6" spans="1:5" x14ac:dyDescent="0.2">
      <c r="A6">
        <v>6</v>
      </c>
      <c r="B6">
        <f xml:space="preserve"> 409910.769577 - 1472759.373724</f>
        <v>-1062848.604147</v>
      </c>
      <c r="C6">
        <f xml:space="preserve"> 408918.793013- 378456.919603999</f>
        <v>30461.873409000982</v>
      </c>
      <c r="D6">
        <f>409359.691667- 394243.165667999</f>
        <v>15116.525999000994</v>
      </c>
      <c r="E6">
        <f xml:space="preserve"> 409611.99475 -380004.762568</f>
        <v>29607.232182000007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979E-5797-4647-9C0C-73402D8DD7BC}">
  <dimension ref="B1:H10"/>
  <sheetViews>
    <sheetView workbookViewId="0">
      <selection activeCell="E3" sqref="E3"/>
    </sheetView>
  </sheetViews>
  <sheetFormatPr baseColWidth="10" defaultRowHeight="16" x14ac:dyDescent="0.2"/>
  <sheetData>
    <row r="1" spans="2:8" x14ac:dyDescent="0.2">
      <c r="C1" t="s">
        <v>15</v>
      </c>
      <c r="D1" t="s">
        <v>16</v>
      </c>
      <c r="E1" t="s">
        <v>17</v>
      </c>
      <c r="F1" t="s">
        <v>25</v>
      </c>
      <c r="G1">
        <f>3974/469</f>
        <v>8.4733475479744129</v>
      </c>
    </row>
    <row r="2" spans="2:8" x14ac:dyDescent="0.2">
      <c r="B2" t="s">
        <v>14</v>
      </c>
      <c r="C2">
        <v>87.61</v>
      </c>
      <c r="D2">
        <v>84.14</v>
      </c>
      <c r="E2">
        <v>14.4</v>
      </c>
      <c r="F2">
        <f>D2*G1</f>
        <v>712.94746268656706</v>
      </c>
      <c r="G2">
        <f>3974/469</f>
        <v>8.4733475479744129</v>
      </c>
      <c r="H2">
        <f>F2/C2</f>
        <v>8.1377406995384902</v>
      </c>
    </row>
    <row r="3" spans="2:8" x14ac:dyDescent="0.2">
      <c r="B3" t="s">
        <v>18</v>
      </c>
      <c r="C3">
        <v>291.8</v>
      </c>
      <c r="D3">
        <v>108</v>
      </c>
      <c r="E3">
        <v>9.6199999999999992</v>
      </c>
      <c r="F3">
        <f t="shared" ref="F3:F9" si="0">D3*G2</f>
        <v>915.1215351812366</v>
      </c>
      <c r="G3">
        <f t="shared" ref="G3:G9" si="1">3974/469</f>
        <v>8.4733475479744129</v>
      </c>
      <c r="H3">
        <f t="shared" ref="H3:H9" si="2">F3/C3</f>
        <v>3.136125891642346</v>
      </c>
    </row>
    <row r="4" spans="2:8" x14ac:dyDescent="0.2">
      <c r="B4" t="s">
        <v>19</v>
      </c>
      <c r="C4">
        <v>131.36000000000001</v>
      </c>
      <c r="D4">
        <v>33.65</v>
      </c>
      <c r="E4">
        <v>27.29</v>
      </c>
      <c r="F4">
        <f t="shared" si="0"/>
        <v>285.12814498933898</v>
      </c>
      <c r="G4">
        <f t="shared" si="1"/>
        <v>8.4733475479744129</v>
      </c>
      <c r="H4">
        <f t="shared" si="2"/>
        <v>2.1705857566179882</v>
      </c>
    </row>
    <row r="5" spans="2:8" x14ac:dyDescent="0.2">
      <c r="B5" t="s">
        <v>20</v>
      </c>
      <c r="C5">
        <v>2543</v>
      </c>
      <c r="E5">
        <v>8.98</v>
      </c>
      <c r="F5">
        <f t="shared" si="0"/>
        <v>0</v>
      </c>
      <c r="G5">
        <f t="shared" si="1"/>
        <v>8.4733475479744129</v>
      </c>
      <c r="H5">
        <f t="shared" si="2"/>
        <v>0</v>
      </c>
    </row>
    <row r="6" spans="2:8" x14ac:dyDescent="0.2">
      <c r="B6" t="s">
        <v>21</v>
      </c>
      <c r="C6">
        <v>233.6</v>
      </c>
      <c r="D6">
        <v>98.94</v>
      </c>
      <c r="E6">
        <v>32.28</v>
      </c>
      <c r="F6">
        <f t="shared" si="0"/>
        <v>838.3530063965884</v>
      </c>
      <c r="G6">
        <f t="shared" si="1"/>
        <v>8.4733475479744129</v>
      </c>
      <c r="H6">
        <f t="shared" si="2"/>
        <v>3.5888399246429299</v>
      </c>
    </row>
    <row r="7" spans="2:8" x14ac:dyDescent="0.2">
      <c r="B7" t="s">
        <v>22</v>
      </c>
      <c r="C7">
        <v>598.1</v>
      </c>
      <c r="D7">
        <v>41.35</v>
      </c>
      <c r="E7">
        <v>13.58</v>
      </c>
      <c r="F7">
        <f t="shared" si="0"/>
        <v>350.37292110874199</v>
      </c>
      <c r="G7">
        <f t="shared" si="1"/>
        <v>8.4733475479744129</v>
      </c>
      <c r="H7">
        <f t="shared" si="2"/>
        <v>0.58580993330336395</v>
      </c>
    </row>
    <row r="8" spans="2:8" x14ac:dyDescent="0.2">
      <c r="B8" t="s">
        <v>23</v>
      </c>
      <c r="C8">
        <v>289.89999999999998</v>
      </c>
      <c r="D8">
        <v>57.24</v>
      </c>
      <c r="E8">
        <v>17.440000000000001</v>
      </c>
      <c r="F8">
        <f t="shared" si="0"/>
        <v>485.0144136460554</v>
      </c>
      <c r="G8">
        <f t="shared" si="1"/>
        <v>8.4733475479744129</v>
      </c>
      <c r="H8">
        <f t="shared" si="2"/>
        <v>1.6730404058159898</v>
      </c>
    </row>
    <row r="9" spans="2:8" x14ac:dyDescent="0.2">
      <c r="B9" t="s">
        <v>24</v>
      </c>
      <c r="C9">
        <v>90.81</v>
      </c>
      <c r="D9">
        <v>46.3</v>
      </c>
      <c r="E9">
        <v>8.8699999999999992</v>
      </c>
      <c r="F9">
        <f t="shared" si="0"/>
        <v>392.31599147121528</v>
      </c>
      <c r="G9">
        <f t="shared" si="1"/>
        <v>8.4733475479744129</v>
      </c>
      <c r="H9">
        <f t="shared" si="2"/>
        <v>4.3201849077327967</v>
      </c>
    </row>
    <row r="10" spans="2:8" x14ac:dyDescent="0.2">
      <c r="C10">
        <f>SUM(D2:D9)</f>
        <v>469.62000000000006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7C85-386D-744A-8458-41FDB7AFA34B}">
  <dimension ref="C3:G9"/>
  <sheetViews>
    <sheetView workbookViewId="0">
      <selection activeCell="C5" sqref="C5"/>
    </sheetView>
  </sheetViews>
  <sheetFormatPr baseColWidth="10" defaultRowHeight="16" x14ac:dyDescent="0.2"/>
  <cols>
    <col min="4" max="4" width="36.33203125" customWidth="1"/>
    <col min="5" max="5" width="24" customWidth="1"/>
    <col min="6" max="6" width="20.33203125" customWidth="1"/>
    <col min="7" max="7" width="23.33203125" customWidth="1"/>
  </cols>
  <sheetData>
    <row r="3" spans="3:7" x14ac:dyDescent="0.2">
      <c r="D3" t="s">
        <v>32</v>
      </c>
      <c r="E3" t="s">
        <v>33</v>
      </c>
      <c r="F3" t="s">
        <v>34</v>
      </c>
      <c r="G3" t="s">
        <v>35</v>
      </c>
    </row>
    <row r="4" spans="3:7" x14ac:dyDescent="0.2">
      <c r="C4" t="s">
        <v>26</v>
      </c>
      <c r="D4" t="s">
        <v>36</v>
      </c>
      <c r="E4" t="s">
        <v>36</v>
      </c>
      <c r="F4" t="s">
        <v>36</v>
      </c>
      <c r="G4" t="s">
        <v>37</v>
      </c>
    </row>
    <row r="5" spans="3:7" x14ac:dyDescent="0.2">
      <c r="C5" t="s">
        <v>27</v>
      </c>
      <c r="D5" t="s">
        <v>38</v>
      </c>
      <c r="E5" t="s">
        <v>37</v>
      </c>
      <c r="F5" t="s">
        <v>38</v>
      </c>
      <c r="G5" t="s">
        <v>37</v>
      </c>
    </row>
    <row r="6" spans="3:7" x14ac:dyDescent="0.2">
      <c r="C6" t="s">
        <v>28</v>
      </c>
      <c r="D6" t="s">
        <v>39</v>
      </c>
      <c r="E6" t="s">
        <v>39</v>
      </c>
      <c r="F6" t="s">
        <v>36</v>
      </c>
      <c r="G6" t="s">
        <v>37</v>
      </c>
    </row>
    <row r="7" spans="3:7" x14ac:dyDescent="0.2">
      <c r="C7" t="s">
        <v>29</v>
      </c>
      <c r="D7" t="s">
        <v>38</v>
      </c>
      <c r="E7" t="s">
        <v>38</v>
      </c>
      <c r="F7" t="s">
        <v>36</v>
      </c>
      <c r="G7" t="s">
        <v>37</v>
      </c>
    </row>
    <row r="8" spans="3:7" x14ac:dyDescent="0.2">
      <c r="C8" t="s">
        <v>30</v>
      </c>
      <c r="D8" t="s">
        <v>39</v>
      </c>
      <c r="E8" t="s">
        <v>36</v>
      </c>
      <c r="F8" t="s">
        <v>37</v>
      </c>
      <c r="G8" t="s">
        <v>37</v>
      </c>
    </row>
    <row r="9" spans="3:7" x14ac:dyDescent="0.2">
      <c r="C9" t="s">
        <v>31</v>
      </c>
      <c r="D9" t="s">
        <v>37</v>
      </c>
      <c r="E9" t="s">
        <v>39</v>
      </c>
      <c r="F9" t="s">
        <v>36</v>
      </c>
      <c r="G9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3346-D673-6542-B8AE-91C7B0613D35}">
  <dimension ref="C4:G10"/>
  <sheetViews>
    <sheetView workbookViewId="0">
      <selection activeCell="D6" sqref="D6"/>
    </sheetView>
  </sheetViews>
  <sheetFormatPr baseColWidth="10" defaultRowHeight="16" x14ac:dyDescent="0.2"/>
  <cols>
    <col min="4" max="4" width="35.1640625" customWidth="1"/>
    <col min="5" max="5" width="22.83203125" customWidth="1"/>
    <col min="6" max="6" width="19.6640625" customWidth="1"/>
    <col min="7" max="7" width="22" customWidth="1"/>
  </cols>
  <sheetData>
    <row r="4" spans="3:7" x14ac:dyDescent="0.2">
      <c r="D4" t="s">
        <v>32</v>
      </c>
      <c r="E4" t="s">
        <v>33</v>
      </c>
      <c r="F4" t="s">
        <v>34</v>
      </c>
      <c r="G4" t="s">
        <v>35</v>
      </c>
    </row>
    <row r="5" spans="3:7" x14ac:dyDescent="0.2">
      <c r="C5" t="s">
        <v>26</v>
      </c>
      <c r="D5" t="s">
        <v>36</v>
      </c>
      <c r="E5" t="s">
        <v>36</v>
      </c>
      <c r="F5" t="s">
        <v>36</v>
      </c>
      <c r="G5" t="s">
        <v>37</v>
      </c>
    </row>
    <row r="6" spans="3:7" x14ac:dyDescent="0.2">
      <c r="C6" t="s">
        <v>40</v>
      </c>
      <c r="D6" t="s">
        <v>38</v>
      </c>
      <c r="E6" t="s">
        <v>38</v>
      </c>
      <c r="F6" t="s">
        <v>36</v>
      </c>
      <c r="G6" t="s">
        <v>37</v>
      </c>
    </row>
    <row r="7" spans="3:7" x14ac:dyDescent="0.2">
      <c r="C7" t="s">
        <v>41</v>
      </c>
      <c r="D7" t="s">
        <v>39</v>
      </c>
      <c r="E7" t="s">
        <v>38</v>
      </c>
      <c r="F7" t="s">
        <v>36</v>
      </c>
      <c r="G7" t="s">
        <v>37</v>
      </c>
    </row>
    <row r="8" spans="3:7" x14ac:dyDescent="0.2">
      <c r="C8" t="s">
        <v>42</v>
      </c>
      <c r="D8" t="s">
        <v>36</v>
      </c>
      <c r="E8" t="s">
        <v>36</v>
      </c>
      <c r="F8" t="s">
        <v>36</v>
      </c>
      <c r="G8" t="s">
        <v>37</v>
      </c>
    </row>
    <row r="9" spans="3:7" x14ac:dyDescent="0.2">
      <c r="C9" t="s">
        <v>43</v>
      </c>
      <c r="D9" t="s">
        <v>39</v>
      </c>
      <c r="E9" t="s">
        <v>38</v>
      </c>
      <c r="F9" t="s">
        <v>36</v>
      </c>
      <c r="G9" t="s">
        <v>37</v>
      </c>
    </row>
    <row r="10" spans="3:7" x14ac:dyDescent="0.2">
      <c r="C10" t="s">
        <v>44</v>
      </c>
      <c r="D10" t="s">
        <v>38</v>
      </c>
      <c r="E10" t="s">
        <v>38</v>
      </c>
      <c r="F10" t="s">
        <v>36</v>
      </c>
      <c r="G10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1914-2BA7-9049-9347-61B3B08CA9D7}">
  <dimension ref="B3:J32"/>
  <sheetViews>
    <sheetView topLeftCell="A2" workbookViewId="0">
      <selection activeCell="D33" sqref="D33"/>
    </sheetView>
  </sheetViews>
  <sheetFormatPr baseColWidth="10" defaultRowHeight="16" x14ac:dyDescent="0.2"/>
  <cols>
    <col min="2" max="2" width="22.6640625" customWidth="1"/>
  </cols>
  <sheetData>
    <row r="3" spans="2:10" x14ac:dyDescent="0.2">
      <c r="D3">
        <v>1</v>
      </c>
      <c r="E3">
        <v>3</v>
      </c>
      <c r="F3">
        <v>5</v>
      </c>
      <c r="G3">
        <v>8</v>
      </c>
    </row>
    <row r="4" spans="2:10" x14ac:dyDescent="0.2">
      <c r="D4">
        <v>0.2</v>
      </c>
      <c r="E4">
        <v>0.22</v>
      </c>
      <c r="F4">
        <v>0.23</v>
      </c>
      <c r="G4">
        <v>0.35</v>
      </c>
      <c r="J4">
        <f>SUM(D4:I4)</f>
        <v>1</v>
      </c>
    </row>
    <row r="5" spans="2:10" x14ac:dyDescent="0.2">
      <c r="B5">
        <v>857.74170000000004</v>
      </c>
      <c r="D5">
        <f>B5*0.2</f>
        <v>171.54834000000002</v>
      </c>
      <c r="E5">
        <f>B5*0.22</f>
        <v>188.70317400000002</v>
      </c>
      <c r="F5">
        <f>B5*0.23</f>
        <v>197.28059100000002</v>
      </c>
      <c r="G5">
        <f>B5*0.35</f>
        <v>300.20959499999998</v>
      </c>
      <c r="J5">
        <f>SUM(D5:I5)-B5</f>
        <v>0</v>
      </c>
    </row>
    <row r="6" spans="2:10" x14ac:dyDescent="0.2">
      <c r="B6">
        <v>944.76020000000005</v>
      </c>
      <c r="D6">
        <f>B6*0.2</f>
        <v>188.95204000000001</v>
      </c>
      <c r="E6">
        <f t="shared" ref="E6:E28" si="0">B6*0.22</f>
        <v>207.84724400000002</v>
      </c>
      <c r="F6">
        <f t="shared" ref="F6:F28" si="1">B6*0.23</f>
        <v>217.29484600000004</v>
      </c>
      <c r="G6">
        <f t="shared" ref="G6:G28" si="2">B6*0.35</f>
        <v>330.66606999999999</v>
      </c>
      <c r="J6">
        <f t="shared" ref="J6:J28" si="3">SUM(D6:I6)-B6</f>
        <v>0</v>
      </c>
    </row>
    <row r="7" spans="2:10" x14ac:dyDescent="0.2">
      <c r="B7">
        <v>1032.7363</v>
      </c>
      <c r="D7">
        <f>B7*0.2</f>
        <v>206.54726000000002</v>
      </c>
      <c r="E7">
        <f t="shared" si="0"/>
        <v>227.20198600000001</v>
      </c>
      <c r="F7">
        <f t="shared" si="1"/>
        <v>237.52934900000002</v>
      </c>
      <c r="G7">
        <f t="shared" si="2"/>
        <v>361.45770499999998</v>
      </c>
      <c r="J7">
        <f t="shared" si="3"/>
        <v>0</v>
      </c>
    </row>
    <row r="8" spans="2:10" x14ac:dyDescent="0.2">
      <c r="B8">
        <v>1226.69273</v>
      </c>
      <c r="D8">
        <f>B8*0.2</f>
        <v>245.33854600000001</v>
      </c>
      <c r="E8">
        <f t="shared" si="0"/>
        <v>269.87240059999999</v>
      </c>
      <c r="F8">
        <f t="shared" si="1"/>
        <v>282.13932790000001</v>
      </c>
      <c r="G8">
        <f t="shared" si="2"/>
        <v>429.34245549999997</v>
      </c>
      <c r="J8">
        <f t="shared" si="3"/>
        <v>0</v>
      </c>
    </row>
    <row r="9" spans="2:10" x14ac:dyDescent="0.2">
      <c r="B9">
        <v>1328.2736299999899</v>
      </c>
      <c r="D9">
        <f>B9*0.2</f>
        <v>265.65472599999799</v>
      </c>
      <c r="E9">
        <f t="shared" si="0"/>
        <v>292.22019859999779</v>
      </c>
      <c r="F9">
        <f t="shared" si="1"/>
        <v>305.50293489999768</v>
      </c>
      <c r="G9">
        <f t="shared" si="2"/>
        <v>464.89577049999644</v>
      </c>
      <c r="J9">
        <f t="shared" si="3"/>
        <v>0</v>
      </c>
    </row>
    <row r="10" spans="2:10" x14ac:dyDescent="0.2">
      <c r="B10">
        <v>1441.8333</v>
      </c>
      <c r="D10">
        <f>B10*0.2</f>
        <v>288.36666000000002</v>
      </c>
      <c r="E10">
        <f t="shared" si="0"/>
        <v>317.203326</v>
      </c>
      <c r="F10">
        <f t="shared" si="1"/>
        <v>331.62165900000002</v>
      </c>
      <c r="G10">
        <f t="shared" si="2"/>
        <v>504.64165499999996</v>
      </c>
      <c r="J10">
        <f t="shared" si="3"/>
        <v>0</v>
      </c>
    </row>
    <row r="11" spans="2:10" x14ac:dyDescent="0.2">
      <c r="B11">
        <v>1563.8394699999999</v>
      </c>
      <c r="D11">
        <f>B11*0.2</f>
        <v>312.76789400000001</v>
      </c>
      <c r="E11">
        <f t="shared" si="0"/>
        <v>344.0446834</v>
      </c>
      <c r="F11">
        <f t="shared" si="1"/>
        <v>359.68307809999999</v>
      </c>
      <c r="G11">
        <f t="shared" si="2"/>
        <v>547.34381449999989</v>
      </c>
      <c r="J11">
        <f t="shared" si="3"/>
        <v>0</v>
      </c>
    </row>
    <row r="12" spans="2:10" x14ac:dyDescent="0.2">
      <c r="B12">
        <v>1604.06602999999</v>
      </c>
      <c r="D12">
        <f>B12*0.2</f>
        <v>320.81320599999799</v>
      </c>
      <c r="E12">
        <f t="shared" si="0"/>
        <v>352.89452659999779</v>
      </c>
      <c r="F12">
        <f t="shared" si="1"/>
        <v>368.93518689999769</v>
      </c>
      <c r="G12">
        <f t="shared" si="2"/>
        <v>561.42311049999648</v>
      </c>
      <c r="J12">
        <f t="shared" si="3"/>
        <v>0</v>
      </c>
    </row>
    <row r="13" spans="2:10" x14ac:dyDescent="0.2">
      <c r="B13">
        <v>1686.9846199999999</v>
      </c>
      <c r="D13">
        <f>B13*0.2</f>
        <v>337.39692400000001</v>
      </c>
      <c r="E13">
        <f t="shared" si="0"/>
        <v>371.13661639999998</v>
      </c>
      <c r="F13">
        <f t="shared" si="1"/>
        <v>388.00646260000002</v>
      </c>
      <c r="G13">
        <f t="shared" si="2"/>
        <v>590.44461699999999</v>
      </c>
      <c r="J13">
        <f t="shared" si="3"/>
        <v>0</v>
      </c>
    </row>
    <row r="14" spans="2:10" x14ac:dyDescent="0.2">
      <c r="B14">
        <v>1728.0783899999999</v>
      </c>
      <c r="D14">
        <f>B14*0.2</f>
        <v>345.615678</v>
      </c>
      <c r="E14">
        <f t="shared" si="0"/>
        <v>380.17724579999998</v>
      </c>
      <c r="F14">
        <f t="shared" si="1"/>
        <v>397.4580297</v>
      </c>
      <c r="G14">
        <f t="shared" si="2"/>
        <v>604.82743649999998</v>
      </c>
      <c r="J14">
        <f t="shared" si="3"/>
        <v>0</v>
      </c>
    </row>
    <row r="15" spans="2:10" x14ac:dyDescent="0.2">
      <c r="B15">
        <v>1783.06574</v>
      </c>
      <c r="D15">
        <f>B15*0.2</f>
        <v>356.61314800000002</v>
      </c>
      <c r="E15">
        <f t="shared" si="0"/>
        <v>392.27446279999998</v>
      </c>
      <c r="F15">
        <f t="shared" si="1"/>
        <v>410.10512020000004</v>
      </c>
      <c r="G15">
        <f t="shared" si="2"/>
        <v>624.07300899999996</v>
      </c>
      <c r="J15">
        <f t="shared" si="3"/>
        <v>0</v>
      </c>
    </row>
    <row r="16" spans="2:10" x14ac:dyDescent="0.2">
      <c r="B16">
        <v>1832.1540299999899</v>
      </c>
      <c r="D16">
        <f>B16*0.2</f>
        <v>366.43080599999803</v>
      </c>
      <c r="E16">
        <f t="shared" si="0"/>
        <v>403.07388659999776</v>
      </c>
      <c r="F16">
        <f t="shared" si="1"/>
        <v>421.39542689999769</v>
      </c>
      <c r="G16">
        <f t="shared" si="2"/>
        <v>641.25391049999644</v>
      </c>
      <c r="J16">
        <f t="shared" si="3"/>
        <v>0</v>
      </c>
    </row>
    <row r="17" spans="2:10" x14ac:dyDescent="0.2">
      <c r="B17">
        <v>1895.2548999999999</v>
      </c>
      <c r="D17">
        <f>B17*0.2</f>
        <v>379.05097999999998</v>
      </c>
      <c r="E17">
        <f t="shared" si="0"/>
        <v>416.95607799999999</v>
      </c>
      <c r="F17">
        <f t="shared" si="1"/>
        <v>435.90862700000002</v>
      </c>
      <c r="G17">
        <f t="shared" si="2"/>
        <v>663.33921499999997</v>
      </c>
      <c r="J17">
        <f t="shared" si="3"/>
        <v>0</v>
      </c>
    </row>
    <row r="18" spans="2:10" x14ac:dyDescent="0.2">
      <c r="B18">
        <v>1980.48028999999</v>
      </c>
      <c r="D18">
        <f>B18*0.2</f>
        <v>396.09605799999804</v>
      </c>
      <c r="E18">
        <f t="shared" si="0"/>
        <v>435.70566379999781</v>
      </c>
      <c r="F18">
        <f t="shared" si="1"/>
        <v>455.51046669999772</v>
      </c>
      <c r="G18">
        <f t="shared" si="2"/>
        <v>693.1681014999964</v>
      </c>
      <c r="J18">
        <f t="shared" si="3"/>
        <v>0</v>
      </c>
    </row>
    <row r="19" spans="2:10" x14ac:dyDescent="0.2">
      <c r="B19">
        <v>2080.0713999999998</v>
      </c>
      <c r="D19">
        <f>B19*0.2</f>
        <v>416.01427999999999</v>
      </c>
      <c r="E19">
        <f t="shared" si="0"/>
        <v>457.61570799999998</v>
      </c>
      <c r="F19">
        <f t="shared" si="1"/>
        <v>478.41642199999995</v>
      </c>
      <c r="G19">
        <f t="shared" si="2"/>
        <v>728.02498999999989</v>
      </c>
      <c r="J19">
        <f t="shared" si="3"/>
        <v>0</v>
      </c>
    </row>
    <row r="20" spans="2:10" x14ac:dyDescent="0.2">
      <c r="B20">
        <v>2180.01009999999</v>
      </c>
      <c r="D20">
        <f>B20*0.2</f>
        <v>436.00201999999803</v>
      </c>
      <c r="E20">
        <f t="shared" si="0"/>
        <v>479.60222199999777</v>
      </c>
      <c r="F20">
        <f t="shared" si="1"/>
        <v>501.40232299999769</v>
      </c>
      <c r="G20">
        <f t="shared" si="2"/>
        <v>763.00353499999642</v>
      </c>
      <c r="J20">
        <f t="shared" si="3"/>
        <v>0</v>
      </c>
    </row>
    <row r="21" spans="2:10" x14ac:dyDescent="0.2">
      <c r="B21">
        <v>2215.0356099999899</v>
      </c>
      <c r="D21">
        <f>B21*0.2</f>
        <v>443.00712199999799</v>
      </c>
      <c r="E21">
        <f t="shared" si="0"/>
        <v>487.30783419999779</v>
      </c>
      <c r="F21">
        <f t="shared" si="1"/>
        <v>509.45819029999768</v>
      </c>
      <c r="G21">
        <f t="shared" si="2"/>
        <v>775.26246349999644</v>
      </c>
      <c r="J21">
        <f t="shared" si="3"/>
        <v>0</v>
      </c>
    </row>
    <row r="22" spans="2:10" x14ac:dyDescent="0.2">
      <c r="B22">
        <v>2215.8313799999901</v>
      </c>
      <c r="D22">
        <f>B22*0.2</f>
        <v>443.16627599999805</v>
      </c>
      <c r="E22">
        <f t="shared" si="0"/>
        <v>487.48290359999783</v>
      </c>
      <c r="F22">
        <f t="shared" si="1"/>
        <v>509.64121739999774</v>
      </c>
      <c r="G22">
        <f t="shared" si="2"/>
        <v>775.54098299999646</v>
      </c>
      <c r="J22">
        <f t="shared" si="3"/>
        <v>0</v>
      </c>
    </row>
    <row r="23" spans="2:10" x14ac:dyDescent="0.2">
      <c r="B23">
        <v>2215.72695999999</v>
      </c>
      <c r="D23">
        <f>B23*0.2</f>
        <v>443.14539199999803</v>
      </c>
      <c r="E23">
        <f t="shared" si="0"/>
        <v>487.45993119999781</v>
      </c>
      <c r="F23">
        <f t="shared" si="1"/>
        <v>509.6172007999977</v>
      </c>
      <c r="G23">
        <f t="shared" si="2"/>
        <v>775.50443599999642</v>
      </c>
      <c r="J23">
        <f t="shared" si="3"/>
        <v>0</v>
      </c>
    </row>
    <row r="24" spans="2:10" x14ac:dyDescent="0.2">
      <c r="B24">
        <v>2120.7843600000001</v>
      </c>
      <c r="D24">
        <f>B24*0.2</f>
        <v>424.15687200000002</v>
      </c>
      <c r="E24">
        <f t="shared" si="0"/>
        <v>466.5725592</v>
      </c>
      <c r="F24">
        <f t="shared" si="1"/>
        <v>487.78040280000005</v>
      </c>
      <c r="G24">
        <f t="shared" si="2"/>
        <v>742.27452600000004</v>
      </c>
      <c r="J24">
        <f t="shared" si="3"/>
        <v>0</v>
      </c>
    </row>
    <row r="25" spans="2:10" x14ac:dyDescent="0.2">
      <c r="B25">
        <v>2060.3036000000002</v>
      </c>
      <c r="D25">
        <f>B25*0.2</f>
        <v>412.06072000000006</v>
      </c>
      <c r="E25">
        <f t="shared" si="0"/>
        <v>453.26679200000007</v>
      </c>
      <c r="F25">
        <f t="shared" si="1"/>
        <v>473.86982800000004</v>
      </c>
      <c r="G25">
        <f t="shared" si="2"/>
        <v>721.10626000000002</v>
      </c>
      <c r="J25">
        <f t="shared" si="3"/>
        <v>0</v>
      </c>
    </row>
    <row r="26" spans="2:10" x14ac:dyDescent="0.2">
      <c r="B26">
        <v>2000.7950699999999</v>
      </c>
      <c r="D26">
        <f>B26*0.2</f>
        <v>400.15901400000001</v>
      </c>
      <c r="E26">
        <f t="shared" si="0"/>
        <v>440.17491539999997</v>
      </c>
      <c r="F26">
        <f t="shared" si="1"/>
        <v>460.18286610000001</v>
      </c>
      <c r="G26">
        <f t="shared" si="2"/>
        <v>700.27827449999995</v>
      </c>
      <c r="J26">
        <f t="shared" si="3"/>
        <v>0</v>
      </c>
    </row>
    <row r="27" spans="2:10" x14ac:dyDescent="0.2">
      <c r="B27">
        <v>1957.47315</v>
      </c>
      <c r="D27">
        <f>B27*0.2</f>
        <v>391.49463000000003</v>
      </c>
      <c r="E27">
        <f t="shared" si="0"/>
        <v>430.644093</v>
      </c>
      <c r="F27">
        <f t="shared" si="1"/>
        <v>450.21882450000004</v>
      </c>
      <c r="G27">
        <f t="shared" si="2"/>
        <v>685.11560250000002</v>
      </c>
      <c r="J27">
        <f t="shared" si="3"/>
        <v>0</v>
      </c>
    </row>
    <row r="28" spans="2:10" x14ac:dyDescent="0.2">
      <c r="B28">
        <v>1910.77844</v>
      </c>
      <c r="D28">
        <f>B28*0.2</f>
        <v>382.15568800000005</v>
      </c>
      <c r="E28">
        <f t="shared" si="0"/>
        <v>420.37125680000003</v>
      </c>
      <c r="F28">
        <f t="shared" si="1"/>
        <v>439.47904120000004</v>
      </c>
      <c r="G28">
        <f t="shared" si="2"/>
        <v>668.77245399999993</v>
      </c>
      <c r="J28">
        <f t="shared" si="3"/>
        <v>0</v>
      </c>
    </row>
    <row r="31" spans="2:10" x14ac:dyDescent="0.2">
      <c r="D31">
        <v>1016</v>
      </c>
      <c r="E31">
        <v>601</v>
      </c>
      <c r="F31">
        <v>602</v>
      </c>
      <c r="G31">
        <v>554</v>
      </c>
    </row>
    <row r="32" spans="2:10" x14ac:dyDescent="0.2">
      <c r="D32">
        <v>570</v>
      </c>
      <c r="E32">
        <v>110</v>
      </c>
      <c r="F32">
        <v>90</v>
      </c>
      <c r="G32">
        <v>-200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CC7B-BBAF-5B44-9471-9C573AE7E459}">
  <dimension ref="B2:E10"/>
  <sheetViews>
    <sheetView workbookViewId="0">
      <selection activeCell="E20" sqref="E20"/>
    </sheetView>
  </sheetViews>
  <sheetFormatPr baseColWidth="10" defaultRowHeight="16" x14ac:dyDescent="0.2"/>
  <cols>
    <col min="2" max="2" width="25.5" customWidth="1"/>
  </cols>
  <sheetData>
    <row r="2" spans="2:5" x14ac:dyDescent="0.2">
      <c r="E2" t="s">
        <v>83</v>
      </c>
    </row>
    <row r="3" spans="2:5" x14ac:dyDescent="0.2">
      <c r="C3" t="s">
        <v>79</v>
      </c>
      <c r="D3" t="s">
        <v>80</v>
      </c>
    </row>
    <row r="4" spans="2:5" x14ac:dyDescent="0.2">
      <c r="B4" t="s">
        <v>76</v>
      </c>
      <c r="C4">
        <v>38192</v>
      </c>
      <c r="D4">
        <f>C4*0.0069</f>
        <v>263.52479999999997</v>
      </c>
    </row>
    <row r="5" spans="2:5" x14ac:dyDescent="0.2">
      <c r="B5" t="s">
        <v>77</v>
      </c>
      <c r="C5">
        <v>61528</v>
      </c>
      <c r="D5">
        <f t="shared" ref="D5:D9" si="0">C5*0.0069</f>
        <v>424.54320000000001</v>
      </c>
    </row>
    <row r="6" spans="2:5" x14ac:dyDescent="0.2">
      <c r="B6" t="s">
        <v>78</v>
      </c>
      <c r="C6">
        <v>4690</v>
      </c>
      <c r="D6">
        <f t="shared" si="0"/>
        <v>32.360999999999997</v>
      </c>
    </row>
    <row r="7" spans="2:5" x14ac:dyDescent="0.2">
      <c r="B7" t="s">
        <v>81</v>
      </c>
      <c r="C7">
        <f>45234</f>
        <v>45234</v>
      </c>
      <c r="D7">
        <f t="shared" si="0"/>
        <v>312.1146</v>
      </c>
    </row>
    <row r="8" spans="2:5" x14ac:dyDescent="0.2">
      <c r="B8" t="s">
        <v>82</v>
      </c>
      <c r="D8">
        <f>(D6*5) + D7</f>
        <v>473.91959999999995</v>
      </c>
    </row>
    <row r="9" spans="2:5" x14ac:dyDescent="0.2">
      <c r="B9" t="s">
        <v>84</v>
      </c>
      <c r="C9">
        <v>48990</v>
      </c>
      <c r="D9">
        <f t="shared" si="0"/>
        <v>338.03100000000001</v>
      </c>
    </row>
    <row r="10" spans="2:5" x14ac:dyDescent="0.2">
      <c r="B10" t="s">
        <v>85</v>
      </c>
      <c r="D10">
        <f>(D6*5) + D9</f>
        <v>499.83600000000001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Sheet7</vt:lpstr>
      <vt:lpstr>Sheet2</vt:lpstr>
      <vt:lpstr>Sheet3</vt:lpstr>
      <vt:lpstr>Sheet4</vt:lpstr>
      <vt:lpstr>Sheet5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Ogün Yurdakul</dc:creator>
  <cp:lastModifiedBy>Ogun Yurdakul</cp:lastModifiedBy>
  <dcterms:created xsi:type="dcterms:W3CDTF">2021-11-02T14:01:33Z</dcterms:created>
  <dcterms:modified xsi:type="dcterms:W3CDTF">2022-02-02T11:27:07Z</dcterms:modified>
</cp:coreProperties>
</file>