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dia/image23.svg" ContentType="image/svg+xml"/>
  <Override PartName="/xl/media/image25.svg" ContentType="image/svg+xml"/>
  <Override PartName="/xl/media/image27.svg" ContentType="image/svg+xml"/>
  <Override PartName="/xl/media/image29.svg" ContentType="image/svg+xml"/>
  <Override PartName="/xl/media/image31.svg" ContentType="image/svg+xml"/>
  <Override PartName="/xl/media/image33.svg" ContentType="image/svg+xml"/>
  <Override PartName="/xl/media/image35.svg" ContentType="image/svg+xml"/>
  <Override PartName="/xl/media/image37.svg" ContentType="image/svg+xml"/>
  <Override PartName="/xl/media/image39.svg" ContentType="image/svg+xml"/>
  <Override PartName="/xl/media/image41.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68" windowHeight="13728" tabRatio="718"/>
  </bookViews>
  <sheets>
    <sheet name="主卡" sheetId="1" r:id="rId1"/>
    <sheet name="特质表" sheetId="13" r:id="rId2"/>
    <sheet name="战斗卡" sheetId="20" r:id="rId3"/>
    <sheet name="战斗信息速查表" sheetId="16" r:id="rId4"/>
    <sheet name="主要特质表" sheetId="15" r:id="rId5"/>
    <sheet name="次要特质表" sheetId="22" r:id="rId6"/>
    <sheet name="配件及消耗品" sheetId="19" r:id="rId7"/>
    <sheet name="感染系统" sheetId="6" r:id="rId8"/>
    <sheet name="简化卡" sheetId="12" r:id="rId9"/>
    <sheet name="更新日志" sheetId="23" state="hidden" r:id="rId10"/>
    <sheet name="参数" sheetId="21" state="hidden" r:id="rId11"/>
    <sheet name="天赋.特质.技能数据库" sheetId="18" state="hidden" r:id="rId12"/>
    <sheet name="下拉列表" sheetId="10" r:id="rId13"/>
    <sheet name="职业图标" sheetId="2" state="hidden" r:id="rId14"/>
    <sheet name="职业计算表" sheetId="14" state="hidden" r:id="rId15"/>
    <sheet name="职业天赋表" sheetId="4" state="hidden" r:id="rId16"/>
    <sheet name="WpsReserved_CellImgList" sheetId="11" state="veryHidden" r:id="rId17"/>
  </sheets>
  <definedNames>
    <definedName name="_xlnm._FilterDatabase" localSheetId="4" hidden="1">主要特质表!$A$2:$L$45</definedName>
    <definedName name="_xlnm._FilterDatabase" localSheetId="5" hidden="1">次要特质表!$A$1:$F$172</definedName>
    <definedName name="年幼">下拉列表!$W$93:$X$93</definedName>
    <definedName name="特殊视野">下拉列表!$W$94:$X$94</definedName>
    <definedName name="感知">下拉列表!$W$95:$X$95</definedName>
    <definedName name="物法兼修">下拉列表!$W$96</definedName>
    <definedName name="长寿">下拉列表!$W$97:$X$97</definedName>
    <definedName name="复活">下拉列表!$W$98:$X$98</definedName>
    <definedName name="神民">下拉列表!$W$99</definedName>
    <definedName name="无需呼吸">下拉列表!$W$100</definedName>
    <definedName name="无需进食">下拉列表!$W$101:$X$101</definedName>
    <definedName name="无需睡眠">下拉列表!$W$102</definedName>
    <definedName name="元素耐受">下拉列表!$W$103:$Z$103</definedName>
    <definedName name="辅助机械">下拉列表!$W$104:$X$104</definedName>
    <definedName name="识别性知觉">下拉列表!$W$105:$Y$105</definedName>
    <definedName name="快速愈合">下拉列表!$W$106:$X$106</definedName>
    <definedName name="复苏">下拉列表!$W$107</definedName>
    <definedName name="悄无声息">下拉列表!$W$108</definedName>
    <definedName name="迷人">下拉列表!$W$109</definedName>
    <definedName name="感官强化">下拉列表!$W$110:$Y$110</definedName>
    <definedName name="迅捷步伐">下拉列表!$W$111</definedName>
    <definedName name="高速反应">下拉列表!$W$112</definedName>
    <definedName name="环境适应">下拉列表!$W$113:$AA$113</definedName>
    <definedName name="飞檐走壁">下拉列表!$W$114</definedName>
    <definedName name="平稳落地">下拉列表!$W$115</definedName>
    <definedName name="水性">下拉列表!$W$116:$X$116</definedName>
    <definedName name="毒液分泌">下拉列表!$W$117:$Z$117</definedName>
    <definedName name="体能充沛">下拉列表!$W$118</definedName>
    <definedName name="天然迷彩">下拉列表!$W$119</definedName>
    <definedName name="坚韧体魄">下拉列表!$W$120</definedName>
    <definedName name="硬肤">下拉列表!$W$121</definedName>
    <definedName name="装饰性器官">下拉列表!$W$122:$Y$122</definedName>
    <definedName name="固有武器">下拉列表!$W$123:$Y$123</definedName>
    <definedName name="第三只手">下拉列表!$W$124</definedName>
    <definedName name="耐寒">下拉列表!$W$125</definedName>
    <definedName name="感染者">下拉列表!$W$126:$X$126</definedName>
    <definedName name="年迈">下拉列表!$W$127</definedName>
    <definedName name="嗜睡">下拉列表!$W$128:$X$128</definedName>
    <definedName name="失眠">下拉列表!$W$129</definedName>
    <definedName name="易感">下拉列表!$W$130</definedName>
    <definedName name="迟钝">下拉列表!$W$131</definedName>
    <definedName name="感官障碍">下拉列表!$W$132:$Y$132</definedName>
    <definedName name="短寿">下拉列表!$W$133</definedName>
    <definedName name="化学依赖">下拉列表!$W$134:$Y$134</definedName>
    <definedName name="语言障碍">下拉列表!$W$135:$X$135</definedName>
    <definedName name="协调障碍">下拉列表!$W$136</definedName>
    <definedName name="弱不禁风">下拉列表!$W$137</definedName>
    <definedName name="元素脆弱">下拉列表!$W$138</definedName>
    <definedName name="自愈障碍">下拉列表!$W$139:$X$139</definedName>
    <definedName name="肢体缺失">下拉列表!$W$140</definedName>
    <definedName name="弱点">下拉列表!$W$141</definedName>
    <definedName name="独行长路">下拉列表!$W$142:$X$142</definedName>
    <definedName name="异格者">下拉列表!$W$143:$X$143</definedName>
    <definedName name="武器大师">下拉列表!$W$144</definedName>
    <definedName name="多重源石技艺">下拉列表!$W$145:$Y$145</definedName>
    <definedName name="飘忽不定">下拉列表!$W$146</definedName>
    <definedName name="追踪专家">下拉列表!$W$147</definedName>
    <definedName name="制造专家">下拉列表!$W$148</definedName>
    <definedName name="动物共情">下拉列表!$W$149:$Y$149</definedName>
    <definedName name="共情者">下拉列表!$W$150</definedName>
    <definedName name="猎杀者">下拉列表!$W$151</definedName>
    <definedName name="觉察者">下拉列表!$W$152</definedName>
    <definedName name="不可动摇">下拉列表!$W$153</definedName>
    <definedName name="崇高目标">下拉列表!$W$154</definedName>
    <definedName name="铳械专家">下拉列表!$W$155</definedName>
    <definedName name="团队意识">下拉列表!$W$156</definedName>
    <definedName name="视死如归">下拉列表!$W$157</definedName>
    <definedName name="幸运儿">下拉列表!$W$158</definedName>
    <definedName name="熟练瞄准">下拉列表!$W$159</definedName>
    <definedName name="灵巧战法">下拉列表!$W$160:$X$160</definedName>
    <definedName name="思维宫殿">下拉列表!$W$161:$X$161</definedName>
    <definedName name="先史通晓者">下拉列表!$W$162</definedName>
    <definedName name="文职人员">下拉列表!$W$163:$X$163</definedName>
    <definedName name="荣誉准则">下拉列表!$W$164</definedName>
    <definedName name="遵纪守法">下拉列表!$W$165</definedName>
    <definedName name="和平主义">下拉列表!$W$166:$Z$166</definedName>
    <definedName name="古道热肠">下拉列表!$W$167</definedName>
    <definedName name="责任之心">下拉列表!$W$168</definedName>
    <definedName name="不善掩饰">下拉列表!$W$169</definedName>
    <definedName name="好奇心">下拉列表!$W$170</definedName>
    <definedName name="狂热执念">下拉列表!$W$171</definedName>
    <definedName name="怯懦">下拉列表!$W$172</definedName>
    <definedName name="傲慢">下拉列表!$W$173:$X$173</definedName>
    <definedName name="挥霍">下拉列表!$W$174</definedName>
    <definedName name="贪婪">下拉列表!$W$175</definedName>
    <definedName name="色欲">下拉列表!$W$176</definedName>
    <definedName name="强迫行为">下拉列表!$W$177:$Y$177</definedName>
    <definedName name="精神依赖">下拉列表!$W$178</definedName>
    <definedName name="恐惧">下拉列表!$W$179</definedName>
    <definedName name="着迷">下拉列表!$W$180</definedName>
    <definedName name="人格分裂">下拉列表!$W$181:$Z$181</definedName>
    <definedName name="失忆">下拉列表!$W$182</definedName>
    <definedName name="认知障碍_内容">下拉列表!$W$183</definedName>
    <definedName name="逐利">下拉列表!$W$184:$X$184</definedName>
    <definedName name="疏财">下拉列表!$W$185:$X$185</definedName>
    <definedName name="身份">下拉列表!$W$186</definedName>
    <definedName name="团体_团体名称">下拉列表!$W$187:$X$187</definedName>
    <definedName name="天灾信使">下拉列表!$W$188</definedName>
    <definedName name="公共权力">下拉列表!$W$189:$X$189</definedName>
    <definedName name="特别权力">下拉列表!$W$190</definedName>
    <definedName name="高贵">下拉列表!$W$191</definedName>
    <definedName name="歧视">下拉列表!$W$192</definedName>
    <definedName name="浪游旅人">下拉列表!$W$193</definedName>
    <definedName name="戒律_誓言">下拉列表!$W$194</definedName>
    <definedName name="秘密">下拉列表!$W$195</definedName>
    <definedName name="不法之徒">下拉列表!$W$196</definedName>
    <definedName name="特质描述1">天赋.特质.技能数据库!$E$2</definedName>
    <definedName name="特质描述2">天赋.特质.技能数据库!$E$3</definedName>
    <definedName name="特质描述3">天赋.特质.技能数据库!$E$4</definedName>
    <definedName name="特质描述4">天赋.特质.技能数据库!$E$5</definedName>
    <definedName name="特质描述5">天赋.特质.技能数据库!$E$6</definedName>
    <definedName name="特质描述6">天赋.特质.技能数据库!$E$7</definedName>
    <definedName name="特质描述7">天赋.特质.技能数据库!$E$8</definedName>
    <definedName name="特质描述8">天赋.特质.技能数据库!$E$9</definedName>
    <definedName name="特质描述9">天赋.特质.技能数据库!$E$10</definedName>
    <definedName name="特质描述10">天赋.特质.技能数据库!$E$11</definedName>
    <definedName name="特质描述11">天赋.特质.技能数据库!$E$12</definedName>
    <definedName name="特质描述12">天赋.特质.技能数据库!$E$13</definedName>
    <definedName name="特质描述13">天赋.特质.技能数据库!$E$14</definedName>
    <definedName name="特质描述14">天赋.特质.技能数据库!$E$15</definedName>
    <definedName name="特质描述15">天赋.特质.技能数据库!$E$16</definedName>
    <definedName name="特质描述16">天赋.特质.技能数据库!$E$17</definedName>
    <definedName name="特质描述17">天赋.特质.技能数据库!$E$18</definedName>
    <definedName name="特质描述18">天赋.特质.技能数据库!$E$19</definedName>
    <definedName name="特质描述19">天赋.特质.技能数据库!$E$20</definedName>
    <definedName name="特质描述20">天赋.特质.技能数据库!$E$21</definedName>
    <definedName name="特质描述21">天赋.特质.技能数据库!$E$22</definedName>
    <definedName name="特质描述22">天赋.特质.技能数据库!$E$23</definedName>
    <definedName name="特质描述23">天赋.特质.技能数据库!$E$24</definedName>
    <definedName name="特质描述24">天赋.特质.技能数据库!$E$25</definedName>
    <definedName name="特质描述25">天赋.特质.技能数据库!$E$26</definedName>
    <definedName name="特质描述26">天赋.特质.技能数据库!$E$27</definedName>
    <definedName name="特质描述27">天赋.特质.技能数据库!$E$28</definedName>
    <definedName name="特质描述28">天赋.特质.技能数据库!$E$29</definedName>
    <definedName name="特质描述29">天赋.特质.技能数据库!$E$30</definedName>
    <definedName name="特质描述30">天赋.特质.技能数据库!$E$31</definedName>
    <definedName name="特质描述31">天赋.特质.技能数据库!$E$32</definedName>
    <definedName name="特质描述32">天赋.特质.技能数据库!$E$33</definedName>
    <definedName name="特质描述33">天赋.特质.技能数据库!$E$34</definedName>
    <definedName name="特质描述34">天赋.特质.技能数据库!$E$35</definedName>
    <definedName name="特质描述35">天赋.特质.技能数据库!$E$36</definedName>
    <definedName name="特质描述36">天赋.特质.技能数据库!$E$37</definedName>
    <definedName name="特质描述37">天赋.特质.技能数据库!$E$38</definedName>
    <definedName name="特质描述38">天赋.特质.技能数据库!$E$39</definedName>
    <definedName name="特质描述39">天赋.特质.技能数据库!$E$40</definedName>
    <definedName name="特质描述40">天赋.特质.技能数据库!$E$41</definedName>
    <definedName name="特质描述41">天赋.特质.技能数据库!$E$42</definedName>
    <definedName name="特质描述42">天赋.特质.技能数据库!$E$43</definedName>
    <definedName name="特质描述43">天赋.特质.技能数据库!$E$44</definedName>
    <definedName name="特质描述44">天赋.特质.技能数据库!$E$45</definedName>
    <definedName name="特质描述45">天赋.特质.技能数据库!$E$46</definedName>
    <definedName name="特质描述46">天赋.特质.技能数据库!$E$47</definedName>
    <definedName name="特质描述47">天赋.特质.技能数据库!$E$48</definedName>
    <definedName name="特质描述48">天赋.特质.技能数据库!$E$49</definedName>
    <definedName name="特质描述49">天赋.特质.技能数据库!$E$50</definedName>
    <definedName name="特质描述50">天赋.特质.技能数据库!$E$51</definedName>
    <definedName name="特质描述51">天赋.特质.技能数据库!$E$52</definedName>
    <definedName name="特质描述52">天赋.特质.技能数据库!$E$53</definedName>
    <definedName name="特质描述53">天赋.特质.技能数据库!$E$54</definedName>
    <definedName name="特质描述54">天赋.特质.技能数据库!$E$55</definedName>
    <definedName name="特质描述55">天赋.特质.技能数据库!$E$56</definedName>
    <definedName name="特质描述56">天赋.特质.技能数据库!$E$57</definedName>
    <definedName name="特质描述57">天赋.特质.技能数据库!$E$58</definedName>
    <definedName name="特质描述58">天赋.特质.技能数据库!$E$59</definedName>
    <definedName name="特质描述59">天赋.特质.技能数据库!$E$60</definedName>
    <definedName name="特质描述60">天赋.特质.技能数据库!$E$61</definedName>
    <definedName name="特质描述61">天赋.特质.技能数据库!$E$62</definedName>
    <definedName name="特质描述62">天赋.特质.技能数据库!$E$63</definedName>
    <definedName name="特质描述63">天赋.特质.技能数据库!$E$64</definedName>
    <definedName name="特质描述64">天赋.特质.技能数据库!$E$65</definedName>
    <definedName name="特质描述65">天赋.特质.技能数据库!$E$66</definedName>
    <definedName name="特质描述66">天赋.特质.技能数据库!$E$67</definedName>
    <definedName name="特质描述67">天赋.特质.技能数据库!$E$68</definedName>
    <definedName name="特质描述68">天赋.特质.技能数据库!$E$69</definedName>
    <definedName name="特质描述69">天赋.特质.技能数据库!$E$70</definedName>
    <definedName name="特质描述70">天赋.特质.技能数据库!$E$71</definedName>
    <definedName name="特质描述71">天赋.特质.技能数据库!$E$72</definedName>
    <definedName name="特质描述72">天赋.特质.技能数据库!$E$73</definedName>
    <definedName name="特质描述73">天赋.特质.技能数据库!$E$74</definedName>
    <definedName name="特质描述74">天赋.特质.技能数据库!$E$75</definedName>
    <definedName name="特质描述75">天赋.特质.技能数据库!$E$76</definedName>
    <definedName name="特质描述76">天赋.特质.技能数据库!$E$77</definedName>
    <definedName name="特质描述77">天赋.特质.技能数据库!$E$78</definedName>
    <definedName name="特质描述78">天赋.特质.技能数据库!$E$79</definedName>
    <definedName name="特质描述79">天赋.特质.技能数据库!$E$80</definedName>
    <definedName name="特质描述80">天赋.特质.技能数据库!$E$81</definedName>
    <definedName name="特质描述81">天赋.特质.技能数据库!$E$82</definedName>
    <definedName name="特质描述82">天赋.特质.技能数据库!$E$83</definedName>
    <definedName name="特质描述83">天赋.特质.技能数据库!$E$84</definedName>
    <definedName name="特质描述84">天赋.特质.技能数据库!$E$85</definedName>
    <definedName name="特质描述85">天赋.特质.技能数据库!$E$86</definedName>
    <definedName name="特质描述86">天赋.特质.技能数据库!$E$87</definedName>
    <definedName name="特质描述87">天赋.特质.技能数据库!$E$88</definedName>
    <definedName name="特质描述88">天赋.特质.技能数据库!$E$89</definedName>
    <definedName name="特质描述89">天赋.特质.技能数据库!$E$90</definedName>
    <definedName name="特质描述90">天赋.特质.技能数据库!$E$91</definedName>
    <definedName name="特质描述91">天赋.特质.技能数据库!$E$92</definedName>
    <definedName name="特质描述92">天赋.特质.技能数据库!$E$93</definedName>
    <definedName name="特质描述93">天赋.特质.技能数据库!$E$94</definedName>
    <definedName name="特质描述94">天赋.特质.技能数据库!$E$95</definedName>
    <definedName name="特质描述95">天赋.特质.技能数据库!$E$96</definedName>
    <definedName name="特质描述96">天赋.特质.技能数据库!$E$97</definedName>
    <definedName name="特质描述97">天赋.特质.技能数据库!$E$98</definedName>
    <definedName name="特质描述98">天赋.特质.技能数据库!$E$99</definedName>
    <definedName name="特质描述99">天赋.特质.技能数据库!$E$100</definedName>
    <definedName name="特质描述100">天赋.特质.技能数据库!$E$101</definedName>
    <definedName name="特质描述101">天赋.特质.技能数据库!$E$102</definedName>
    <definedName name="特质描述102">天赋.特质.技能数据库!$E$103</definedName>
    <definedName name="特质描述103">天赋.特质.技能数据库!$E$104</definedName>
    <definedName name="特质描述104">天赋.特质.技能数据库!$E$105</definedName>
    <definedName name="特质描述105">天赋.特质.技能数据库!$E$106</definedName>
    <definedName name="特质描述106">天赋.特质.技能数据库!$E$107</definedName>
    <definedName name="特质描述107">天赋.特质.技能数据库!$E$108</definedName>
    <definedName name="特质描述108">天赋.特质.技能数据库!$E$109</definedName>
    <definedName name="特质描述109">天赋.特质.技能数据库!$E$110</definedName>
    <definedName name="特质描述110">天赋.特质.技能数据库!$E$111</definedName>
    <definedName name="特质描述111">天赋.特质.技能数据库!$E$112</definedName>
    <definedName name="特质描述112">天赋.特质.技能数据库!$E$113</definedName>
    <definedName name="特质描述113">天赋.特质.技能数据库!$E$114</definedName>
    <definedName name="特质描述114">天赋.特质.技能数据库!$E$115</definedName>
    <definedName name="特质描述115">天赋.特质.技能数据库!$E$116</definedName>
    <definedName name="特质描述116">天赋.特质.技能数据库!$E$117</definedName>
    <definedName name="特质描述117">天赋.特质.技能数据库!$E$118</definedName>
    <definedName name="特质描述118">天赋.特质.技能数据库!$E$119</definedName>
    <definedName name="特质描述119">天赋.特质.技能数据库!$E$120</definedName>
    <definedName name="特质描述120">天赋.特质.技能数据库!$E$121</definedName>
    <definedName name="特质描述121">天赋.特质.技能数据库!$E$122</definedName>
    <definedName name="特质描述122">天赋.特质.技能数据库!$E$123</definedName>
    <definedName name="特质描述123">天赋.特质.技能数据库!$E$124</definedName>
    <definedName name="特质描述124">天赋.特质.技能数据库!$E$125</definedName>
    <definedName name="特质描述125">天赋.特质.技能数据库!$E$126</definedName>
    <definedName name="特质描述126">天赋.特质.技能数据库!$E$127</definedName>
    <definedName name="特质描述127">天赋.特质.技能数据库!$E$128</definedName>
    <definedName name="特质描述128">天赋.特质.技能数据库!$E$129</definedName>
    <definedName name="特质描述129">天赋.特质.技能数据库!$E$130</definedName>
    <definedName name="特质描述130">天赋.特质.技能数据库!$E$131</definedName>
    <definedName name="特质描述131">天赋.特质.技能数据库!$E$132</definedName>
    <definedName name="特质描述132">天赋.特质.技能数据库!$E$133</definedName>
    <definedName name="特质描述133">天赋.特质.技能数据库!$E$134</definedName>
    <definedName name="特质描述134">天赋.特质.技能数据库!$E$135</definedName>
    <definedName name="特质描述135">天赋.特质.技能数据库!$E$136</definedName>
    <definedName name="特质描述136">天赋.特质.技能数据库!$E$137</definedName>
    <definedName name="特质描述137">天赋.特质.技能数据库!$E$138</definedName>
    <definedName name="特质描述138">天赋.特质.技能数据库!$E$139</definedName>
    <definedName name="特质描述139">天赋.特质.技能数据库!$E$140</definedName>
    <definedName name="特质描述140">天赋.特质.技能数据库!$E$141</definedName>
    <definedName name="特质描述141">天赋.特质.技能数据库!$E$142</definedName>
    <definedName name="特质描述142">天赋.特质.技能数据库!$E$143</definedName>
    <definedName name="特质描述143">天赋.特质.技能数据库!$E$144</definedName>
    <definedName name="特质描述144">天赋.特质.技能数据库!$E$145</definedName>
    <definedName name="特质描述145">天赋.特质.技能数据库!$E$146</definedName>
    <definedName name="特质描述146">天赋.特质.技能数据库!$E$147</definedName>
    <definedName name="特质描述147">天赋.特质.技能数据库!$E$148</definedName>
    <definedName name="特质描述148">天赋.特质.技能数据库!$E$149</definedName>
    <definedName name="特质描述149">天赋.特质.技能数据库!$E$150</definedName>
    <definedName name="特质描述150">天赋.特质.技能数据库!$E$151</definedName>
    <definedName name="特质描述151">天赋.特质.技能数据库!$E$152</definedName>
    <definedName name="特质描述152">天赋.特质.技能数据库!$E$153</definedName>
    <definedName name="特质描述153">天赋.特质.技能数据库!$E$154</definedName>
    <definedName name="特质描述154">天赋.特质.技能数据库!$E$155</definedName>
    <definedName name="特质描述155">天赋.特质.技能数据库!$E$156</definedName>
    <definedName name="特质描述156">天赋.特质.技能数据库!$E$157</definedName>
    <definedName name="特质描述157">天赋.特质.技能数据库!$E$158</definedName>
    <definedName name="特质描述158">天赋.特质.技能数据库!$E$159</definedName>
    <definedName name="特质描述159">天赋.特质.技能数据库!$E$160</definedName>
    <definedName name="特质描述160">天赋.特质.技能数据库!$E$161</definedName>
    <definedName name="特质描述161">天赋.特质.技能数据库!$E$162</definedName>
    <definedName name="特质描述162">天赋.特质.技能数据库!$E$163</definedName>
    <definedName name="特质描述163">天赋.特质.技能数据库!$E$164</definedName>
    <definedName name="特质描述164">天赋.特质.技能数据库!$E$165</definedName>
    <definedName name="特质描述165">天赋.特质.技能数据库!$E$166</definedName>
    <definedName name="特质描述166">天赋.特质.技能数据库!$E$167</definedName>
    <definedName name="特质描述167">天赋.特质.技能数据库!$E$168</definedName>
    <definedName name="特质描述168">天赋.特质.技能数据库!$E$169</definedName>
    <definedName name="特质描述169">天赋.特质.技能数据库!$E$170</definedName>
    <definedName name="特质描述170">天赋.特质.技能数据库!$E$171</definedName>
    <definedName name="特质描述171">天赋.特质.技能数据库!$E$172</definedName>
    <definedName name="特质描述172">天赋.特质.技能数据库!$E$173</definedName>
    <definedName name="特质效果1">天赋.特质.技能数据库!$G$2</definedName>
    <definedName name="特质效果2">天赋.特质.技能数据库!$G$3</definedName>
    <definedName name="特质效果3">天赋.特质.技能数据库!$G$4</definedName>
    <definedName name="特质效果4">天赋.特质.技能数据库!$G$5</definedName>
    <definedName name="特质效果5">天赋.特质.技能数据库!$G$6</definedName>
    <definedName name="特质效果6">天赋.特质.技能数据库!$G$7</definedName>
    <definedName name="特质效果7">天赋.特质.技能数据库!$G$8</definedName>
    <definedName name="特质效果8">天赋.特质.技能数据库!$G$9</definedName>
    <definedName name="特质效果9">天赋.特质.技能数据库!$G$10</definedName>
    <definedName name="特质效果10">天赋.特质.技能数据库!$G$11</definedName>
    <definedName name="特质效果11">天赋.特质.技能数据库!$G$12</definedName>
    <definedName name="特质效果12">天赋.特质.技能数据库!$G$13</definedName>
    <definedName name="特质效果13">天赋.特质.技能数据库!$G$14</definedName>
    <definedName name="特质效果14">天赋.特质.技能数据库!$G$15</definedName>
    <definedName name="特质效果15">天赋.特质.技能数据库!$G$16</definedName>
    <definedName name="特质效果16">天赋.特质.技能数据库!$G$17</definedName>
    <definedName name="特质效果17">天赋.特质.技能数据库!$G$18</definedName>
    <definedName name="特质效果18">天赋.特质.技能数据库!$G$19</definedName>
    <definedName name="特质效果19">天赋.特质.技能数据库!$G$20</definedName>
    <definedName name="特质效果20">天赋.特质.技能数据库!$G$21</definedName>
    <definedName name="特质效果21">天赋.特质.技能数据库!$G$22</definedName>
    <definedName name="特质效果22">天赋.特质.技能数据库!$G$23</definedName>
    <definedName name="特质效果23">天赋.特质.技能数据库!$G$24</definedName>
    <definedName name="特质效果24">天赋.特质.技能数据库!$G$25</definedName>
    <definedName name="特质效果25">天赋.特质.技能数据库!$G$26</definedName>
    <definedName name="特质效果26">天赋.特质.技能数据库!$G$27</definedName>
    <definedName name="特质效果27">天赋.特质.技能数据库!$G$28</definedName>
    <definedName name="特质效果28">天赋.特质.技能数据库!$G$29</definedName>
    <definedName name="特质效果29">天赋.特质.技能数据库!$G$30</definedName>
    <definedName name="特质效果30">天赋.特质.技能数据库!$G$31</definedName>
    <definedName name="特质效果31">天赋.特质.技能数据库!$G$32</definedName>
    <definedName name="特质效果32">天赋.特质.技能数据库!$G$33</definedName>
    <definedName name="特质效果33">天赋.特质.技能数据库!$G$34</definedName>
    <definedName name="特质效果34">天赋.特质.技能数据库!$G$35</definedName>
    <definedName name="特质效果35">天赋.特质.技能数据库!$G$36</definedName>
    <definedName name="特质效果36">天赋.特质.技能数据库!$G$37</definedName>
    <definedName name="特质效果37">天赋.特质.技能数据库!$G$38</definedName>
    <definedName name="特质效果38">天赋.特质.技能数据库!$G$39</definedName>
    <definedName name="特质效果39">天赋.特质.技能数据库!$G$40</definedName>
    <definedName name="特质效果40">天赋.特质.技能数据库!$G$41</definedName>
    <definedName name="特质效果41">天赋.特质.技能数据库!$G$42</definedName>
    <definedName name="特质效果42">天赋.特质.技能数据库!$G$43</definedName>
    <definedName name="特质效果43">天赋.特质.技能数据库!$G$44</definedName>
    <definedName name="特质效果44">天赋.特质.技能数据库!$G$45</definedName>
    <definedName name="特质效果45">天赋.特质.技能数据库!$G$46</definedName>
    <definedName name="特质效果46">天赋.特质.技能数据库!$G$47</definedName>
    <definedName name="特质效果47">天赋.特质.技能数据库!$G$48</definedName>
    <definedName name="特质效果48">天赋.特质.技能数据库!$G$49</definedName>
    <definedName name="特质效果49">天赋.特质.技能数据库!$G$50</definedName>
    <definedName name="特质效果50">天赋.特质.技能数据库!$G$51</definedName>
    <definedName name="特质效果51">天赋.特质.技能数据库!$G$52</definedName>
    <definedName name="特质效果52">天赋.特质.技能数据库!$G$53</definedName>
    <definedName name="特质效果53">天赋.特质.技能数据库!$G$54</definedName>
    <definedName name="特质效果54">天赋.特质.技能数据库!$G$55</definedName>
    <definedName name="特质效果55">天赋.特质.技能数据库!$G$56</definedName>
    <definedName name="特质效果56">天赋.特质.技能数据库!$G$57</definedName>
    <definedName name="特质效果57">天赋.特质.技能数据库!$G$58</definedName>
    <definedName name="特质效果58">天赋.特质.技能数据库!$G$59</definedName>
    <definedName name="特质效果59">天赋.特质.技能数据库!$G$60</definedName>
    <definedName name="特质效果60">天赋.特质.技能数据库!$G$61</definedName>
    <definedName name="特质效果61">天赋.特质.技能数据库!$G$62</definedName>
    <definedName name="特质效果62">天赋.特质.技能数据库!$G$63</definedName>
    <definedName name="特质效果63">天赋.特质.技能数据库!$G$64</definedName>
    <definedName name="特质效果64">天赋.特质.技能数据库!$G$65</definedName>
    <definedName name="特质效果65">天赋.特质.技能数据库!$G$66</definedName>
    <definedName name="特质效果66">天赋.特质.技能数据库!$G$67</definedName>
    <definedName name="特质效果67">天赋.特质.技能数据库!$G$68</definedName>
    <definedName name="特质效果68">天赋.特质.技能数据库!$G$69</definedName>
    <definedName name="特质效果69">天赋.特质.技能数据库!$G$70</definedName>
    <definedName name="特质效果70">天赋.特质.技能数据库!$G$71</definedName>
    <definedName name="特质效果71">天赋.特质.技能数据库!$G$72</definedName>
    <definedName name="特质效果72">天赋.特质.技能数据库!$G$73</definedName>
    <definedName name="特质效果73">天赋.特质.技能数据库!$G$74</definedName>
    <definedName name="特质效果74">天赋.特质.技能数据库!$G$75</definedName>
    <definedName name="特质效果75">天赋.特质.技能数据库!$G$76</definedName>
    <definedName name="特质效果76">天赋.特质.技能数据库!$G$77</definedName>
    <definedName name="特质效果77">天赋.特质.技能数据库!$G$78</definedName>
    <definedName name="特质效果78">天赋.特质.技能数据库!$G$79</definedName>
    <definedName name="特质效果79">天赋.特质.技能数据库!$G$80</definedName>
    <definedName name="特质效果80">天赋.特质.技能数据库!$G$81</definedName>
    <definedName name="特质效果81">天赋.特质.技能数据库!$G$82</definedName>
    <definedName name="特质效果82">天赋.特质.技能数据库!$G$83</definedName>
    <definedName name="特质效果83">天赋.特质.技能数据库!$G$84</definedName>
    <definedName name="特质效果84">天赋.特质.技能数据库!$G$85</definedName>
    <definedName name="特质效果85">天赋.特质.技能数据库!$G$86</definedName>
    <definedName name="特质效果86">天赋.特质.技能数据库!$G$87</definedName>
    <definedName name="特质效果87">天赋.特质.技能数据库!$G$88</definedName>
    <definedName name="特质效果88">天赋.特质.技能数据库!$G$89</definedName>
    <definedName name="特质效果89">天赋.特质.技能数据库!$G$90</definedName>
    <definedName name="特质效果90">天赋.特质.技能数据库!$G$91</definedName>
    <definedName name="特质效果91">天赋.特质.技能数据库!$G$92</definedName>
    <definedName name="特质效果92">天赋.特质.技能数据库!$G$93</definedName>
    <definedName name="特质效果93">天赋.特质.技能数据库!$G$94</definedName>
    <definedName name="特质效果94">天赋.特质.技能数据库!$G$95</definedName>
    <definedName name="特质效果95">天赋.特质.技能数据库!$G$96</definedName>
    <definedName name="特质效果96">天赋.特质.技能数据库!$G$97</definedName>
    <definedName name="特质效果97">天赋.特质.技能数据库!$G$98</definedName>
    <definedName name="特质效果98">天赋.特质.技能数据库!$G$99</definedName>
    <definedName name="特质效果99">天赋.特质.技能数据库!$G$100</definedName>
    <definedName name="特质效果100">天赋.特质.技能数据库!$G$101</definedName>
    <definedName name="特质效果101">天赋.特质.技能数据库!$G$102</definedName>
    <definedName name="特质效果102">天赋.特质.技能数据库!$G$103</definedName>
    <definedName name="特质效果103">天赋.特质.技能数据库!$G$104</definedName>
    <definedName name="特质效果104">天赋.特质.技能数据库!$G$105</definedName>
    <definedName name="特质效果105">天赋.特质.技能数据库!$G$106</definedName>
    <definedName name="特质效果106">天赋.特质.技能数据库!$G$107</definedName>
    <definedName name="特质效果107">天赋.特质.技能数据库!$G$108</definedName>
    <definedName name="特质效果108">天赋.特质.技能数据库!$G$109</definedName>
    <definedName name="特质效果109">天赋.特质.技能数据库!$G$110</definedName>
    <definedName name="特质效果110">天赋.特质.技能数据库!$G$111</definedName>
    <definedName name="特质效果111">天赋.特质.技能数据库!$G$112</definedName>
    <definedName name="特质效果112">天赋.特质.技能数据库!$G$113</definedName>
    <definedName name="特质效果113">天赋.特质.技能数据库!$G$114</definedName>
    <definedName name="特质效果114">天赋.特质.技能数据库!$G$115</definedName>
    <definedName name="特质效果115">天赋.特质.技能数据库!$G$116</definedName>
    <definedName name="特质效果116">天赋.特质.技能数据库!$G$117</definedName>
    <definedName name="特质效果117">天赋.特质.技能数据库!$G$118</definedName>
    <definedName name="特质效果118">天赋.特质.技能数据库!$G$119</definedName>
    <definedName name="特质效果119">天赋.特质.技能数据库!$G$120</definedName>
    <definedName name="特质效果120">天赋.特质.技能数据库!$G$121</definedName>
    <definedName name="特质效果121">天赋.特质.技能数据库!$G$122</definedName>
    <definedName name="特质效果122">天赋.特质.技能数据库!$G$123</definedName>
    <definedName name="特质效果123">天赋.特质.技能数据库!$G$124</definedName>
    <definedName name="特质效果124">天赋.特质.技能数据库!$G$125</definedName>
    <definedName name="特质效果125">天赋.特质.技能数据库!$G$126</definedName>
    <definedName name="特质效果126">天赋.特质.技能数据库!$G$127</definedName>
    <definedName name="特质效果127">天赋.特质.技能数据库!$G$128</definedName>
    <definedName name="特质效果128">天赋.特质.技能数据库!$G$129</definedName>
    <definedName name="特质效果129">天赋.特质.技能数据库!$G$130</definedName>
    <definedName name="特质效果130">天赋.特质.技能数据库!$G$131</definedName>
    <definedName name="特质效果131">天赋.特质.技能数据库!$G$132</definedName>
    <definedName name="特质效果132">天赋.特质.技能数据库!$G$133</definedName>
    <definedName name="特质效果133">天赋.特质.技能数据库!$G$134</definedName>
    <definedName name="特质效果134">天赋.特质.技能数据库!$G$135</definedName>
    <definedName name="特质效果135">天赋.特质.技能数据库!$G$136</definedName>
    <definedName name="特质效果136">天赋.特质.技能数据库!$G$137</definedName>
    <definedName name="特质效果137">天赋.特质.技能数据库!$G$138</definedName>
    <definedName name="特质效果138">天赋.特质.技能数据库!$G$139</definedName>
    <definedName name="特质效果139">天赋.特质.技能数据库!$G$140</definedName>
    <definedName name="特质效果140">天赋.特质.技能数据库!$G$141</definedName>
    <definedName name="特质效果141">天赋.特质.技能数据库!$G$142</definedName>
    <definedName name="特质效果142">天赋.特质.技能数据库!$G$143</definedName>
    <definedName name="特质效果143">天赋.特质.技能数据库!$G$144</definedName>
    <definedName name="特质效果144">天赋.特质.技能数据库!$G$145</definedName>
    <definedName name="特质效果145">天赋.特质.技能数据库!$G$146</definedName>
    <definedName name="特质效果146">天赋.特质.技能数据库!$G$147</definedName>
    <definedName name="特质效果147">天赋.特质.技能数据库!$G$148</definedName>
    <definedName name="特质效果148">天赋.特质.技能数据库!$G$149</definedName>
    <definedName name="特质效果149">天赋.特质.技能数据库!$G$150</definedName>
    <definedName name="特质效果150">天赋.特质.技能数据库!$G$151</definedName>
    <definedName name="特质效果151">天赋.特质.技能数据库!$G$152</definedName>
    <definedName name="特质效果152">天赋.特质.技能数据库!$G$153</definedName>
    <definedName name="特质效果153">天赋.特质.技能数据库!$G$154</definedName>
    <definedName name="特质效果154">天赋.特质.技能数据库!$G$155</definedName>
    <definedName name="特质效果155">天赋.特质.技能数据库!$G$156</definedName>
    <definedName name="特质效果156">天赋.特质.技能数据库!$G$157</definedName>
    <definedName name="特质效果157">天赋.特质.技能数据库!$G$158</definedName>
    <definedName name="特质效果158">天赋.特质.技能数据库!$G$159</definedName>
    <definedName name="特质效果159">天赋.特质.技能数据库!$G$160</definedName>
    <definedName name="特质效果160">天赋.特质.技能数据库!$G$161</definedName>
    <definedName name="特质效果161">天赋.特质.技能数据库!$G$162</definedName>
    <definedName name="特质效果162">天赋.特质.技能数据库!$G$163</definedName>
    <definedName name="特质效果163">天赋.特质.技能数据库!$G$164</definedName>
    <definedName name="特质效果164">天赋.特质.技能数据库!$G$165</definedName>
    <definedName name="特质效果165">天赋.特质.技能数据库!$G$166</definedName>
    <definedName name="特质效果166">天赋.特质.技能数据库!$G$167</definedName>
    <definedName name="特质效果167">天赋.特质.技能数据库!$G$168</definedName>
    <definedName name="特质效果168">天赋.特质.技能数据库!$G$169</definedName>
    <definedName name="特质效果169">天赋.特质.技能数据库!$G$170</definedName>
    <definedName name="特质效果170">天赋.特质.技能数据库!$G$171</definedName>
    <definedName name="特质效果171">天赋.特质.技能数据库!$G$172</definedName>
    <definedName name="特质效果172">天赋.特质.技能数据库!$G$173</definedName>
    <definedName name="特质消耗1">天赋.特质.技能数据库!$I$2</definedName>
    <definedName name="特质消耗2">天赋.特质.技能数据库!$I$3</definedName>
    <definedName name="特质消耗3">天赋.特质.技能数据库!$I$4</definedName>
    <definedName name="特质消耗4">天赋.特质.技能数据库!$I$5</definedName>
    <definedName name="特质消耗5">天赋.特质.技能数据库!$I$6</definedName>
    <definedName name="特质消耗6">天赋.特质.技能数据库!$I$7</definedName>
    <definedName name="特质消耗7">天赋.特质.技能数据库!$I$8</definedName>
    <definedName name="特质消耗8">天赋.特质.技能数据库!$I$9</definedName>
    <definedName name="特质消耗9">天赋.特质.技能数据库!$I$10</definedName>
    <definedName name="特质消耗10">天赋.特质.技能数据库!$I$11</definedName>
    <definedName name="特质消耗11">天赋.特质.技能数据库!$I$12</definedName>
    <definedName name="特质消耗12">天赋.特质.技能数据库!$I$13</definedName>
    <definedName name="特质消耗13">天赋.特质.技能数据库!$I$14</definedName>
    <definedName name="特质消耗14">天赋.特质.技能数据库!$I$15</definedName>
    <definedName name="特质消耗15">天赋.特质.技能数据库!$I$16</definedName>
    <definedName name="特质消耗16">天赋.特质.技能数据库!$I$17</definedName>
    <definedName name="特质消耗17">天赋.特质.技能数据库!$I$18</definedName>
    <definedName name="特质消耗18">天赋.特质.技能数据库!$I$19</definedName>
    <definedName name="特质消耗19">天赋.特质.技能数据库!$I$20</definedName>
    <definedName name="特质消耗20">天赋.特质.技能数据库!$I$21</definedName>
    <definedName name="特质消耗21">天赋.特质.技能数据库!$I$22</definedName>
    <definedName name="特质消耗22">天赋.特质.技能数据库!$I$23</definedName>
    <definedName name="特质消耗23">天赋.特质.技能数据库!$I$24</definedName>
    <definedName name="特质消耗24">天赋.特质.技能数据库!$I$25</definedName>
    <definedName name="特质消耗25">天赋.特质.技能数据库!$I$26</definedName>
    <definedName name="特质消耗26">天赋.特质.技能数据库!$I$27</definedName>
    <definedName name="特质消耗27">天赋.特质.技能数据库!$I$28</definedName>
    <definedName name="特质消耗28">天赋.特质.技能数据库!$I$29</definedName>
    <definedName name="特质消耗29">天赋.特质.技能数据库!$I$30</definedName>
    <definedName name="特质消耗30">天赋.特质.技能数据库!$I$31</definedName>
    <definedName name="特质消耗31">天赋.特质.技能数据库!$I$32</definedName>
    <definedName name="特质消耗32">天赋.特质.技能数据库!$I$33</definedName>
    <definedName name="特质消耗33">天赋.特质.技能数据库!$I$34</definedName>
    <definedName name="特质消耗34">天赋.特质.技能数据库!$I$35</definedName>
    <definedName name="特质消耗35">天赋.特质.技能数据库!$I$36</definedName>
    <definedName name="特质消耗36">天赋.特质.技能数据库!$I$37</definedName>
    <definedName name="特质消耗37">天赋.特质.技能数据库!$I$38</definedName>
    <definedName name="特质消耗38">天赋.特质.技能数据库!$I$39</definedName>
    <definedName name="特质消耗39">天赋.特质.技能数据库!$I$40</definedName>
    <definedName name="特质消耗40">天赋.特质.技能数据库!$I$41</definedName>
    <definedName name="特质消耗41">天赋.特质.技能数据库!$I$42</definedName>
    <definedName name="特质消耗42">天赋.特质.技能数据库!$I$43</definedName>
    <definedName name="特质消耗43">天赋.特质.技能数据库!$I$44</definedName>
    <definedName name="特质消耗44">天赋.特质.技能数据库!$I$45</definedName>
    <definedName name="特质消耗45">天赋.特质.技能数据库!$I$46</definedName>
    <definedName name="特质消耗46">天赋.特质.技能数据库!$I$47</definedName>
    <definedName name="特质消耗47">天赋.特质.技能数据库!$I$48</definedName>
    <definedName name="特质消耗48">天赋.特质.技能数据库!$I$49</definedName>
    <definedName name="特质消耗49">天赋.特质.技能数据库!$I$50</definedName>
    <definedName name="特质消耗50">天赋.特质.技能数据库!$I$51</definedName>
    <definedName name="特质消耗51">天赋.特质.技能数据库!$I$52</definedName>
    <definedName name="特质消耗52">天赋.特质.技能数据库!$I$53</definedName>
    <definedName name="特质消耗53">天赋.特质.技能数据库!$I$54</definedName>
    <definedName name="特质消耗54">天赋.特质.技能数据库!$I$55</definedName>
    <definedName name="特质消耗55">天赋.特质.技能数据库!$I$56</definedName>
    <definedName name="特质消耗56">天赋.特质.技能数据库!$I$57</definedName>
    <definedName name="特质消耗57">天赋.特质.技能数据库!$I$58</definedName>
    <definedName name="特质消耗58">天赋.特质.技能数据库!$I$59</definedName>
    <definedName name="特质消耗59">天赋.特质.技能数据库!$I$60</definedName>
    <definedName name="特质消耗60">天赋.特质.技能数据库!$I$61</definedName>
    <definedName name="特质消耗61">天赋.特质.技能数据库!$I$62</definedName>
    <definedName name="特质消耗62">天赋.特质.技能数据库!$I$63</definedName>
    <definedName name="特质消耗63">天赋.特质.技能数据库!$I$64</definedName>
    <definedName name="特质消耗64">天赋.特质.技能数据库!$I$65</definedName>
    <definedName name="特质消耗65">天赋.特质.技能数据库!$I$66</definedName>
    <definedName name="特质消耗66">天赋.特质.技能数据库!$I$67</definedName>
    <definedName name="特质消耗67">天赋.特质.技能数据库!$I$68</definedName>
    <definedName name="特质消耗68">天赋.特质.技能数据库!$I$69</definedName>
    <definedName name="特质消耗69">天赋.特质.技能数据库!$I$70</definedName>
    <definedName name="特质消耗70">天赋.特质.技能数据库!$I$71</definedName>
    <definedName name="特质消耗71">天赋.特质.技能数据库!$I$72</definedName>
    <definedName name="特质消耗72">天赋.特质.技能数据库!$I$73</definedName>
    <definedName name="特质消耗73">天赋.特质.技能数据库!$I$74</definedName>
    <definedName name="特质消耗74">天赋.特质.技能数据库!$I$75</definedName>
    <definedName name="特质消耗75">天赋.特质.技能数据库!$I$76</definedName>
    <definedName name="特质消耗76">天赋.特质.技能数据库!$I$77</definedName>
    <definedName name="特质消耗77">天赋.特质.技能数据库!$I$78</definedName>
    <definedName name="特质消耗78">天赋.特质.技能数据库!$I$79</definedName>
    <definedName name="特质消耗79">天赋.特质.技能数据库!$I$80</definedName>
    <definedName name="特质消耗80">天赋.特质.技能数据库!$I$81</definedName>
    <definedName name="特质消耗81">天赋.特质.技能数据库!$I$82</definedName>
    <definedName name="特质消耗82">天赋.特质.技能数据库!$I$83</definedName>
    <definedName name="特质消耗83">天赋.特质.技能数据库!$I$84</definedName>
    <definedName name="特质消耗84">天赋.特质.技能数据库!$I$85</definedName>
    <definedName name="特质消耗85">天赋.特质.技能数据库!$I$86</definedName>
    <definedName name="特质消耗86">天赋.特质.技能数据库!$I$87</definedName>
    <definedName name="特质消耗87">天赋.特质.技能数据库!$I$88</definedName>
    <definedName name="特质消耗88">天赋.特质.技能数据库!$I$89</definedName>
    <definedName name="特质消耗89">天赋.特质.技能数据库!$I$90</definedName>
    <definedName name="特质消耗90">天赋.特质.技能数据库!$I$91</definedName>
    <definedName name="特质消耗91">天赋.特质.技能数据库!$I$92</definedName>
    <definedName name="特质消耗92">天赋.特质.技能数据库!$I$93</definedName>
    <definedName name="特质消耗93">天赋.特质.技能数据库!$I$94</definedName>
    <definedName name="特质消耗94">天赋.特质.技能数据库!$I$95</definedName>
    <definedName name="特质消耗95">天赋.特质.技能数据库!$I$96</definedName>
    <definedName name="特质消耗96">天赋.特质.技能数据库!$I$97</definedName>
    <definedName name="特质消耗97">天赋.特质.技能数据库!$I$98</definedName>
    <definedName name="特质消耗98">天赋.特质.技能数据库!$I$99</definedName>
    <definedName name="特质消耗99">天赋.特质.技能数据库!$I$100</definedName>
    <definedName name="特质消耗100">天赋.特质.技能数据库!$I$101</definedName>
    <definedName name="特质消耗101">天赋.特质.技能数据库!$I$102</definedName>
    <definedName name="特质消耗102">天赋.特质.技能数据库!$I$103</definedName>
    <definedName name="特质消耗103">天赋.特质.技能数据库!$I$104</definedName>
    <definedName name="特质消耗104">天赋.特质.技能数据库!$I$105</definedName>
    <definedName name="特质消耗105">天赋.特质.技能数据库!$I$106</definedName>
    <definedName name="特质消耗106">天赋.特质.技能数据库!$I$107</definedName>
    <definedName name="特质消耗107">天赋.特质.技能数据库!$I$108</definedName>
    <definedName name="特质消耗108">天赋.特质.技能数据库!$I$109</definedName>
    <definedName name="特质消耗109">天赋.特质.技能数据库!$I$110</definedName>
    <definedName name="特质消耗110">天赋.特质.技能数据库!$I$111</definedName>
    <definedName name="特质消耗111">天赋.特质.技能数据库!$I$112</definedName>
    <definedName name="特质消耗112">天赋.特质.技能数据库!$I$113</definedName>
    <definedName name="特质消耗113">天赋.特质.技能数据库!$I$114</definedName>
    <definedName name="特质消耗114">天赋.特质.技能数据库!$I$115</definedName>
    <definedName name="特质消耗115">天赋.特质.技能数据库!$I$116</definedName>
    <definedName name="特质消耗116">天赋.特质.技能数据库!$I$117</definedName>
    <definedName name="特质消耗117">天赋.特质.技能数据库!$I$118</definedName>
    <definedName name="特质消耗118">天赋.特质.技能数据库!$I$119</definedName>
    <definedName name="特质消耗119">天赋.特质.技能数据库!$I$120</definedName>
    <definedName name="特质消耗120">天赋.特质.技能数据库!$I$121</definedName>
    <definedName name="特质消耗121">天赋.特质.技能数据库!$I$122</definedName>
    <definedName name="特质消耗122">天赋.特质.技能数据库!$I$123</definedName>
    <definedName name="特质消耗123">天赋.特质.技能数据库!$I$124</definedName>
    <definedName name="特质消耗124">天赋.特质.技能数据库!$I$125</definedName>
    <definedName name="特质消耗125">天赋.特质.技能数据库!$I$126</definedName>
    <definedName name="特质消耗126">天赋.特质.技能数据库!$I$127</definedName>
    <definedName name="特质消耗127">天赋.特质.技能数据库!$I$128</definedName>
    <definedName name="特质消耗128">天赋.特质.技能数据库!$I$129</definedName>
    <definedName name="特质消耗129">天赋.特质.技能数据库!$I$130</definedName>
    <definedName name="特质消耗130">天赋.特质.技能数据库!$I$131</definedName>
    <definedName name="特质消耗131">天赋.特质.技能数据库!$I$132</definedName>
    <definedName name="特质消耗132">天赋.特质.技能数据库!$I$133</definedName>
    <definedName name="特质消耗133">天赋.特质.技能数据库!$I$134</definedName>
    <definedName name="特质消耗134">天赋.特质.技能数据库!$I$135</definedName>
    <definedName name="特质消耗135">天赋.特质.技能数据库!$I$136</definedName>
    <definedName name="特质消耗136">天赋.特质.技能数据库!$I$137</definedName>
    <definedName name="特质消耗137">天赋.特质.技能数据库!$I$138</definedName>
    <definedName name="特质消耗138">天赋.特质.技能数据库!$I$139</definedName>
    <definedName name="特质消耗139">天赋.特质.技能数据库!$I$140</definedName>
    <definedName name="特质消耗140">天赋.特质.技能数据库!$I$141</definedName>
    <definedName name="特质消耗141">天赋.特质.技能数据库!$I$142</definedName>
    <definedName name="特质消耗142">天赋.特质.技能数据库!$I$143</definedName>
    <definedName name="特质消耗143">天赋.特质.技能数据库!$I$144</definedName>
    <definedName name="特质消耗144">天赋.特质.技能数据库!$I$145</definedName>
    <definedName name="特质消耗145">天赋.特质.技能数据库!$I$146</definedName>
    <definedName name="特质消耗146">天赋.特质.技能数据库!$I$147</definedName>
    <definedName name="特质消耗147">天赋.特质.技能数据库!$I$148</definedName>
    <definedName name="特质消耗148">天赋.特质.技能数据库!$I$149</definedName>
    <definedName name="特质消耗149">天赋.特质.技能数据库!$I$150</definedName>
    <definedName name="特质消耗150">天赋.特质.技能数据库!$I$151</definedName>
    <definedName name="特质消耗151">天赋.特质.技能数据库!$I$152</definedName>
    <definedName name="特质消耗152">天赋.特质.技能数据库!$I$153</definedName>
    <definedName name="特质消耗153">天赋.特质.技能数据库!$I$154</definedName>
    <definedName name="特质消耗154">天赋.特质.技能数据库!$I$155</definedName>
    <definedName name="特质消耗155">天赋.特质.技能数据库!$I$156</definedName>
    <definedName name="特质消耗156">天赋.特质.技能数据库!$I$157</definedName>
    <definedName name="特质消耗157">天赋.特质.技能数据库!$I$158</definedName>
    <definedName name="特质消耗158">天赋.特质.技能数据库!$I$159</definedName>
    <definedName name="特质消耗159">天赋.特质.技能数据库!$I$160</definedName>
    <definedName name="特质消耗160">天赋.特质.技能数据库!$I$161</definedName>
    <definedName name="特质消耗161">天赋.特质.技能数据库!$I$162</definedName>
    <definedName name="特质消耗162">天赋.特质.技能数据库!$I$163</definedName>
    <definedName name="特质消耗163">天赋.特质.技能数据库!$I$164</definedName>
    <definedName name="特质消耗164">天赋.特质.技能数据库!$I$165</definedName>
    <definedName name="特质消耗165">天赋.特质.技能数据库!$I$166</definedName>
    <definedName name="特质消耗166">天赋.特质.技能数据库!$I$167</definedName>
    <definedName name="特质消耗167">天赋.特质.技能数据库!$I$168</definedName>
    <definedName name="特质消耗168">天赋.特质.技能数据库!$I$169</definedName>
    <definedName name="特质消耗169">天赋.特质.技能数据库!$I$170</definedName>
    <definedName name="特质消耗170">天赋.特质.技能数据库!$I$171</definedName>
    <definedName name="特质消耗171">天赋.特质.技能数据库!$I$172</definedName>
    <definedName name="特质消耗172">天赋.特质.技能数据库!$I$173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65FCD58497EF437FA699165EA403C4BB"/>
        <xdr:cNvPicPr>
          <a:picLocks noChangeAspect="1"/>
        </xdr:cNvPicPr>
      </xdr:nvPicPr>
      <xdr:blipFill>
        <a:blip r:embed="rId1" r:link="rId2"/>
        <a:stretch>
          <a:fillRect/>
        </a:stretch>
      </xdr:blipFill>
      <xdr:spPr>
        <a:xfrm>
          <a:off x="53340" y="3340100"/>
          <a:ext cx="1159510" cy="1161415"/>
        </a:xfrm>
        <a:prstGeom prst="rect">
          <a:avLst/>
        </a:prstGeom>
        <a:noFill/>
        <a:ln>
          <a:noFill/>
        </a:ln>
      </xdr:spPr>
    </xdr:pic>
  </etc:cellImage>
  <etc:cellImage>
    <xdr:pic>
      <xdr:nvPicPr>
        <xdr:cNvPr id="8" name="ID_9E0615141E544072985A467390B07B49"/>
        <xdr:cNvPicPr>
          <a:picLocks noChangeAspect="1"/>
        </xdr:cNvPicPr>
      </xdr:nvPicPr>
      <xdr:blipFill>
        <a:blip r:embed="rId3" r:link="rId2"/>
        <a:stretch>
          <a:fillRect/>
        </a:stretch>
      </xdr:blipFill>
      <xdr:spPr>
        <a:xfrm>
          <a:off x="106680" y="2153920"/>
          <a:ext cx="990600" cy="990600"/>
        </a:xfrm>
        <a:prstGeom prst="rect">
          <a:avLst/>
        </a:prstGeom>
        <a:noFill/>
        <a:ln>
          <a:noFill/>
        </a:ln>
      </xdr:spPr>
    </xdr:pic>
  </etc:cellImage>
  <etc:cellImage>
    <xdr:pic>
      <xdr:nvPicPr>
        <xdr:cNvPr id="9" name="ID_F24032A0ABB24BAD95DE4231078C89A4"/>
        <xdr:cNvPicPr>
          <a:picLocks noChangeAspect="1"/>
        </xdr:cNvPicPr>
      </xdr:nvPicPr>
      <xdr:blipFill>
        <a:blip r:embed="rId4" r:link="rId2"/>
        <a:stretch>
          <a:fillRect/>
        </a:stretch>
      </xdr:blipFill>
      <xdr:spPr>
        <a:xfrm>
          <a:off x="365760" y="1059180"/>
          <a:ext cx="693420" cy="693420"/>
        </a:xfrm>
        <a:prstGeom prst="rect">
          <a:avLst/>
        </a:prstGeom>
        <a:noFill/>
        <a:ln>
          <a:noFill/>
        </a:ln>
      </xdr:spPr>
    </xdr:pic>
  </etc:cellImage>
  <etc:cellImage>
    <xdr:pic>
      <xdr:nvPicPr>
        <xdr:cNvPr id="10" name="ID_316C90CB662848898D225F2BA6B737CC"/>
        <xdr:cNvPicPr>
          <a:picLocks noChangeAspect="1"/>
        </xdr:cNvPicPr>
      </xdr:nvPicPr>
      <xdr:blipFill>
        <a:blip r:embed="rId5" r:link="rId2"/>
        <a:stretch>
          <a:fillRect/>
        </a:stretch>
      </xdr:blipFill>
      <xdr:spPr>
        <a:xfrm>
          <a:off x="2692400" y="1036320"/>
          <a:ext cx="739140" cy="739140"/>
        </a:xfrm>
        <a:prstGeom prst="rect">
          <a:avLst/>
        </a:prstGeom>
        <a:noFill/>
        <a:ln>
          <a:noFill/>
        </a:ln>
      </xdr:spPr>
    </xdr:pic>
  </etc:cellImage>
  <etc:cellImage>
    <xdr:pic>
      <xdr:nvPicPr>
        <xdr:cNvPr id="11" name="ID_256465A6DA5D45AAA99BC6A000B2D0A1"/>
        <xdr:cNvPicPr>
          <a:picLocks noChangeAspect="1"/>
        </xdr:cNvPicPr>
      </xdr:nvPicPr>
      <xdr:blipFill>
        <a:blip r:embed="rId6" r:link="rId2"/>
        <a:stretch>
          <a:fillRect/>
        </a:stretch>
      </xdr:blipFill>
      <xdr:spPr>
        <a:xfrm>
          <a:off x="2504440" y="2192020"/>
          <a:ext cx="990600" cy="990600"/>
        </a:xfrm>
        <a:prstGeom prst="rect">
          <a:avLst/>
        </a:prstGeom>
        <a:noFill/>
        <a:ln>
          <a:noFill/>
        </a:ln>
      </xdr:spPr>
    </xdr:pic>
  </etc:cellImage>
  <etc:cellImage>
    <xdr:pic>
      <xdr:nvPicPr>
        <xdr:cNvPr id="12" name="ID_B4EB322AA68242E1B2447C8B8A70DCEA"/>
        <xdr:cNvPicPr>
          <a:picLocks noChangeAspect="1"/>
        </xdr:cNvPicPr>
      </xdr:nvPicPr>
      <xdr:blipFill>
        <a:blip r:embed="rId7" r:link="rId2"/>
        <a:stretch>
          <a:fillRect/>
        </a:stretch>
      </xdr:blipFill>
      <xdr:spPr>
        <a:xfrm>
          <a:off x="2452370" y="3422650"/>
          <a:ext cx="1098550" cy="1093470"/>
        </a:xfrm>
        <a:prstGeom prst="rect">
          <a:avLst/>
        </a:prstGeom>
        <a:noFill/>
        <a:ln>
          <a:noFill/>
        </a:ln>
      </xdr:spPr>
    </xdr:pic>
  </etc:cellImage>
  <etc:cellImage>
    <xdr:pic>
      <xdr:nvPicPr>
        <xdr:cNvPr id="2" name="ID_BA663A558C624BFBB40300DD5F36B5A5" descr="upload_post_object_v2_929796401"/>
        <xdr:cNvPicPr/>
      </xdr:nvPicPr>
      <xdr:blipFill>
        <a:blip r:embed="rId8"/>
        <a:stretch>
          <a:fillRect/>
        </a:stretch>
      </xdr:blipFill>
      <xdr:spPr>
        <a:xfrm>
          <a:off x="0" y="0"/>
          <a:ext cx="1950720" cy="1264920"/>
        </a:xfrm>
        <a:prstGeom prst="rect">
          <a:avLst/>
        </a:prstGeom>
      </xdr:spPr>
    </xdr:pic>
  </etc:cellImage>
  <etc:cellImage>
    <xdr:pic>
      <xdr:nvPicPr>
        <xdr:cNvPr id="4" name="ID_A93FE7EE100F48948D7BCFF440D7B5BC" descr="upload_post_object_v2_4002272626"/>
        <xdr:cNvPicPr/>
      </xdr:nvPicPr>
      <xdr:blipFill>
        <a:blip r:embed="rId9"/>
        <a:stretch>
          <a:fillRect/>
        </a:stretch>
      </xdr:blipFill>
      <xdr:spPr>
        <a:xfrm>
          <a:off x="0" y="0"/>
          <a:ext cx="1950720" cy="1272540"/>
        </a:xfrm>
        <a:prstGeom prst="rect">
          <a:avLst/>
        </a:prstGeom>
      </xdr:spPr>
    </xdr:pic>
  </etc:cellImage>
  <etc:cellImage>
    <xdr:pic>
      <xdr:nvPicPr>
        <xdr:cNvPr id="13" name="ID_425B65ED5B2144EAB89C32A70D1876EA" descr="upload_post_object_v2_1951603844"/>
        <xdr:cNvPicPr/>
      </xdr:nvPicPr>
      <xdr:blipFill>
        <a:blip r:embed="rId10"/>
        <a:stretch>
          <a:fillRect/>
        </a:stretch>
      </xdr:blipFill>
      <xdr:spPr>
        <a:xfrm>
          <a:off x="0" y="0"/>
          <a:ext cx="1950720" cy="1623060"/>
        </a:xfrm>
        <a:prstGeom prst="rect">
          <a:avLst/>
        </a:prstGeom>
      </xdr:spPr>
    </xdr:pic>
  </etc:cellImage>
  <etc:cellImage>
    <xdr:pic>
      <xdr:nvPicPr>
        <xdr:cNvPr id="37" name="ID_A27648123EE64797A59A87ECD7AE0E88" descr="upload_post_object_v2_400937421"/>
        <xdr:cNvPicPr/>
      </xdr:nvPicPr>
      <xdr:blipFill>
        <a:blip r:embed="rId11"/>
        <a:stretch>
          <a:fillRect/>
        </a:stretch>
      </xdr:blipFill>
      <xdr:spPr>
        <a:xfrm>
          <a:off x="0" y="0"/>
          <a:ext cx="914400" cy="914400"/>
        </a:xfrm>
        <a:prstGeom prst="rect">
          <a:avLst/>
        </a:prstGeom>
      </xdr:spPr>
    </xdr:pic>
  </etc:cellImage>
  <etc:cellImage>
    <xdr:pic>
      <xdr:nvPicPr>
        <xdr:cNvPr id="3" name="ID_24B8006D8B31447DB954B3F97BE5472C" descr="upload_post_object_v2_62636748"/>
        <xdr:cNvPicPr/>
      </xdr:nvPicPr>
      <xdr:blipFill>
        <a:blip r:embed="rId12"/>
        <a:stretch>
          <a:fillRect/>
        </a:stretch>
      </xdr:blipFill>
      <xdr:spPr>
        <a:xfrm>
          <a:off x="0" y="0"/>
          <a:ext cx="330200" cy="495300"/>
        </a:xfrm>
        <a:prstGeom prst="rect">
          <a:avLst/>
        </a:prstGeom>
      </xdr:spPr>
    </xdr:pic>
  </etc:cellImage>
  <etc:cellImage>
    <xdr:pic>
      <xdr:nvPicPr>
        <xdr:cNvPr id="6" name="ID_4383669F852E4F94AAD5CEABA729CAAF" descr="upload_post_object_v2_1007184769"/>
        <xdr:cNvPicPr/>
      </xdr:nvPicPr>
      <xdr:blipFill>
        <a:blip r:embed="rId13"/>
        <a:stretch>
          <a:fillRect/>
        </a:stretch>
      </xdr:blipFill>
      <xdr:spPr>
        <a:xfrm>
          <a:off x="0" y="0"/>
          <a:ext cx="330200" cy="165100"/>
        </a:xfrm>
        <a:prstGeom prst="rect">
          <a:avLst/>
        </a:prstGeom>
      </xdr:spPr>
    </xdr:pic>
  </etc:cellImage>
  <etc:cellImage>
    <xdr:pic>
      <xdr:nvPicPr>
        <xdr:cNvPr id="7" name="ID_4A9D6CEFCEC74728B7ADADA2F836EFF5" descr="upload_post_object_v2_431198734"/>
        <xdr:cNvPicPr/>
      </xdr:nvPicPr>
      <xdr:blipFill>
        <a:blip r:embed="rId13"/>
        <a:stretch>
          <a:fillRect/>
        </a:stretch>
      </xdr:blipFill>
      <xdr:spPr>
        <a:xfrm>
          <a:off x="0" y="0"/>
          <a:ext cx="330200" cy="165100"/>
        </a:xfrm>
        <a:prstGeom prst="rect">
          <a:avLst/>
        </a:prstGeom>
      </xdr:spPr>
    </xdr:pic>
  </etc:cellImage>
  <etc:cellImage>
    <xdr:pic>
      <xdr:nvPicPr>
        <xdr:cNvPr id="26" name="ID_52910500F1A84228907C033B8440549C" descr="upload_post_object_v2_3423385868"/>
        <xdr:cNvPicPr/>
      </xdr:nvPicPr>
      <xdr:blipFill>
        <a:blip r:embed="rId13"/>
        <a:stretch>
          <a:fillRect/>
        </a:stretch>
      </xdr:blipFill>
      <xdr:spPr>
        <a:xfrm>
          <a:off x="0" y="0"/>
          <a:ext cx="330200" cy="165100"/>
        </a:xfrm>
        <a:prstGeom prst="rect">
          <a:avLst/>
        </a:prstGeom>
      </xdr:spPr>
    </xdr:pic>
  </etc:cellImage>
  <etc:cellImage>
    <xdr:pic>
      <xdr:nvPicPr>
        <xdr:cNvPr id="36" name="ID_3A4B0B08689E41B09A66E7B2A6D99B65" descr="upload_post_object_v2_1138959515"/>
        <xdr:cNvPicPr/>
      </xdr:nvPicPr>
      <xdr:blipFill>
        <a:blip r:embed="rId13"/>
        <a:stretch>
          <a:fillRect/>
        </a:stretch>
      </xdr:blipFill>
      <xdr:spPr>
        <a:xfrm>
          <a:off x="0" y="0"/>
          <a:ext cx="330200" cy="165100"/>
        </a:xfrm>
        <a:prstGeom prst="rect">
          <a:avLst/>
        </a:prstGeom>
      </xdr:spPr>
    </xdr:pic>
  </etc:cellImage>
  <etc:cellImage>
    <xdr:pic>
      <xdr:nvPicPr>
        <xdr:cNvPr id="38" name="ID_ADB1DCD5768E4474B40F26C3DB75A3D0" descr="upload_post_object_v2_3072865694"/>
        <xdr:cNvPicPr/>
      </xdr:nvPicPr>
      <xdr:blipFill>
        <a:blip r:embed="rId14"/>
        <a:stretch>
          <a:fillRect/>
        </a:stretch>
      </xdr:blipFill>
      <xdr:spPr>
        <a:xfrm>
          <a:off x="0" y="0"/>
          <a:ext cx="660400" cy="495300"/>
        </a:xfrm>
        <a:prstGeom prst="rect">
          <a:avLst/>
        </a:prstGeom>
      </xdr:spPr>
    </xdr:pic>
  </etc:cellImage>
  <etc:cellImage>
    <xdr:pic>
      <xdr:nvPicPr>
        <xdr:cNvPr id="39" name="ID_2BC845A659C64344BF2C62DCAEDC0B72" descr="upload_post_object_v2_2431269068"/>
        <xdr:cNvPicPr/>
      </xdr:nvPicPr>
      <xdr:blipFill>
        <a:blip r:embed="rId14"/>
        <a:stretch>
          <a:fillRect/>
        </a:stretch>
      </xdr:blipFill>
      <xdr:spPr>
        <a:xfrm>
          <a:off x="0" y="0"/>
          <a:ext cx="660400" cy="495300"/>
        </a:xfrm>
        <a:prstGeom prst="rect">
          <a:avLst/>
        </a:prstGeom>
      </xdr:spPr>
    </xdr:pic>
  </etc:cellImage>
  <etc:cellImage>
    <xdr:pic>
      <xdr:nvPicPr>
        <xdr:cNvPr id="40" name="ID_1AAE383C3C174195AECECD5B32C17557" descr="upload_post_object_v2_1234641740"/>
        <xdr:cNvPicPr/>
      </xdr:nvPicPr>
      <xdr:blipFill>
        <a:blip r:embed="rId15"/>
        <a:stretch>
          <a:fillRect/>
        </a:stretch>
      </xdr:blipFill>
      <xdr:spPr>
        <a:xfrm>
          <a:off x="0" y="0"/>
          <a:ext cx="825500" cy="825500"/>
        </a:xfrm>
        <a:prstGeom prst="rect">
          <a:avLst/>
        </a:prstGeom>
      </xdr:spPr>
    </xdr:pic>
  </etc:cellImage>
  <etc:cellImage>
    <xdr:pic>
      <xdr:nvPicPr>
        <xdr:cNvPr id="43" name="ID_2FB619546A2944C291EBF3957FDE2776" descr="upload_post_object_v2_2651836850"/>
        <xdr:cNvPicPr/>
      </xdr:nvPicPr>
      <xdr:blipFill>
        <a:blip r:embed="rId13"/>
        <a:stretch>
          <a:fillRect/>
        </a:stretch>
      </xdr:blipFill>
      <xdr:spPr>
        <a:xfrm>
          <a:off x="0" y="0"/>
          <a:ext cx="330200" cy="165100"/>
        </a:xfrm>
        <a:prstGeom prst="rect">
          <a:avLst/>
        </a:prstGeom>
      </xdr:spPr>
    </xdr:pic>
  </etc:cellImage>
  <etc:cellImage>
    <xdr:pic>
      <xdr:nvPicPr>
        <xdr:cNvPr id="44" name="ID_3597642F8FED46D888F8807B11582304" descr="upload_post_object_v2_1901216796"/>
        <xdr:cNvPicPr/>
      </xdr:nvPicPr>
      <xdr:blipFill>
        <a:blip r:embed="rId16"/>
        <a:stretch>
          <a:fillRect/>
        </a:stretch>
      </xdr:blipFill>
      <xdr:spPr>
        <a:xfrm>
          <a:off x="0" y="0"/>
          <a:ext cx="996950" cy="565150"/>
        </a:xfrm>
        <a:prstGeom prst="rect">
          <a:avLst/>
        </a:prstGeom>
      </xdr:spPr>
    </xdr:pic>
  </etc:cellImage>
  <etc:cellImage>
    <xdr:pic>
      <xdr:nvPicPr>
        <xdr:cNvPr id="45" name="ID_C0C2B1CB4BFC4BDEB3FFD3331D674E7B" descr="upload_post_object_v2_3468267768"/>
        <xdr:cNvPicPr/>
      </xdr:nvPicPr>
      <xdr:blipFill>
        <a:blip r:embed="rId13"/>
        <a:stretch>
          <a:fillRect/>
        </a:stretch>
      </xdr:blipFill>
      <xdr:spPr>
        <a:xfrm>
          <a:off x="0" y="0"/>
          <a:ext cx="330200" cy="165100"/>
        </a:xfrm>
        <a:prstGeom prst="rect">
          <a:avLst/>
        </a:prstGeom>
      </xdr:spPr>
    </xdr:pic>
  </etc:cellImage>
  <etc:cellImage>
    <xdr:pic>
      <xdr:nvPicPr>
        <xdr:cNvPr id="46" name="ID_78A52085924E44D4B46A9FFB3D1216A5" descr="upload_post_object_v2_799474445"/>
        <xdr:cNvPicPr/>
      </xdr:nvPicPr>
      <xdr:blipFill>
        <a:blip r:embed="rId13"/>
        <a:stretch>
          <a:fillRect/>
        </a:stretch>
      </xdr:blipFill>
      <xdr:spPr>
        <a:xfrm>
          <a:off x="0" y="0"/>
          <a:ext cx="330200" cy="165100"/>
        </a:xfrm>
        <a:prstGeom prst="rect">
          <a:avLst/>
        </a:prstGeom>
      </xdr:spPr>
    </xdr:pic>
  </etc:cellImage>
  <etc:cellImage>
    <xdr:pic>
      <xdr:nvPicPr>
        <xdr:cNvPr id="47" name="ID_72E69CFB77F04EFCB61F520C8BA6E728" descr="upload_post_object_v2_4283199742"/>
        <xdr:cNvPicPr/>
      </xdr:nvPicPr>
      <xdr:blipFill>
        <a:blip r:embed="rId17"/>
        <a:stretch>
          <a:fillRect/>
        </a:stretch>
      </xdr:blipFill>
      <xdr:spPr>
        <a:xfrm>
          <a:off x="0" y="0"/>
          <a:ext cx="660400" cy="495300"/>
        </a:xfrm>
        <a:prstGeom prst="rect">
          <a:avLst/>
        </a:prstGeom>
      </xdr:spPr>
    </xdr:pic>
  </etc:cellImage>
  <etc:cellImage>
    <xdr:pic>
      <xdr:nvPicPr>
        <xdr:cNvPr id="48" name="ID_DC1FACA775E44A638A4093C721438612" descr="upload_post_object_v2_1438037981"/>
        <xdr:cNvPicPr/>
      </xdr:nvPicPr>
      <xdr:blipFill>
        <a:blip r:embed="rId13"/>
        <a:stretch>
          <a:fillRect/>
        </a:stretch>
      </xdr:blipFill>
      <xdr:spPr>
        <a:xfrm>
          <a:off x="0" y="0"/>
          <a:ext cx="330200" cy="165100"/>
        </a:xfrm>
        <a:prstGeom prst="rect">
          <a:avLst/>
        </a:prstGeom>
      </xdr:spPr>
    </xdr:pic>
  </etc:cellImage>
  <etc:cellImage>
    <xdr:pic>
      <xdr:nvPicPr>
        <xdr:cNvPr id="49" name="ID_830792E060BC459CABC1255919BA0274" descr="upload_post_object_v2_3325034672"/>
        <xdr:cNvPicPr/>
      </xdr:nvPicPr>
      <xdr:blipFill>
        <a:blip r:embed="rId14"/>
        <a:stretch>
          <a:fillRect/>
        </a:stretch>
      </xdr:blipFill>
      <xdr:spPr>
        <a:xfrm>
          <a:off x="0" y="0"/>
          <a:ext cx="660400" cy="495300"/>
        </a:xfrm>
        <a:prstGeom prst="rect">
          <a:avLst/>
        </a:prstGeom>
      </xdr:spPr>
    </xdr:pic>
  </etc:cellImage>
  <etc:cellImage>
    <xdr:pic>
      <xdr:nvPicPr>
        <xdr:cNvPr id="51" name="ID_35897E01DB4D4CEF8EB5F93DA898214A" descr="upload_post_object_v2_808434129"/>
        <xdr:cNvPicPr/>
      </xdr:nvPicPr>
      <xdr:blipFill>
        <a:blip r:embed="rId14"/>
        <a:stretch>
          <a:fillRect/>
        </a:stretch>
      </xdr:blipFill>
      <xdr:spPr>
        <a:xfrm>
          <a:off x="0" y="0"/>
          <a:ext cx="660400" cy="495300"/>
        </a:xfrm>
        <a:prstGeom prst="rect">
          <a:avLst/>
        </a:prstGeom>
      </xdr:spPr>
    </xdr:pic>
  </etc:cellImage>
  <etc:cellImage>
    <xdr:pic>
      <xdr:nvPicPr>
        <xdr:cNvPr id="28" name="ID_FA5000DDCA5E4D81AB5A9A457C22EDDB"/>
        <xdr:cNvPicPr>
          <a:picLocks noChangeAspect="1"/>
        </xdr:cNvPicPr>
      </xdr:nvPicPr>
      <xdr:blipFill>
        <a:blip r:embed="rId18" r:link="rId2"/>
        <a:stretch>
          <a:fillRect/>
        </a:stretch>
      </xdr:blipFill>
      <xdr:spPr>
        <a:xfrm>
          <a:off x="307975" y="6758305"/>
          <a:ext cx="202565" cy="186055"/>
        </a:xfrm>
        <a:prstGeom prst="rect">
          <a:avLst/>
        </a:prstGeom>
        <a:noFill/>
        <a:ln>
          <a:noFill/>
        </a:ln>
      </xdr:spPr>
    </xdr:pic>
  </etc:cellImage>
  <etc:cellImage>
    <xdr:pic>
      <xdr:nvPicPr>
        <xdr:cNvPr id="33" name="ID_131FF3363ED047DEB11CFC8572794CC4"/>
        <xdr:cNvPicPr>
          <a:picLocks noChangeAspect="1"/>
        </xdr:cNvPicPr>
      </xdr:nvPicPr>
      <xdr:blipFill>
        <a:blip r:embed="rId18" r:link="rId2"/>
        <a:stretch>
          <a:fillRect/>
        </a:stretch>
      </xdr:blipFill>
      <xdr:spPr>
        <a:xfrm>
          <a:off x="2290445" y="6753225"/>
          <a:ext cx="202565" cy="186055"/>
        </a:xfrm>
        <a:prstGeom prst="rect">
          <a:avLst/>
        </a:prstGeom>
        <a:noFill/>
        <a:ln>
          <a:noFill/>
        </a:ln>
      </xdr:spPr>
    </xdr:pic>
  </etc:cellImage>
  <etc:cellImage>
    <xdr:pic>
      <xdr:nvPicPr>
        <xdr:cNvPr id="63" name="ID_E9478C60C9034E3B8918B6E771168926"/>
        <xdr:cNvPicPr>
          <a:picLocks noChangeAspect="1"/>
        </xdr:cNvPicPr>
      </xdr:nvPicPr>
      <xdr:blipFill>
        <a:blip r:embed="rId18" r:link="rId2"/>
        <a:stretch>
          <a:fillRect/>
        </a:stretch>
      </xdr:blipFill>
      <xdr:spPr>
        <a:xfrm>
          <a:off x="4304030" y="6753225"/>
          <a:ext cx="202565" cy="186055"/>
        </a:xfrm>
        <a:prstGeom prst="rect">
          <a:avLst/>
        </a:prstGeom>
        <a:noFill/>
        <a:ln>
          <a:noFill/>
        </a:ln>
      </xdr:spPr>
    </xdr:pic>
  </etc:cellImage>
  <etc:cellImage>
    <xdr:pic>
      <xdr:nvPicPr>
        <xdr:cNvPr id="19" name="ID_4914E1D0AB40469A9DE49DBBA770FF55" descr="upload_post_object_v2_2109917646"/>
        <xdr:cNvPicPr>
          <a:picLocks noChangeAspect="1"/>
        </xdr:cNvPicPr>
      </xdr:nvPicPr>
      <xdr:blipFill>
        <a:blip r:embed="rId19"/>
        <a:stretch>
          <a:fillRect/>
        </a:stretch>
      </xdr:blipFill>
      <xdr:spPr>
        <a:xfrm>
          <a:off x="734060" y="10767060"/>
          <a:ext cx="250825" cy="178435"/>
        </a:xfrm>
        <a:prstGeom prst="rect">
          <a:avLst/>
        </a:prstGeom>
      </xdr:spPr>
    </xdr:pic>
  </etc:cellImage>
  <etc:cellImage>
    <xdr:pic>
      <xdr:nvPicPr>
        <xdr:cNvPr id="20" name="ID_16CED466236143CDABFFF99FF95D7272" descr="upload_post_object_v2_1662843099"/>
        <xdr:cNvPicPr>
          <a:picLocks noChangeAspect="1"/>
        </xdr:cNvPicPr>
      </xdr:nvPicPr>
      <xdr:blipFill>
        <a:blip r:embed="rId20"/>
        <a:stretch>
          <a:fillRect/>
        </a:stretch>
      </xdr:blipFill>
      <xdr:spPr>
        <a:xfrm>
          <a:off x="751205" y="11717655"/>
          <a:ext cx="206375" cy="179705"/>
        </a:xfrm>
        <a:prstGeom prst="rect">
          <a:avLst/>
        </a:prstGeom>
      </xdr:spPr>
    </xdr:pic>
  </etc:cellImage>
  <etc:cellImage>
    <xdr:pic>
      <xdr:nvPicPr>
        <xdr:cNvPr id="21" name="ID_B113DAA28B114FE2A26845A0B845A902" descr="图标_信用"/>
        <xdr:cNvPicPr>
          <a:picLocks noChangeAspect="1"/>
        </xdr:cNvPicPr>
      </xdr:nvPicPr>
      <xdr:blipFill>
        <a:blip r:embed="rId21"/>
        <a:stretch>
          <a:fillRect/>
        </a:stretch>
      </xdr:blipFill>
      <xdr:spPr>
        <a:xfrm>
          <a:off x="769620" y="13053060"/>
          <a:ext cx="179705" cy="178435"/>
        </a:xfrm>
        <a:prstGeom prst="rect">
          <a:avLst/>
        </a:prstGeom>
      </xdr:spPr>
    </xdr:pic>
  </etc:cellImage>
  <etc:cellImage>
    <xdr:pic>
      <xdr:nvPicPr>
        <xdr:cNvPr id="29" name="ID_D70E66E4768A4EA89893D4EFDCF2DD75" descr="icon_def"/>
        <xdr:cNvPicPr>
          <a:picLocks noChangeAspect="1"/>
        </xdr:cNvPicPr>
      </xdr:nvPicPr>
      <xdr:blipFill>
        <a:blip r:embed="rId22"/>
        <a:stretch>
          <a:fillRect/>
        </a:stretch>
      </xdr:blipFill>
      <xdr:spPr>
        <a:xfrm>
          <a:off x="8698865" y="4590415"/>
          <a:ext cx="182880" cy="181610"/>
        </a:xfrm>
        <a:prstGeom prst="rect">
          <a:avLst/>
        </a:prstGeom>
      </xdr:spPr>
    </xdr:pic>
  </etc:cellImage>
  <etc:cellImage>
    <xdr:pic>
      <xdr:nvPicPr>
        <xdr:cNvPr id="30" name="ID_A1414AFFEBA04A01AEBDBA46D04A6C4F" descr="icon_hp"/>
        <xdr:cNvPicPr>
          <a:picLocks noChangeAspect="1"/>
        </xdr:cNvPicPr>
      </xdr:nvPicPr>
      <xdr:blipFill>
        <a:blip r:embed="rId23"/>
        <a:stretch>
          <a:fillRect/>
        </a:stretch>
      </xdr:blipFill>
      <xdr:spPr>
        <a:xfrm>
          <a:off x="8681720" y="4396740"/>
          <a:ext cx="183515" cy="181610"/>
        </a:xfrm>
        <a:prstGeom prst="rect">
          <a:avLst/>
        </a:prstGeom>
      </xdr:spPr>
    </xdr:pic>
  </etc:cellImage>
  <etc:cellImage>
    <xdr:pic>
      <xdr:nvPicPr>
        <xdr:cNvPr id="78" name="ID_5C660F1396F847E988890FB776B024D1" descr="image_sp_start_bkg"/>
        <xdr:cNvPicPr>
          <a:picLocks noChangeAspect="1"/>
        </xdr:cNvPicPr>
      </xdr:nvPicPr>
      <xdr:blipFill>
        <a:blip r:embed="rId24"/>
        <a:stretch>
          <a:fillRect/>
        </a:stretch>
      </xdr:blipFill>
      <xdr:spPr>
        <a:xfrm>
          <a:off x="10064115" y="5153025"/>
          <a:ext cx="438785" cy="285750"/>
        </a:xfrm>
        <a:prstGeom prst="rect">
          <a:avLst/>
        </a:prstGeom>
      </xdr:spPr>
    </xdr:pic>
  </etc:cellImage>
  <etc:cellImage>
    <xdr:pic>
      <xdr:nvPicPr>
        <xdr:cNvPr id="79" name="ID_E00A0A014CCD414EA97973170AB8230F" descr="image_sp_cost_bkg"/>
        <xdr:cNvPicPr>
          <a:picLocks noChangeAspect="1"/>
        </xdr:cNvPicPr>
      </xdr:nvPicPr>
      <xdr:blipFill>
        <a:blip r:embed="rId25"/>
        <a:stretch>
          <a:fillRect/>
        </a:stretch>
      </xdr:blipFill>
      <xdr:spPr>
        <a:xfrm>
          <a:off x="10353675" y="5153025"/>
          <a:ext cx="438785" cy="285750"/>
        </a:xfrm>
        <a:prstGeom prst="rect">
          <a:avLst/>
        </a:prstGeom>
      </xdr:spPr>
    </xdr:pic>
  </etc:cellImage>
  <etc:cellImage>
    <xdr:pic>
      <xdr:nvPicPr>
        <xdr:cNvPr id="80" name="ID_EEDCD9ECDE6A4497A3362F50D354C631" descr="图片1(1)"/>
        <xdr:cNvPicPr>
          <a:picLocks noChangeAspect="1"/>
        </xdr:cNvPicPr>
      </xdr:nvPicPr>
      <xdr:blipFill>
        <a:blip r:embed="rId26"/>
        <a:stretch>
          <a:fillRect/>
        </a:stretch>
      </xdr:blipFill>
      <xdr:spPr>
        <a:xfrm>
          <a:off x="8676005" y="4973955"/>
          <a:ext cx="184150" cy="179705"/>
        </a:xfrm>
        <a:prstGeom prst="rect">
          <a:avLst/>
        </a:prstGeom>
      </xdr:spPr>
    </xdr:pic>
  </etc:cellImage>
  <etc:cellImage>
    <xdr:pic>
      <xdr:nvPicPr>
        <xdr:cNvPr id="81" name="ID_19C3B78CC006403F8817388CB955E7F9" descr="icon_res"/>
        <xdr:cNvPicPr>
          <a:picLocks noChangeAspect="1"/>
        </xdr:cNvPicPr>
      </xdr:nvPicPr>
      <xdr:blipFill>
        <a:blip r:embed="rId27"/>
        <a:stretch>
          <a:fillRect/>
        </a:stretch>
      </xdr:blipFill>
      <xdr:spPr>
        <a:xfrm>
          <a:off x="8681085" y="4775835"/>
          <a:ext cx="179705" cy="179070"/>
        </a:xfrm>
        <a:prstGeom prst="rect">
          <a:avLst/>
        </a:prstGeom>
      </xdr:spPr>
    </xdr:pic>
  </etc:cellImage>
  <etc:cellImage>
    <xdr:pic>
      <xdr:nvPicPr>
        <xdr:cNvPr id="23" name="ID_9CEB13D933F741199F2CC7014B01EF49"/>
        <xdr:cNvPicPr>
          <a:picLocks noChangeAspect="1"/>
        </xdr:cNvPicPr>
      </xdr:nvPicPr>
      <xdr:blipFill>
        <a:blip r:embed="rId18" r:link="rId2"/>
        <a:stretch>
          <a:fillRect/>
        </a:stretch>
      </xdr:blipFill>
      <xdr:spPr>
        <a:xfrm>
          <a:off x="6377305" y="4781550"/>
          <a:ext cx="175895" cy="161925"/>
        </a:xfrm>
        <a:prstGeom prst="rect">
          <a:avLst/>
        </a:prstGeom>
        <a:noFill/>
        <a:ln>
          <a:noFill/>
        </a:ln>
      </xdr:spPr>
    </xdr:pic>
  </etc:cellImage>
  <etc:cellImage>
    <xdr:pic>
      <xdr:nvPicPr>
        <xdr:cNvPr id="41" name="ID_938E7B6EC6DC43989029F357530E9FF5"/>
        <xdr:cNvPicPr>
          <a:picLocks noChangeAspect="1"/>
        </xdr:cNvPicPr>
      </xdr:nvPicPr>
      <xdr:blipFill>
        <a:blip r:embed="rId28" r:link="rId2"/>
        <a:stretch>
          <a:fillRect/>
        </a:stretch>
      </xdr:blipFill>
      <xdr:spPr>
        <a:xfrm>
          <a:off x="9204960" y="11542395"/>
          <a:ext cx="274320" cy="274320"/>
        </a:xfrm>
        <a:prstGeom prst="rect">
          <a:avLst/>
        </a:prstGeom>
        <a:noFill/>
        <a:ln w="9525">
          <a:noFill/>
        </a:ln>
      </xdr:spPr>
    </xdr:pic>
  </etc:cellImage>
  <etc:cellImage>
    <xdr:pic>
      <xdr:nvPicPr>
        <xdr:cNvPr id="55" name="ID_73B0392D2D594B229D110AC5FC6E2D87"/>
        <xdr:cNvPicPr>
          <a:picLocks noChangeAspect="1"/>
        </xdr:cNvPicPr>
      </xdr:nvPicPr>
      <xdr:blipFill>
        <a:blip r:embed="rId29" r:link="rId2"/>
        <a:stretch>
          <a:fillRect/>
        </a:stretch>
      </xdr:blipFill>
      <xdr:spPr>
        <a:xfrm>
          <a:off x="9212580" y="17455515"/>
          <a:ext cx="228600" cy="289560"/>
        </a:xfrm>
        <a:prstGeom prst="rect">
          <a:avLst/>
        </a:prstGeom>
        <a:noFill/>
        <a:ln w="9525">
          <a:noFill/>
        </a:ln>
      </xdr:spPr>
    </xdr:pic>
  </etc:cellImage>
  <etc:cellImage>
    <xdr:pic>
      <xdr:nvPicPr>
        <xdr:cNvPr id="57" name="ID_B50E86722A1F47D690B053F14E5AF737"/>
        <xdr:cNvPicPr>
          <a:picLocks noChangeAspect="1"/>
        </xdr:cNvPicPr>
      </xdr:nvPicPr>
      <xdr:blipFill>
        <a:blip r:embed="rId30" r:link="rId2"/>
        <a:stretch>
          <a:fillRect/>
        </a:stretch>
      </xdr:blipFill>
      <xdr:spPr>
        <a:xfrm>
          <a:off x="9212580" y="20198715"/>
          <a:ext cx="228600" cy="289560"/>
        </a:xfrm>
        <a:prstGeom prst="rect">
          <a:avLst/>
        </a:prstGeom>
        <a:noFill/>
        <a:ln w="9525">
          <a:noFill/>
        </a:ln>
      </xdr:spPr>
    </xdr:pic>
  </etc:cellImage>
  <etc:cellImage>
    <xdr:pic>
      <xdr:nvPicPr>
        <xdr:cNvPr id="58" name="ID_3404A736235E4D9AAEFEADCFD1863B98"/>
        <xdr:cNvPicPr>
          <a:picLocks noChangeAspect="1"/>
        </xdr:cNvPicPr>
      </xdr:nvPicPr>
      <xdr:blipFill>
        <a:blip r:embed="rId31" r:link="rId2"/>
        <a:stretch>
          <a:fillRect/>
        </a:stretch>
      </xdr:blipFill>
      <xdr:spPr>
        <a:xfrm>
          <a:off x="9220200" y="26530935"/>
          <a:ext cx="289560" cy="289560"/>
        </a:xfrm>
        <a:prstGeom prst="rect">
          <a:avLst/>
        </a:prstGeom>
        <a:noFill/>
        <a:ln w="9525">
          <a:noFill/>
        </a:ln>
      </xdr:spPr>
    </xdr:pic>
  </etc:cellImage>
  <etc:cellImage>
    <xdr:pic>
      <xdr:nvPicPr>
        <xdr:cNvPr id="61" name="ID_36B14F9BB2414A61887561355AF4AE58"/>
        <xdr:cNvPicPr>
          <a:picLocks noChangeAspect="1"/>
        </xdr:cNvPicPr>
      </xdr:nvPicPr>
      <xdr:blipFill>
        <a:blip r:embed="rId32" r:link="rId2"/>
        <a:stretch>
          <a:fillRect/>
        </a:stretch>
      </xdr:blipFill>
      <xdr:spPr>
        <a:xfrm>
          <a:off x="9090660" y="25464135"/>
          <a:ext cx="525780" cy="396240"/>
        </a:xfrm>
        <a:prstGeom prst="rect">
          <a:avLst/>
        </a:prstGeom>
        <a:noFill/>
        <a:ln w="9525">
          <a:noFill/>
        </a:ln>
      </xdr:spPr>
    </xdr:pic>
  </etc:cellImage>
  <etc:cellImage>
    <xdr:pic>
      <xdr:nvPicPr>
        <xdr:cNvPr id="18" name="ID_E8432A8329DC429187475324D11B3301" descr="图标_职业_辅助_大图"/>
        <xdr:cNvPicPr>
          <a:picLocks noChangeAspect="1"/>
        </xdr:cNvPicPr>
      </xdr:nvPicPr>
      <xdr:blipFill>
        <a:blip r:embed="rId33"/>
        <a:stretch>
          <a:fillRect/>
        </a:stretch>
      </xdr:blipFill>
      <xdr:spPr>
        <a:xfrm>
          <a:off x="617220" y="4554855"/>
          <a:ext cx="541020" cy="525780"/>
        </a:xfrm>
        <a:prstGeom prst="rect">
          <a:avLst/>
        </a:prstGeom>
      </xdr:spPr>
    </xdr:pic>
  </etc:cellImage>
  <etc:cellImage>
    <xdr:pic>
      <xdr:nvPicPr>
        <xdr:cNvPr id="22" name="ID_6BD44C88BDF04BC28506CFEE37C08E21" descr="图标_职业_特种_大图"/>
        <xdr:cNvPicPr>
          <a:picLocks noChangeAspect="1"/>
        </xdr:cNvPicPr>
      </xdr:nvPicPr>
      <xdr:blipFill>
        <a:blip r:embed="rId34"/>
        <a:stretch>
          <a:fillRect/>
        </a:stretch>
      </xdr:blipFill>
      <xdr:spPr>
        <a:xfrm>
          <a:off x="617220" y="6741795"/>
          <a:ext cx="541020" cy="531495"/>
        </a:xfrm>
        <a:prstGeom prst="rect">
          <a:avLst/>
        </a:prstGeom>
      </xdr:spPr>
    </xdr:pic>
  </etc:cellImage>
  <etc:cellImage>
    <xdr:pic>
      <xdr:nvPicPr>
        <xdr:cNvPr id="14" name="ID_DC3FF61C4C3A43A8878CE11429382A86" descr="图标_职业_术师_大图"/>
        <xdr:cNvPicPr>
          <a:picLocks noChangeAspect="1"/>
        </xdr:cNvPicPr>
      </xdr:nvPicPr>
      <xdr:blipFill>
        <a:blip r:embed="rId35"/>
        <a:stretch>
          <a:fillRect/>
        </a:stretch>
      </xdr:blipFill>
      <xdr:spPr>
        <a:xfrm>
          <a:off x="617220" y="6195060"/>
          <a:ext cx="541020" cy="523875"/>
        </a:xfrm>
        <a:prstGeom prst="rect">
          <a:avLst/>
        </a:prstGeom>
      </xdr:spPr>
    </xdr:pic>
  </etc:cellImage>
  <etc:cellImage>
    <xdr:pic>
      <xdr:nvPicPr>
        <xdr:cNvPr id="15" name="ID_52415B6A2B1D4D28A07C36CA61249B08" descr="图标_职业_狙击_大图"/>
        <xdr:cNvPicPr>
          <a:picLocks noChangeAspect="1"/>
        </xdr:cNvPicPr>
      </xdr:nvPicPr>
      <xdr:blipFill>
        <a:blip r:embed="rId36"/>
        <a:stretch>
          <a:fillRect/>
        </a:stretch>
      </xdr:blipFill>
      <xdr:spPr>
        <a:xfrm>
          <a:off x="617220" y="5648325"/>
          <a:ext cx="541020" cy="523875"/>
        </a:xfrm>
        <a:prstGeom prst="rect">
          <a:avLst/>
        </a:prstGeom>
      </xdr:spPr>
    </xdr:pic>
  </etc:cellImage>
  <etc:cellImage>
    <xdr:pic>
      <xdr:nvPicPr>
        <xdr:cNvPr id="16" name="ID_B8866FF8443B4D5096579B7AE4F8D3EB" descr="图标_职业_近卫_大图"/>
        <xdr:cNvPicPr>
          <a:picLocks noChangeAspect="1"/>
        </xdr:cNvPicPr>
      </xdr:nvPicPr>
      <xdr:blipFill>
        <a:blip r:embed="rId37"/>
        <a:stretch>
          <a:fillRect/>
        </a:stretch>
      </xdr:blipFill>
      <xdr:spPr>
        <a:xfrm>
          <a:off x="617220" y="5101590"/>
          <a:ext cx="541020" cy="525780"/>
        </a:xfrm>
        <a:prstGeom prst="rect">
          <a:avLst/>
        </a:prstGeom>
      </xdr:spPr>
    </xdr:pic>
  </etc:cellImage>
  <etc:cellImage>
    <xdr:pic>
      <xdr:nvPicPr>
        <xdr:cNvPr id="25" name="ID_3CC9339639E34C35B185CE317598FFE5" descr="图标_职业_重装_大图"/>
        <xdr:cNvPicPr>
          <a:picLocks noChangeAspect="1"/>
        </xdr:cNvPicPr>
      </xdr:nvPicPr>
      <xdr:blipFill>
        <a:blip r:embed="rId38"/>
        <a:stretch>
          <a:fillRect/>
        </a:stretch>
      </xdr:blipFill>
      <xdr:spPr>
        <a:xfrm>
          <a:off x="617220" y="8383905"/>
          <a:ext cx="541020" cy="539115"/>
        </a:xfrm>
        <a:prstGeom prst="rect">
          <a:avLst/>
        </a:prstGeom>
      </xdr:spPr>
    </xdr:pic>
  </etc:cellImage>
  <etc:cellImage>
    <xdr:pic>
      <xdr:nvPicPr>
        <xdr:cNvPr id="24" name="ID_A73A0903F4264DAB82ED6940717697CB" descr="图标_职业_医疗_大图"/>
        <xdr:cNvPicPr>
          <a:picLocks noChangeAspect="1"/>
        </xdr:cNvPicPr>
      </xdr:nvPicPr>
      <xdr:blipFill>
        <a:blip r:embed="rId39"/>
        <a:stretch>
          <a:fillRect/>
        </a:stretch>
      </xdr:blipFill>
      <xdr:spPr>
        <a:xfrm>
          <a:off x="617220" y="7837170"/>
          <a:ext cx="541020" cy="539115"/>
        </a:xfrm>
        <a:prstGeom prst="rect">
          <a:avLst/>
        </a:prstGeom>
      </xdr:spPr>
    </xdr:pic>
  </etc:cellImage>
  <etc:cellImage>
    <xdr:pic>
      <xdr:nvPicPr>
        <xdr:cNvPr id="17" name="ID_B4C652478C52453380C9AA09DFBAEA6F" descr="图标_职业_先锋_大图"/>
        <xdr:cNvPicPr>
          <a:picLocks noChangeAspect="1"/>
        </xdr:cNvPicPr>
      </xdr:nvPicPr>
      <xdr:blipFill>
        <a:blip r:embed="rId40"/>
        <a:stretch>
          <a:fillRect/>
        </a:stretch>
      </xdr:blipFill>
      <xdr:spPr>
        <a:xfrm>
          <a:off x="617220" y="7288530"/>
          <a:ext cx="541020" cy="544830"/>
        </a:xfrm>
        <a:prstGeom prst="rect">
          <a:avLst/>
        </a:prstGeom>
      </xdr:spPr>
    </xdr:pic>
  </etc:cellImage>
  <etc:cellImage>
    <xdr:pic>
      <xdr:nvPicPr>
        <xdr:cNvPr id="59" name="ID_9D483020AB87475C9D130AB233FB50FC"/>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729740" y="9475470"/>
          <a:ext cx="520065" cy="509905"/>
        </a:xfrm>
        <a:prstGeom prst="rect">
          <a:avLst/>
        </a:prstGeom>
      </xdr:spPr>
    </xdr:pic>
  </etc:cellImage>
  <etc:cellImage>
    <xdr:pic>
      <xdr:nvPicPr>
        <xdr:cNvPr id="60" name="ID_2043D1D571B44113913F90DAD270C230"/>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1732280" y="10022205"/>
          <a:ext cx="513715" cy="462280"/>
        </a:xfrm>
        <a:prstGeom prst="rect">
          <a:avLst/>
        </a:prstGeom>
      </xdr:spPr>
    </xdr:pic>
  </etc:cellImage>
  <etc:cellImage>
    <xdr:pic>
      <xdr:nvPicPr>
        <xdr:cNvPr id="62" name="ID_75FFA70B2C824179836D8DA037F08694"/>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1729740" y="10568940"/>
          <a:ext cx="483235" cy="483235"/>
        </a:xfrm>
        <a:prstGeom prst="rect">
          <a:avLst/>
        </a:prstGeom>
      </xdr:spPr>
    </xdr:pic>
  </etc:cellImage>
  <etc:cellImage>
    <xdr:pic>
      <xdr:nvPicPr>
        <xdr:cNvPr id="65" name="ID_55ED5011E91E401EAC898BCC296F7884"/>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1760855" y="11129010"/>
          <a:ext cx="541020" cy="555625"/>
        </a:xfrm>
        <a:prstGeom prst="rect">
          <a:avLst/>
        </a:prstGeom>
      </xdr:spPr>
    </xdr:pic>
  </etc:cellImage>
  <etc:cellImage>
    <xdr:pic>
      <xdr:nvPicPr>
        <xdr:cNvPr id="67" name="ID_340ECEE81B904C63BC1FDB79FEE97A77"/>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1764665" y="11717655"/>
          <a:ext cx="525145" cy="554990"/>
        </a:xfrm>
        <a:prstGeom prst="rect">
          <a:avLst/>
        </a:prstGeom>
      </xdr:spPr>
    </xdr:pic>
  </etc:cellImage>
  <etc:cellImage>
    <xdr:pic>
      <xdr:nvPicPr>
        <xdr:cNvPr id="72" name="ID_711A68FC722D47E39FEB7C80579ECDFB"/>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1731010" y="12219940"/>
          <a:ext cx="562610" cy="562610"/>
        </a:xfrm>
        <a:prstGeom prst="rect">
          <a:avLst/>
        </a:prstGeom>
      </xdr:spPr>
    </xdr:pic>
  </etc:cellImage>
  <etc:cellImage>
    <xdr:pic>
      <xdr:nvPicPr>
        <xdr:cNvPr id="74" name="ID_CDF75A9588564816BC80857A5E0A0534"/>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1790065" y="12801600"/>
          <a:ext cx="569595" cy="475615"/>
        </a:xfrm>
        <a:prstGeom prst="rect">
          <a:avLst/>
        </a:prstGeom>
      </xdr:spPr>
    </xdr:pic>
  </etc:cellImage>
  <etc:cellImage>
    <xdr:pic>
      <xdr:nvPicPr>
        <xdr:cNvPr id="76" name="ID_F68FB23C557B439B8A2572C0FBE16F40"/>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1795780" y="13331825"/>
          <a:ext cx="391795" cy="583565"/>
        </a:xfrm>
        <a:prstGeom prst="rect">
          <a:avLst/>
        </a:prstGeom>
      </xdr:spPr>
    </xdr:pic>
  </etc:cellImage>
  <etc:cellImage>
    <xdr:pic>
      <xdr:nvPicPr>
        <xdr:cNvPr id="82" name="ID_FCAFC47947C24D5D81B03CE4B8E39B3F"/>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1773555" y="13869035"/>
          <a:ext cx="378460" cy="546735"/>
        </a:xfrm>
        <a:prstGeom prst="rect">
          <a:avLst/>
        </a:prstGeom>
      </xdr:spPr>
    </xdr:pic>
  </etc:cellImage>
  <etc:cellImage>
    <xdr:pic>
      <xdr:nvPicPr>
        <xdr:cNvPr id="83" name="ID_D02AFEA056F34EDF9305AB2E62A6F194"/>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1752600" y="14426565"/>
          <a:ext cx="541020" cy="523240"/>
        </a:xfrm>
        <a:prstGeom prst="rect">
          <a:avLst/>
        </a:prstGeom>
      </xdr:spPr>
    </xdr:pic>
  </etc:cellImage>
  <etc:cellImage>
    <xdr:pic>
      <xdr:nvPicPr>
        <xdr:cNvPr id="85" name="ID_42628839994B45458AFF7794DE1DB7BB"/>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1813560" y="14965045"/>
          <a:ext cx="563880" cy="577215"/>
        </a:xfrm>
        <a:prstGeom prst="rect">
          <a:avLst/>
        </a:prstGeom>
      </xdr:spPr>
    </xdr:pic>
  </etc:cellImage>
  <etc:cellImage>
    <xdr:pic>
      <xdr:nvPicPr>
        <xdr:cNvPr id="86" name="ID_55E27B07EFB448A3966D1B1A8A49B567"/>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1779905" y="15506700"/>
          <a:ext cx="548005" cy="551815"/>
        </a:xfrm>
        <a:prstGeom prst="rect">
          <a:avLst/>
        </a:prstGeom>
      </xdr:spPr>
    </xdr:pic>
  </etc:cellImage>
  <etc:cellImage>
    <xdr:pic>
      <xdr:nvPicPr>
        <xdr:cNvPr id="87" name="ID_96EF36D3F82249A39B95CB3CFF88103F"/>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1747520" y="16118840"/>
          <a:ext cx="523240" cy="580390"/>
        </a:xfrm>
        <a:prstGeom prst="rect">
          <a:avLst/>
        </a:prstGeom>
      </xdr:spPr>
    </xdr:pic>
  </etc:cellImage>
  <etc:cellImage>
    <xdr:pic>
      <xdr:nvPicPr>
        <xdr:cNvPr id="90" name="ID_31B1E1FE11A74A38B79F6511A50CFF49"/>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1790065" y="16790670"/>
          <a:ext cx="522605" cy="594995"/>
        </a:xfrm>
        <a:prstGeom prst="rect">
          <a:avLst/>
        </a:prstGeom>
      </xdr:spPr>
    </xdr:pic>
  </etc:cellImage>
  <etc:cellImage>
    <xdr:pic>
      <xdr:nvPicPr>
        <xdr:cNvPr id="91" name="ID_D58BF42396AC4308879EE20E288199CA"/>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1790700" y="17244060"/>
          <a:ext cx="537210" cy="546735"/>
        </a:xfrm>
        <a:prstGeom prst="rect">
          <a:avLst/>
        </a:prstGeom>
      </xdr:spPr>
    </xdr:pic>
  </etc:cellImage>
  <etc:cellImage>
    <xdr:pic>
      <xdr:nvPicPr>
        <xdr:cNvPr id="92" name="ID_900B474B364742B2839E0461C50AB857"/>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1782445" y="17726025"/>
          <a:ext cx="551180" cy="570230"/>
        </a:xfrm>
        <a:prstGeom prst="rect">
          <a:avLst/>
        </a:prstGeom>
      </xdr:spPr>
    </xdr:pic>
  </etc:cellImage>
  <etc:cellImage>
    <xdr:pic>
      <xdr:nvPicPr>
        <xdr:cNvPr id="93" name="ID_0F6C9241EA6D40A9ABB21B4A7817E458"/>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1808480" y="18265140"/>
          <a:ext cx="554355" cy="574675"/>
        </a:xfrm>
        <a:prstGeom prst="rect">
          <a:avLst/>
        </a:prstGeom>
      </xdr:spPr>
    </xdr:pic>
  </etc:cellImage>
  <etc:cellImage>
    <xdr:pic>
      <xdr:nvPicPr>
        <xdr:cNvPr id="94" name="ID_D7C82F3FACA14305BB5D39804CA78D94"/>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1814195" y="18860135"/>
          <a:ext cx="499745" cy="514985"/>
        </a:xfrm>
        <a:prstGeom prst="rect">
          <a:avLst/>
        </a:prstGeom>
      </xdr:spPr>
    </xdr:pic>
  </etc:cellImage>
  <etc:cellImage>
    <xdr:pic>
      <xdr:nvPicPr>
        <xdr:cNvPr id="95" name="ID_87BBEF148CA74F158CF4A6DE4E9CF37D"/>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784985" y="19441160"/>
          <a:ext cx="563880" cy="506730"/>
        </a:xfrm>
        <a:prstGeom prst="rect">
          <a:avLst/>
        </a:prstGeom>
      </xdr:spPr>
    </xdr:pic>
  </etc:cellImage>
  <etc:cellImage>
    <xdr:pic>
      <xdr:nvPicPr>
        <xdr:cNvPr id="96" name="ID_650E4A34B21B426196708D7D30EC7645"/>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813560" y="19900900"/>
          <a:ext cx="552450" cy="573405"/>
        </a:xfrm>
        <a:prstGeom prst="rect">
          <a:avLst/>
        </a:prstGeom>
      </xdr:spPr>
    </xdr:pic>
  </etc:cellImage>
  <etc:cellImage>
    <xdr:pic>
      <xdr:nvPicPr>
        <xdr:cNvPr id="97" name="ID_6D0E85631DA94EC1A33EDB3F8C2E46CB"/>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1819910" y="20502880"/>
          <a:ext cx="563880" cy="588645"/>
        </a:xfrm>
        <a:prstGeom prst="rect">
          <a:avLst/>
        </a:prstGeom>
      </xdr:spPr>
    </xdr:pic>
  </etc:cellImage>
  <etc:cellImage>
    <xdr:pic>
      <xdr:nvPicPr>
        <xdr:cNvPr id="98" name="ID_9DE61F186B5A44EB8C8D8A9CA17CBF50"/>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884045" y="21139150"/>
          <a:ext cx="563880" cy="585470"/>
        </a:xfrm>
        <a:prstGeom prst="rect">
          <a:avLst/>
        </a:prstGeom>
      </xdr:spPr>
    </xdr:pic>
  </etc:cellImage>
  <etc:cellImage>
    <xdr:pic>
      <xdr:nvPicPr>
        <xdr:cNvPr id="99" name="ID_8CC09361A8C64EECA9B27477FBBC2B30"/>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1860550" y="21643975"/>
          <a:ext cx="579755" cy="518795"/>
        </a:xfrm>
        <a:prstGeom prst="rect">
          <a:avLst/>
        </a:prstGeom>
      </xdr:spPr>
    </xdr:pic>
  </etc:cellImage>
  <etc:cellImage>
    <xdr:pic>
      <xdr:nvPicPr>
        <xdr:cNvPr id="100" name="ID_268318A30B8C44FBA9E6E8E1FCEC6FB1"/>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1854835" y="22138005"/>
          <a:ext cx="529590" cy="552450"/>
        </a:xfrm>
        <a:prstGeom prst="rect">
          <a:avLst/>
        </a:prstGeom>
      </xdr:spPr>
    </xdr:pic>
  </etc:cellImage>
  <etc:cellImage>
    <xdr:pic>
      <xdr:nvPicPr>
        <xdr:cNvPr id="101" name="ID_34AF8C72BB48405DAD5FC819D163CCCC"/>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1854835" y="22665055"/>
          <a:ext cx="560705" cy="584200"/>
        </a:xfrm>
        <a:prstGeom prst="rect">
          <a:avLst/>
        </a:prstGeom>
      </xdr:spPr>
    </xdr:pic>
  </etc:cellImage>
  <etc:cellImage>
    <xdr:pic>
      <xdr:nvPicPr>
        <xdr:cNvPr id="102" name="ID_1987BC76BF3C492595F435D716BDE814"/>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1837055" y="23251160"/>
          <a:ext cx="527685" cy="546735"/>
        </a:xfrm>
        <a:prstGeom prst="rect">
          <a:avLst/>
        </a:prstGeom>
      </xdr:spPr>
    </xdr:pic>
  </etc:cellImage>
  <etc:cellImage>
    <xdr:pic>
      <xdr:nvPicPr>
        <xdr:cNvPr id="103" name="ID_724187EA4D5B47FB9E1429E0677576D7"/>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1819910" y="23773130"/>
          <a:ext cx="536575" cy="545465"/>
        </a:xfrm>
        <a:prstGeom prst="rect">
          <a:avLst/>
        </a:prstGeom>
      </xdr:spPr>
    </xdr:pic>
  </etc:cellImage>
  <etc:cellImage>
    <xdr:pic>
      <xdr:nvPicPr>
        <xdr:cNvPr id="105" name="ID_0745C76CA7DB47DDB14E2AEB98F48956"/>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1895475" y="24323675"/>
          <a:ext cx="563880" cy="579755"/>
        </a:xfrm>
        <a:prstGeom prst="rect">
          <a:avLst/>
        </a:prstGeom>
      </xdr:spPr>
    </xdr:pic>
  </etc:cellImage>
  <etc:cellImage>
    <xdr:pic>
      <xdr:nvPicPr>
        <xdr:cNvPr id="104" name="ID_6601B38DD1A44F4D923C0AF8EAD00C85"/>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1983740" y="25074245"/>
          <a:ext cx="575945" cy="509270"/>
        </a:xfrm>
        <a:prstGeom prst="rect">
          <a:avLst/>
        </a:prstGeom>
      </xdr:spPr>
    </xdr:pic>
  </etc:cellImage>
  <etc:cellImage>
    <xdr:pic>
      <xdr:nvPicPr>
        <xdr:cNvPr id="106" name="ID_2BA53CCA4CE84F1EADDE6FA9F5B37FAF"/>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1795145" y="25507950"/>
          <a:ext cx="579120" cy="336550"/>
        </a:xfrm>
        <a:prstGeom prst="rect">
          <a:avLst/>
        </a:prstGeom>
      </xdr:spPr>
    </xdr:pic>
  </etc:cellImage>
  <etc:cellImage>
    <xdr:pic>
      <xdr:nvPicPr>
        <xdr:cNvPr id="107" name="ID_A90817B127234987B5D9D9856FCE9E28"/>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1837690" y="26018490"/>
          <a:ext cx="548640" cy="575945"/>
        </a:xfrm>
        <a:prstGeom prst="rect">
          <a:avLst/>
        </a:prstGeom>
      </xdr:spPr>
    </xdr:pic>
  </etc:cellImage>
  <etc:cellImage>
    <xdr:pic>
      <xdr:nvPicPr>
        <xdr:cNvPr id="108" name="ID_EED51BDA0129403AB88AC1181045C08D"/>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1859915" y="26584275"/>
          <a:ext cx="579755" cy="323215"/>
        </a:xfrm>
        <a:prstGeom prst="rect">
          <a:avLst/>
        </a:prstGeom>
      </xdr:spPr>
    </xdr:pic>
  </etc:cellImage>
  <etc:cellImage>
    <xdr:pic>
      <xdr:nvPicPr>
        <xdr:cNvPr id="109" name="ID_9B0638086A6C4D9C8C8FEDB24747A8A4"/>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1831340" y="27108150"/>
          <a:ext cx="550545" cy="574675"/>
        </a:xfrm>
        <a:prstGeom prst="rect">
          <a:avLst/>
        </a:prstGeom>
      </xdr:spPr>
    </xdr:pic>
  </etc:cellImage>
  <etc:cellImage>
    <xdr:pic>
      <xdr:nvPicPr>
        <xdr:cNvPr id="110" name="ID_E845A5320CAD44A9BFD6E151F5F18BFC"/>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1843405" y="27571065"/>
          <a:ext cx="545465" cy="591820"/>
        </a:xfrm>
        <a:prstGeom prst="rect">
          <a:avLst/>
        </a:prstGeom>
      </xdr:spPr>
    </xdr:pic>
  </etc:cellImage>
  <etc:cellImage>
    <xdr:pic>
      <xdr:nvPicPr>
        <xdr:cNvPr id="111" name="ID_12839D4FE4AB45359BB8E9884953DF81"/>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1901825" y="28214955"/>
          <a:ext cx="575310" cy="372745"/>
        </a:xfrm>
        <a:prstGeom prst="rect">
          <a:avLst/>
        </a:prstGeom>
      </xdr:spPr>
    </xdr:pic>
  </etc:cellImage>
  <etc:cellImage>
    <xdr:pic>
      <xdr:nvPicPr>
        <xdr:cNvPr id="112" name="ID_AE8F2C60D7AA41FFA9E81C3C13CEF01C"/>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1895475" y="28731210"/>
          <a:ext cx="563880" cy="567055"/>
        </a:xfrm>
        <a:prstGeom prst="rect">
          <a:avLst/>
        </a:prstGeom>
      </xdr:spPr>
    </xdr:pic>
  </etc:cellImage>
  <etc:cellImage>
    <xdr:pic>
      <xdr:nvPicPr>
        <xdr:cNvPr id="113" name="ID_587F5504AC034E57906F1999DD0D79F6"/>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1825625" y="29273500"/>
          <a:ext cx="579755" cy="544195"/>
        </a:xfrm>
        <a:prstGeom prst="rect">
          <a:avLst/>
        </a:prstGeom>
      </xdr:spPr>
    </xdr:pic>
  </etc:cellImage>
  <etc:cellImage>
    <xdr:pic>
      <xdr:nvPicPr>
        <xdr:cNvPr id="114" name="ID_411D84E06C08443995D759FB88AFFC25"/>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1837055" y="29829125"/>
          <a:ext cx="516255" cy="514985"/>
        </a:xfrm>
        <a:prstGeom prst="rect">
          <a:avLst/>
        </a:prstGeom>
      </xdr:spPr>
    </xdr:pic>
  </etc:cellImage>
  <etc:cellImage>
    <xdr:pic>
      <xdr:nvPicPr>
        <xdr:cNvPr id="115" name="ID_4531C3F21E7D4959BFBDD1BEE8C35193"/>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1871345" y="30358080"/>
          <a:ext cx="533400" cy="535940"/>
        </a:xfrm>
        <a:prstGeom prst="rect">
          <a:avLst/>
        </a:prstGeom>
      </xdr:spPr>
    </xdr:pic>
  </etc:cellImage>
  <etc:cellImage>
    <xdr:pic>
      <xdr:nvPicPr>
        <xdr:cNvPr id="116" name="ID_E5459B55432144A9BE0802B7314E7226"/>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1849120" y="30857825"/>
          <a:ext cx="533400" cy="535940"/>
        </a:xfrm>
        <a:prstGeom prst="rect">
          <a:avLst/>
        </a:prstGeom>
      </xdr:spPr>
    </xdr:pic>
  </etc:cellImage>
  <etc:cellImage>
    <xdr:pic>
      <xdr:nvPicPr>
        <xdr:cNvPr id="117" name="ID_5E2AC4CDC2E5479A8CB02CD57CAC9231"/>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1821815" y="31381065"/>
          <a:ext cx="538480" cy="546735"/>
        </a:xfrm>
        <a:prstGeom prst="rect">
          <a:avLst/>
        </a:prstGeom>
      </xdr:spPr>
    </xdr:pic>
  </etc:cellImage>
  <etc:cellImage>
    <xdr:pic>
      <xdr:nvPicPr>
        <xdr:cNvPr id="118" name="ID_5114C21391D644A0B74979067F5316AE"/>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2007870" y="31993205"/>
          <a:ext cx="546100" cy="553720"/>
        </a:xfrm>
        <a:prstGeom prst="rect">
          <a:avLst/>
        </a:prstGeom>
      </xdr:spPr>
    </xdr:pic>
  </etc:cellImage>
  <etc:cellImage>
    <xdr:pic>
      <xdr:nvPicPr>
        <xdr:cNvPr id="137" name="ID_0413AC295DEA416DB25AFCCF674B467D"/>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1837690" y="32473265"/>
          <a:ext cx="523875" cy="574675"/>
        </a:xfrm>
        <a:prstGeom prst="rect">
          <a:avLst/>
        </a:prstGeom>
      </xdr:spPr>
    </xdr:pic>
  </etc:cellImage>
  <etc:cellImage>
    <xdr:pic>
      <xdr:nvPicPr>
        <xdr:cNvPr id="127" name="ID_543CEB5128D34C7B86B42FC8E8D28A51"/>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1811655" y="33114615"/>
          <a:ext cx="546100" cy="514350"/>
        </a:xfrm>
        <a:prstGeom prst="rect">
          <a:avLst/>
        </a:prstGeom>
      </xdr:spPr>
    </xdr:pic>
  </etc:cellImage>
  <etc:cellImage>
    <xdr:pic>
      <xdr:nvPicPr>
        <xdr:cNvPr id="129" name="ID_7B87AE799769450B9256FAAF182CD9AE"/>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1854835" y="33615630"/>
          <a:ext cx="507365" cy="552450"/>
        </a:xfrm>
        <a:prstGeom prst="rect">
          <a:avLst/>
        </a:prstGeom>
      </xdr:spPr>
    </xdr:pic>
  </etc:cellImage>
  <etc:cellImage>
    <xdr:pic>
      <xdr:nvPicPr>
        <xdr:cNvPr id="131" name="ID_F47D1CE6A416434C8C6DECDA90B84463"/>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1871980" y="34190305"/>
          <a:ext cx="487680" cy="535940"/>
        </a:xfrm>
        <a:prstGeom prst="rect">
          <a:avLst/>
        </a:prstGeom>
      </xdr:spPr>
    </xdr:pic>
  </etc:cellImage>
  <etc:cellImage>
    <xdr:pic>
      <xdr:nvPicPr>
        <xdr:cNvPr id="133" name="ID_1535B9B984F542669E3F4CDECDF0E294"/>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1936750" y="34711640"/>
          <a:ext cx="535940" cy="535940"/>
        </a:xfrm>
        <a:prstGeom prst="rect">
          <a:avLst/>
        </a:prstGeom>
      </xdr:spPr>
    </xdr:pic>
  </etc:cellImage>
  <etc:cellImage>
    <xdr:pic>
      <xdr:nvPicPr>
        <xdr:cNvPr id="135" name="ID_429575C20C454685927B901E0BD3B163"/>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1802130" y="35256470"/>
          <a:ext cx="499745" cy="554355"/>
        </a:xfrm>
        <a:prstGeom prst="rect">
          <a:avLst/>
        </a:prstGeom>
      </xdr:spPr>
    </xdr:pic>
  </etc:cellImage>
  <etc:cellImage>
    <xdr:pic>
      <xdr:nvPicPr>
        <xdr:cNvPr id="153" name="ID_72337A65D96F4DCBB149A894D71C0F01"/>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1878965" y="35756850"/>
          <a:ext cx="440055" cy="570230"/>
        </a:xfrm>
        <a:prstGeom prst="rect">
          <a:avLst/>
        </a:prstGeom>
      </xdr:spPr>
    </xdr:pic>
  </etc:cellImage>
  <etc:cellImage>
    <xdr:pic>
      <xdr:nvPicPr>
        <xdr:cNvPr id="139" name="ID_BC9BF5D8FB1C4CBA87DE995C8A8FFCAA"/>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1921510" y="36327080"/>
          <a:ext cx="429260" cy="546735"/>
        </a:xfrm>
        <a:prstGeom prst="rect">
          <a:avLst/>
        </a:prstGeom>
      </xdr:spPr>
    </xdr:pic>
  </etc:cellImage>
  <etc:cellImage>
    <xdr:pic>
      <xdr:nvPicPr>
        <xdr:cNvPr id="141" name="ID_90F20AB540BE45CFAC9BB23F4390FC05"/>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1874520" y="36939220"/>
          <a:ext cx="501015" cy="558800"/>
        </a:xfrm>
        <a:prstGeom prst="rect">
          <a:avLst/>
        </a:prstGeom>
      </xdr:spPr>
    </xdr:pic>
  </etc:cellImage>
  <etc:cellImage>
    <xdr:pic>
      <xdr:nvPicPr>
        <xdr:cNvPr id="143" name="ID_EDC42243F4724EBD938FA33CE8845F07"/>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1899920" y="37414835"/>
          <a:ext cx="439420" cy="588645"/>
        </a:xfrm>
        <a:prstGeom prst="rect">
          <a:avLst/>
        </a:prstGeom>
      </xdr:spPr>
    </xdr:pic>
  </etc:cellImage>
  <etc:cellImage>
    <xdr:pic>
      <xdr:nvPicPr>
        <xdr:cNvPr id="145" name="ID_E54B32B7B56745BDA30D02BC0C5D532C"/>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1987550" y="37988240"/>
          <a:ext cx="434340" cy="546735"/>
        </a:xfrm>
        <a:prstGeom prst="rect">
          <a:avLst/>
        </a:prstGeom>
      </xdr:spPr>
    </xdr:pic>
  </etc:cellImage>
  <etc:cellImage>
    <xdr:pic>
      <xdr:nvPicPr>
        <xdr:cNvPr id="147" name="ID_88A769A11C8243D5AA8B415ADF26F880"/>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1888490" y="38490525"/>
          <a:ext cx="440055" cy="563880"/>
        </a:xfrm>
        <a:prstGeom prst="rect">
          <a:avLst/>
        </a:prstGeom>
      </xdr:spPr>
    </xdr:pic>
  </etc:cellImage>
  <etc:cellImage>
    <xdr:pic>
      <xdr:nvPicPr>
        <xdr:cNvPr id="149" name="ID_947A4308C71C49A596D7AA046DD6E883"/>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1856740" y="39088695"/>
          <a:ext cx="438150" cy="561975"/>
        </a:xfrm>
        <a:prstGeom prst="rect">
          <a:avLst/>
        </a:prstGeom>
      </xdr:spPr>
    </xdr:pic>
  </etc:cellImage>
  <etc:cellImage>
    <xdr:pic>
      <xdr:nvPicPr>
        <xdr:cNvPr id="151" name="ID_020B7383D9B74101917D14ADD1270259"/>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1844675" y="39580185"/>
          <a:ext cx="481330" cy="553085"/>
        </a:xfrm>
        <a:prstGeom prst="rect">
          <a:avLst/>
        </a:prstGeom>
      </xdr:spPr>
    </xdr:pic>
  </etc:cellImage>
  <etc:cellImage>
    <xdr:pic>
      <xdr:nvPicPr>
        <xdr:cNvPr id="119" name="ID_CA80DA5E106B48DBB37704E283FF884B"/>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1784350" y="4559935"/>
          <a:ext cx="530225" cy="538480"/>
        </a:xfrm>
        <a:prstGeom prst="rect">
          <a:avLst/>
        </a:prstGeom>
      </xdr:spPr>
    </xdr:pic>
  </etc:cellImage>
  <etc:cellImage>
    <xdr:pic>
      <xdr:nvPicPr>
        <xdr:cNvPr id="120" name="ID_04E4CFF56CEF45C78BFA44EAC3A1827F"/>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1800225" y="5149215"/>
          <a:ext cx="528955" cy="530225"/>
        </a:xfrm>
        <a:prstGeom prst="rect">
          <a:avLst/>
        </a:prstGeom>
      </xdr:spPr>
    </xdr:pic>
  </etc:cellImage>
  <etc:cellImage>
    <xdr:pic>
      <xdr:nvPicPr>
        <xdr:cNvPr id="121" name="ID_8A3A3A6C6FFE4A2F9115A34132255FC3"/>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1802130" y="5690870"/>
          <a:ext cx="546100" cy="467360"/>
        </a:xfrm>
        <a:prstGeom prst="rect">
          <a:avLst/>
        </a:prstGeom>
      </xdr:spPr>
    </xdr:pic>
  </etc:cellImage>
  <etc:cellImage>
    <xdr:pic>
      <xdr:nvPicPr>
        <xdr:cNvPr id="122" name="ID_E0483A607AB043C5893713F4F421B0AF"/>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1790065" y="6243320"/>
          <a:ext cx="567055" cy="513080"/>
        </a:xfrm>
        <a:prstGeom prst="rect">
          <a:avLst/>
        </a:prstGeom>
      </xdr:spPr>
    </xdr:pic>
  </etc:cellImage>
  <etc:cellImage>
    <xdr:pic>
      <xdr:nvPicPr>
        <xdr:cNvPr id="123" name="ID_627B5B3B6ADA47B9A3CC2575279ECC44"/>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1837055" y="6812915"/>
          <a:ext cx="530225" cy="553085"/>
        </a:xfrm>
        <a:prstGeom prst="rect">
          <a:avLst/>
        </a:prstGeom>
      </xdr:spPr>
    </xdr:pic>
  </etc:cellImage>
  <etc:cellImage>
    <xdr:pic>
      <xdr:nvPicPr>
        <xdr:cNvPr id="124" name="ID_51B4A4E681D44155ACD8BC7D27A22DE1"/>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1819910" y="7412355"/>
          <a:ext cx="504190" cy="503555"/>
        </a:xfrm>
        <a:prstGeom prst="rect">
          <a:avLst/>
        </a:prstGeom>
      </xdr:spPr>
    </xdr:pic>
  </etc:cellImage>
  <etc:cellImage>
    <xdr:pic>
      <xdr:nvPicPr>
        <xdr:cNvPr id="125" name="ID_A619715545F6466EAF5FF4EC9A627A83"/>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1837055" y="7884160"/>
          <a:ext cx="478155" cy="478155"/>
        </a:xfrm>
        <a:prstGeom prst="rect">
          <a:avLst/>
        </a:prstGeom>
      </xdr:spPr>
    </xdr:pic>
  </etc:cellImage>
  <etc:cellImage>
    <xdr:pic>
      <xdr:nvPicPr>
        <xdr:cNvPr id="126" name="ID_67E70C85B5E94E06BEDC8322323DB34F"/>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1813560" y="8430260"/>
          <a:ext cx="494030" cy="446405"/>
        </a:xfrm>
        <a:prstGeom prst="rect">
          <a:avLst/>
        </a:prstGeom>
      </xdr:spPr>
    </xdr:pic>
  </etc:cellImage>
  <etc:cellImage>
    <xdr:pic>
      <xdr:nvPicPr>
        <xdr:cNvPr id="27" name="ID_9B3AF7493347416FB7CC44E188B7DAD0"/>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1764665" y="8950325"/>
          <a:ext cx="500380" cy="504190"/>
        </a:xfrm>
        <a:prstGeom prst="snipRoundRect">
          <a:avLst/>
        </a:prstGeom>
      </xdr:spPr>
    </xdr:pic>
  </etc:cellImage>
</etc:cellImages>
</file>

<file path=xl/comments1.xml><?xml version="1.0" encoding="utf-8"?>
<comments xmlns="http://schemas.openxmlformats.org/spreadsheetml/2006/main">
  <authors>
    <author>HUAWEI</author>
    <author>27205</author>
    <author>lenovo</author>
  </authors>
  <commentList>
    <comment ref="L2" authorId="0">
      <text>
        <r>
          <rPr>
            <sz val="9"/>
            <rFont val="宋体"/>
            <charset val="134"/>
          </rPr>
          <t>请在此处填写角色的基础属性，并分配精英化提供的额外基础属性点。</t>
        </r>
      </text>
    </comment>
    <comment ref="AE2" authorId="0">
      <text>
        <r>
          <rPr>
            <sz val="9"/>
            <rFont val="宋体"/>
            <charset val="134"/>
          </rPr>
          <t>请在此处记录升级后获得的战斗/非战斗流派技能点分配情况，以及教育成长结果</t>
        </r>
      </text>
    </comment>
    <comment ref="V7" authorId="0">
      <text>
        <r>
          <rPr>
            <sz val="9"/>
            <rFont val="宋体"/>
            <charset val="134"/>
          </rPr>
          <t>请将精英化获得的可分配基本属性点，分配到左边的成长格中</t>
        </r>
      </text>
    </comment>
    <comment ref="AV8" authorId="0">
      <text>
        <r>
          <rPr>
            <sz val="9"/>
            <rFont val="宋体"/>
            <charset val="134"/>
          </rPr>
          <t>基础等级默认为1。
如果开卡等级不为精零1级，请和SN确认开卡等级是否为从1级逐级升级的结果，从而确定真正的基础等级与升级次数。</t>
        </r>
      </text>
    </comment>
    <comment ref="AV9" authorId="0">
      <text>
        <r>
          <rPr>
            <sz val="9"/>
            <rFont val="宋体"/>
            <charset val="134"/>
          </rPr>
          <t>请在右格填写升级总次数。
如果有升级，请去成长表填写升级后需手动分配的资源。</t>
        </r>
      </text>
    </comment>
    <comment ref="H10" authorId="1">
      <text>
        <r>
          <rPr>
            <sz val="9"/>
            <rFont val="宋体"/>
            <charset val="134"/>
          </rPr>
          <t>直接填写数据，单位会自动补充。</t>
        </r>
      </text>
    </comment>
    <comment ref="B12" authorId="0">
      <text>
        <r>
          <rPr>
            <sz val="9"/>
            <rFont val="宋体"/>
            <charset val="134"/>
          </rPr>
          <t>请在此处填写角色的初始感染值及（当前）感染值。
如果为感染者，请填写相应的固化症状及长期疗程。</t>
        </r>
      </text>
    </comment>
    <comment ref="L13" authorId="0">
      <text>
        <r>
          <rPr>
            <sz val="9"/>
            <rFont val="宋体"/>
            <charset val="134"/>
          </rPr>
          <t xml:space="preserve">部分属性值自选的特质（如阿戈尔），请去特质表右侧的手动分配栏填写。
</t>
        </r>
      </text>
    </comment>
    <comment ref="X13" authorId="0">
      <text>
        <r>
          <rPr>
            <sz val="9"/>
            <rFont val="宋体"/>
            <charset val="134"/>
          </rPr>
          <t>请去技能表中用※符号标记因工作特质而获得的（非战斗技能流派)资质。</t>
        </r>
      </text>
    </comment>
    <comment ref="AP13" authorId="1">
      <text>
        <r>
          <rPr>
            <sz val="9"/>
            <rFont val="宋体"/>
            <charset val="134"/>
          </rPr>
          <t>由于角色卡开发过程使用了部分WPS表格独有的函数（例如图片显示函数），因而MSoffice用户可能会遭遇图片无法显示的情况。如希望获取最佳使用体验，请使用WPS进行角色卡编辑</t>
        </r>
      </text>
    </comment>
    <comment ref="B22" authorId="0">
      <text>
        <r>
          <rPr>
            <sz val="9"/>
            <rFont val="宋体"/>
            <charset val="134"/>
          </rPr>
          <t>请在此处分配不同技能流派下的技能点</t>
        </r>
      </text>
    </comment>
    <comment ref="B26" authorId="0">
      <text>
        <r>
          <rPr>
            <sz val="9"/>
            <rFont val="宋体"/>
            <charset val="134"/>
          </rPr>
          <t>该符号表示选择该战斗副属性提升1点基础值（默认基础值为2）。</t>
        </r>
      </text>
    </comment>
    <comment ref="C26" authorId="0">
      <text>
        <r>
          <rPr>
            <sz val="9"/>
            <rFont val="宋体"/>
            <charset val="134"/>
          </rPr>
          <t>力量/战术/敏捷/源石技艺理论这4个技能流派属于战斗技能流派。
在创建角色时，角色的战斗技能流派均为 2 点。
玩家可以用★符号标记一个战斗技能流派，使其提升固定的 1 点。</t>
        </r>
      </text>
    </comment>
    <comment ref="F26" authorId="0">
      <text>
        <r>
          <rPr>
            <sz val="9"/>
            <rFont val="宋体"/>
            <charset val="134"/>
          </rPr>
          <t>请去成长表分配升级提供的成长点</t>
        </r>
      </text>
    </comment>
    <comment ref="B27" authorId="0">
      <text>
        <r>
          <rPr>
            <sz val="9"/>
            <rFont val="宋体"/>
            <charset val="134"/>
          </rPr>
          <t>该符号表示该技能为通识技能。</t>
        </r>
      </text>
    </comment>
    <comment ref="C27" authorId="0">
      <text>
        <r>
          <rPr>
            <sz val="9"/>
            <rFont val="宋体"/>
            <charset val="134"/>
          </rPr>
          <t>具有◎标记的是通识技能。通识技能无法直接加点，其加点值就是该战斗技能流派所下属的技能中的最高者。这表示了角色在这一方面的综合能力，与角色的抗性数值密切相关。</t>
        </r>
      </text>
    </comment>
    <comment ref="H27" authorId="0">
      <text>
        <r>
          <rPr>
            <sz val="9"/>
            <rFont val="宋体"/>
            <charset val="134"/>
          </rPr>
          <t>通识技能无法直接加点，其加点值就是该战斗技能流派所下属技能中的最高者。</t>
        </r>
      </text>
    </comment>
    <comment ref="B35" authorId="2">
      <text>
        <r>
          <rPr>
            <sz val="9"/>
            <rFont val="宋体"/>
            <charset val="134"/>
          </rPr>
          <t>该符号表示角色具有该流派的对应资质（可自行选择）</t>
        </r>
      </text>
    </comment>
    <comment ref="C35" authorId="0">
      <text>
        <r>
          <rPr>
            <sz val="9"/>
            <rFont val="宋体"/>
            <charset val="134"/>
          </rPr>
          <t>情感/交涉/教育/技术/灵巧/镇定/洞察这7个技能流派属于非战斗技能流派。</t>
        </r>
      </text>
    </comment>
    <comment ref="AG82" authorId="1">
      <text>
        <r>
          <rPr>
            <sz val="9"/>
            <rFont val="宋体"/>
            <charset val="134"/>
          </rPr>
          <t xml:space="preserve">请到“次要特质表格”这一附表中选取特质，而后次要特质即自动显示在此处。
</t>
        </r>
      </text>
    </comment>
  </commentList>
</comments>
</file>

<file path=xl/comments2.xml><?xml version="1.0" encoding="utf-8"?>
<comments xmlns="http://schemas.openxmlformats.org/spreadsheetml/2006/main">
  <authors>
    <author>27205</author>
  </authors>
  <commentList>
    <comment ref="G2" authorId="0">
      <text>
        <r>
          <rPr>
            <sz val="9"/>
            <rFont val="宋体"/>
            <charset val="134"/>
          </rPr>
          <t>对于SN或模组发放的“不计点特质”，在特质花费一栏填写0即可。
对于减少特质点花费的特质效果（如特质点花费-5/×50%）请自行修改点数花费</t>
        </r>
      </text>
    </comment>
    <comment ref="B3" authorId="0">
      <text>
        <r>
          <rPr>
            <sz val="9"/>
            <rFont val="宋体"/>
            <charset val="134"/>
          </rPr>
          <t>如果特质槽位不足，可以通过点击最左侧+号按钮来展开额外修正因子和特质列表。
点击左上角123按钮可以快速切换展开/折叠</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<sst xmlns="http://schemas.openxmlformats.org/spreadsheetml/2006/main" count="4828" uniqueCount="2392">
  <si>
    <t>基础档案</t>
  </si>
  <si>
    <t>综合体检测试</t>
  </si>
  <si>
    <t>角色肖像</t>
  </si>
  <si>
    <t>成长表</t>
  </si>
  <si>
    <t xml:space="preserve">
战斗
流派</t>
  </si>
  <si>
    <t>成长
点数</t>
  </si>
  <si>
    <t>教育成长次数</t>
  </si>
  <si>
    <t>力量</t>
  </si>
  <si>
    <t>源石技艺</t>
  </si>
  <si>
    <t>战术</t>
  </si>
  <si>
    <t>敏捷</t>
  </si>
  <si>
    <t>【姓名】</t>
  </si>
  <si>
    <t>基础属性</t>
  </si>
  <si>
    <t>总值</t>
  </si>
  <si>
    <t>基础</t>
  </si>
  <si>
    <t>修正</t>
  </si>
  <si>
    <t>成长</t>
  </si>
  <si>
    <t>总数</t>
  </si>
  <si>
    <t>成功</t>
  </si>
  <si>
    <t>失败</t>
  </si>
  <si>
    <t>【玩家】</t>
  </si>
  <si>
    <r>
      <rPr>
        <b/>
        <sz val="9"/>
        <color rgb="FF494529"/>
        <rFont val="微软雅黑"/>
        <charset val="134"/>
      </rPr>
      <t>生理耐受</t>
    </r>
    <r>
      <rPr>
        <b/>
        <sz val="9"/>
        <color rgb="FF494529"/>
        <rFont val="Times New Roman"/>
        <charset val="134"/>
      </rPr>
      <t>PR</t>
    </r>
  </si>
  <si>
    <t>&lt;</t>
  </si>
  <si>
    <t>+</t>
  </si>
  <si>
    <t>【性别】</t>
  </si>
  <si>
    <t>【年龄】</t>
  </si>
  <si>
    <r>
      <rPr>
        <b/>
        <sz val="9"/>
        <color theme="9" tint="-0.5"/>
        <rFont val="微软雅黑"/>
        <charset val="134"/>
      </rPr>
      <t>反应机动</t>
    </r>
    <r>
      <rPr>
        <b/>
        <sz val="9"/>
        <color theme="9" tint="-0.5"/>
        <rFont val="Times New Roman"/>
        <charset val="134"/>
      </rPr>
      <t>MOB</t>
    </r>
  </si>
  <si>
    <t>非
战斗
流派</t>
  </si>
  <si>
    <t>镇定</t>
  </si>
  <si>
    <t>洞察</t>
  </si>
  <si>
    <t>情感</t>
  </si>
  <si>
    <t>交涉</t>
  </si>
  <si>
    <t>教育</t>
  </si>
  <si>
    <t>技术</t>
  </si>
  <si>
    <t>灵巧</t>
  </si>
  <si>
    <t>【生日】</t>
  </si>
  <si>
    <r>
      <rPr>
        <b/>
        <sz val="9"/>
        <color theme="5" tint="-0.5"/>
        <rFont val="微软雅黑"/>
        <charset val="134"/>
      </rPr>
      <t>物理强度</t>
    </r>
    <r>
      <rPr>
        <b/>
        <sz val="9"/>
        <color theme="5" tint="-0.5"/>
        <rFont val="Times New Roman"/>
        <charset val="134"/>
      </rPr>
      <t>PS</t>
    </r>
  </si>
  <si>
    <t>基础等级</t>
  </si>
  <si>
    <t>【出身】</t>
  </si>
  <si>
    <r>
      <rPr>
        <b/>
        <sz val="9"/>
        <color theme="6" tint="-0.5"/>
        <rFont val="微软雅黑"/>
        <charset val="134"/>
      </rPr>
      <t>精神意志</t>
    </r>
    <r>
      <rPr>
        <b/>
        <sz val="9"/>
        <color theme="6" tint="-0.5"/>
        <rFont val="Times New Roman"/>
        <charset val="134"/>
      </rPr>
      <t>SPR</t>
    </r>
  </si>
  <si>
    <t>可分配属性点</t>
  </si>
  <si>
    <t>【种族】</t>
  </si>
  <si>
    <r>
      <rPr>
        <b/>
        <sz val="9"/>
        <color theme="8" tint="-0.5"/>
        <rFont val="微软雅黑"/>
        <charset val="134"/>
      </rPr>
      <t>经验智慧</t>
    </r>
    <r>
      <rPr>
        <b/>
        <sz val="9"/>
        <color theme="8" tint="-0.5"/>
        <rFont val="Times New Roman"/>
        <charset val="134"/>
      </rPr>
      <t>INT</t>
    </r>
  </si>
  <si>
    <t>【职业】</t>
  </si>
  <si>
    <t>先锋</t>
  </si>
  <si>
    <t>【子职业】</t>
  </si>
  <si>
    <t>冲锋手</t>
  </si>
  <si>
    <r>
      <rPr>
        <b/>
        <sz val="9"/>
        <color theme="4" tint="-0.5"/>
        <rFont val="微软雅黑"/>
        <charset val="134"/>
      </rPr>
      <t>源石技艺适应性</t>
    </r>
    <r>
      <rPr>
        <b/>
        <sz val="9"/>
        <color theme="4" tint="-0.5"/>
        <rFont val="Times New Roman"/>
        <charset val="134"/>
      </rPr>
      <t>OAA</t>
    </r>
  </si>
  <si>
    <t>精英化</t>
  </si>
  <si>
    <t>升级次数</t>
  </si>
  <si>
    <t>【身高】</t>
  </si>
  <si>
    <t>【体重】</t>
  </si>
  <si>
    <r>
      <rPr>
        <b/>
        <sz val="9"/>
        <color theme="7" tint="-0.5"/>
        <rFont val="微软雅黑"/>
        <charset val="134"/>
      </rPr>
      <t>个人魅力</t>
    </r>
    <r>
      <rPr>
        <b/>
        <sz val="9"/>
        <color theme="7" tint="-0.5"/>
        <rFont val="Times New Roman"/>
        <charset val="134"/>
      </rPr>
      <t>APP</t>
    </r>
  </si>
  <si>
    <t>当前等级</t>
  </si>
  <si>
    <t>适宜身高</t>
  </si>
  <si>
    <t>适宜体重</t>
  </si>
  <si>
    <t>总计</t>
  </si>
  <si>
    <t>=</t>
  </si>
  <si>
    <t>临床诊断分析</t>
  </si>
  <si>
    <t>主要特质</t>
  </si>
  <si>
    <t>免疫力</t>
  </si>
  <si>
    <t>初始感染值</t>
  </si>
  <si>
    <t>感染值</t>
  </si>
  <si>
    <t>感染阶段</t>
  </si>
  <si>
    <t>种族</t>
  </si>
  <si>
    <t>文化</t>
  </si>
  <si>
    <t>工作</t>
  </si>
  <si>
    <t>攻击范围</t>
  </si>
  <si>
    <t>武器适用
条件</t>
  </si>
  <si>
    <t>固化症状</t>
  </si>
  <si>
    <t>临时发作</t>
  </si>
  <si>
    <t>特性</t>
  </si>
  <si>
    <t>可触发的被动</t>
  </si>
  <si>
    <t>天赋清单：</t>
  </si>
  <si>
    <t>长期疗程</t>
  </si>
  <si>
    <r>
      <rPr>
        <b/>
        <sz val="9"/>
        <color rgb="FF000000"/>
        <rFont val="Times New Roman"/>
        <charset val="134"/>
      </rPr>
      <t xml:space="preserve">SP
</t>
    </r>
    <r>
      <rPr>
        <b/>
        <sz val="9"/>
        <color rgb="FF000000"/>
        <rFont val="宋体"/>
        <charset val="134"/>
      </rPr>
      <t>回复方式</t>
    </r>
  </si>
  <si>
    <t>技能表</t>
  </si>
  <si>
    <t>属性</t>
  </si>
  <si>
    <t>当前</t>
  </si>
  <si>
    <t>上限</t>
  </si>
  <si>
    <t>补正</t>
  </si>
  <si>
    <t>加点</t>
  </si>
  <si>
    <t>生命值</t>
  </si>
  <si>
    <t>物理强度</t>
  </si>
  <si>
    <t>经验智慧</t>
  </si>
  <si>
    <t>反应机动</t>
  </si>
  <si>
    <t>源石技艺适应性</t>
  </si>
  <si>
    <t>物理抗性</t>
  </si>
  <si>
    <t>★</t>
  </si>
  <si>
    <t>源石技艺理论</t>
  </si>
  <si>
    <t>法术抗性</t>
  </si>
  <si>
    <t>◎</t>
  </si>
  <si>
    <t>格斗</t>
  </si>
  <si>
    <t>战术规划</t>
  </si>
  <si>
    <t>身法</t>
  </si>
  <si>
    <t>施术</t>
  </si>
  <si>
    <t>技力</t>
  </si>
  <si>
    <t>长兵</t>
  </si>
  <si>
    <t>支援技术</t>
  </si>
  <si>
    <t>短兵</t>
  </si>
  <si>
    <t>初动</t>
  </si>
  <si>
    <t>软兵</t>
  </si>
  <si>
    <t>兵械操作</t>
  </si>
  <si>
    <t>暗器</t>
  </si>
  <si>
    <t>附加
数据</t>
  </si>
  <si>
    <t>元素韧性</t>
  </si>
  <si>
    <t>韧性修正</t>
  </si>
  <si>
    <t>刀剑</t>
  </si>
  <si>
    <t>生物驯养</t>
  </si>
  <si>
    <t>射击</t>
  </si>
  <si>
    <t>技艺点</t>
  </si>
  <si>
    <t>技艺点补正</t>
  </si>
  <si>
    <t>拳术</t>
  </si>
  <si>
    <t>精神意志</t>
  </si>
  <si>
    <t>重量等级</t>
  </si>
  <si>
    <t>重量修正</t>
  </si>
  <si>
    <t>钝器</t>
  </si>
  <si>
    <t>理工学</t>
  </si>
  <si>
    <t>妙手</t>
  </si>
  <si>
    <t>耐力上限</t>
  </si>
  <si>
    <t>耐力修正</t>
  </si>
  <si>
    <t>盾术</t>
  </si>
  <si>
    <t>医药学</t>
  </si>
  <si>
    <t>急救</t>
  </si>
  <si>
    <t>欺诈</t>
  </si>
  <si>
    <t>武
器</t>
  </si>
  <si>
    <t>武器名称</t>
  </si>
  <si>
    <t>战斗相关
特质效果</t>
  </si>
  <si>
    <t>个人魅力</t>
  </si>
  <si>
    <t>源石学</t>
  </si>
  <si>
    <t>驾驶</t>
  </si>
  <si>
    <t>乔装</t>
  </si>
  <si>
    <t>所属分支</t>
  </si>
  <si>
    <t>※</t>
  </si>
  <si>
    <t>社会学</t>
  </si>
  <si>
    <t>舞蹈</t>
  </si>
  <si>
    <t>潜行</t>
  </si>
  <si>
    <t>防御技能</t>
  </si>
  <si>
    <t>武器骰面</t>
  </si>
  <si>
    <t>声乐</t>
  </si>
  <si>
    <t>政法学</t>
  </si>
  <si>
    <t>额外附加技能</t>
  </si>
  <si>
    <t>攻击类型</t>
  </si>
  <si>
    <t>伤害类型</t>
  </si>
  <si>
    <t>武器配
件</t>
  </si>
  <si>
    <t>名称</t>
  </si>
  <si>
    <t>艺术</t>
  </si>
  <si>
    <t>经管学</t>
  </si>
  <si>
    <t>附加技能A</t>
  </si>
  <si>
    <t>调查</t>
  </si>
  <si>
    <t>依赖属性</t>
  </si>
  <si>
    <t>属性值</t>
  </si>
  <si>
    <t>效
果</t>
  </si>
  <si>
    <t>心理</t>
  </si>
  <si>
    <t>附加技能B</t>
  </si>
  <si>
    <t>觉察</t>
  </si>
  <si>
    <t>攻击技能</t>
  </si>
  <si>
    <t>技能值</t>
  </si>
  <si>
    <t>农林渔牧</t>
  </si>
  <si>
    <t>附加技能C</t>
  </si>
  <si>
    <t>追踪</t>
  </si>
  <si>
    <t>效能骰</t>
  </si>
  <si>
    <t>效能期望</t>
  </si>
  <si>
    <t>游说</t>
  </si>
  <si>
    <t>手工工艺</t>
  </si>
  <si>
    <t>附加技能D</t>
  </si>
  <si>
    <t>附加技能</t>
  </si>
  <si>
    <t>辅助骰</t>
  </si>
  <si>
    <t>辅助期望</t>
  </si>
  <si>
    <t>取悦</t>
  </si>
  <si>
    <t>机械工程</t>
  </si>
  <si>
    <t>附加技能E</t>
  </si>
  <si>
    <t>先史</t>
  </si>
  <si>
    <t>武器
描述</t>
  </si>
  <si>
    <t>威吓</t>
  </si>
  <si>
    <t>电子工程</t>
  </si>
  <si>
    <t>附加技能F</t>
  </si>
  <si>
    <t>通用语</t>
  </si>
  <si>
    <t>信 誉 系 统</t>
  </si>
  <si>
    <t>防
具</t>
  </si>
  <si>
    <t>防具名称</t>
  </si>
  <si>
    <t>防具配
件</t>
  </si>
  <si>
    <t>经济</t>
  </si>
  <si>
    <t>经济评级</t>
  </si>
  <si>
    <t>收
支
详
表</t>
  </si>
  <si>
    <t>收支</t>
  </si>
  <si>
    <t>所属阶层</t>
  </si>
  <si>
    <t>依赖技能</t>
  </si>
  <si>
    <t>防具类型</t>
  </si>
  <si>
    <t>特质补正</t>
  </si>
  <si>
    <t>具体
项目</t>
  </si>
  <si>
    <t>资产
表列</t>
  </si>
  <si>
    <t>˅</t>
  </si>
  <si>
    <t>防具
描述</t>
  </si>
  <si>
    <t>阶层</t>
  </si>
  <si>
    <t>资源</t>
  </si>
  <si>
    <t>源石锭</t>
  </si>
  <si>
    <t>收支详表</t>
  </si>
  <si>
    <t>消
耗
品</t>
  </si>
  <si>
    <t>使用效果</t>
  </si>
  <si>
    <t>投
掷
物</t>
  </si>
  <si>
    <t>剩余</t>
  </si>
  <si>
    <t>人脉</t>
  </si>
  <si>
    <t>社交点数</t>
  </si>
  <si>
    <t>人脉表</t>
  </si>
  <si>
    <t>对象</t>
  </si>
  <si>
    <t>语言</t>
  </si>
  <si>
    <t>类型</t>
  </si>
  <si>
    <t>当前剩余</t>
  </si>
  <si>
    <t>点数支出</t>
  </si>
  <si>
    <t>头衔</t>
  </si>
  <si>
    <t>用于头衔</t>
  </si>
  <si>
    <t>头衔表</t>
  </si>
  <si>
    <t>支出</t>
  </si>
  <si>
    <t>召
唤
物</t>
  </si>
  <si>
    <t>生命上限</t>
  </si>
  <si>
    <t>单位词条</t>
  </si>
  <si>
    <t>效果</t>
  </si>
  <si>
    <t>档案资料</t>
  </si>
  <si>
    <t>模组经历表</t>
  </si>
  <si>
    <t>客
观
履
历</t>
  </si>
  <si>
    <t>出身家庭</t>
  </si>
  <si>
    <t>外观概述</t>
  </si>
  <si>
    <t>综合能力评价</t>
  </si>
  <si>
    <t>模组名称</t>
  </si>
  <si>
    <t>经历</t>
  </si>
  <si>
    <t>收获</t>
  </si>
  <si>
    <t>人生经历</t>
  </si>
  <si>
    <t>携带物</t>
  </si>
  <si>
    <t>上限负重</t>
  </si>
  <si>
    <t>实际负重</t>
  </si>
  <si>
    <t>内容</t>
  </si>
  <si>
    <t>重量</t>
  </si>
  <si>
    <t>个人现状</t>
  </si>
  <si>
    <t>特
质
名
称
清
单</t>
  </si>
  <si>
    <t>躯体</t>
  </si>
  <si>
    <t>特
质
效
果
查
询
器</t>
  </si>
  <si>
    <t>个
人
信
念</t>
  </si>
  <si>
    <t>角色性格</t>
  </si>
  <si>
    <t>特质查询：</t>
  </si>
  <si>
    <t>精神</t>
  </si>
  <si>
    <t>处世观念</t>
  </si>
  <si>
    <t>对感染者态度</t>
  </si>
  <si>
    <t>社交</t>
  </si>
  <si>
    <t>请到附表内填写自定义特质</t>
  </si>
  <si>
    <t>如果特质槽位不足，可以通过点击最左侧+号按钮来展开额外修正因子和特质列表！
点击左上角123按钮可以快速切换展开/折叠</t>
  </si>
  <si>
    <t>感谢 阿云(QQ@3588635784)对特质表的自动化
以及其他优化工作！</t>
  </si>
  <si>
    <t>（仅提供主要特质的自动修正）
感谢@星辰晚冬 的协助编写</t>
  </si>
  <si>
    <t>我的特质</t>
  </si>
  <si>
    <t>特质名称</t>
  </si>
  <si>
    <t>特质描述</t>
  </si>
  <si>
    <t>特质效果</t>
  </si>
  <si>
    <t>点数花费</t>
  </si>
  <si>
    <t>总花费</t>
  </si>
  <si>
    <t>基础点数</t>
  </si>
  <si>
    <t>对于自定义特质的数值估算：
1基础属性=10特质点
2非战斗副属性=5特质点
1非战斗技能=5特质点
1战斗副属性=10特质点
1战斗技能值=20特质点
1经济评级=1特质点=1社交点</t>
  </si>
  <si>
    <t>生理耐受</t>
  </si>
  <si>
    <t>躯体
天赋</t>
  </si>
  <si>
    <t>手动修正</t>
  </si>
  <si>
    <t>修正因子</t>
  </si>
  <si>
    <t>来自主要</t>
  </si>
  <si>
    <t>自动修正</t>
  </si>
  <si>
    <t>杂项属性</t>
  </si>
  <si>
    <t>SP上限</t>
  </si>
  <si>
    <t>特质表花费</t>
  </si>
  <si>
    <t>总返还</t>
  </si>
  <si>
    <t>剩余点数</t>
  </si>
  <si>
    <t>战斗属性</t>
  </si>
  <si>
    <t>躯体
缺陷</t>
  </si>
  <si>
    <t>特殊效果总结</t>
  </si>
  <si>
    <t>力量流派</t>
  </si>
  <si>
    <t>情感流派</t>
  </si>
  <si>
    <t>精神
天赋</t>
  </si>
  <si>
    <t>交涉流派</t>
  </si>
  <si>
    <t>战术流派</t>
  </si>
  <si>
    <t>精神
缺陷</t>
  </si>
  <si>
    <t>教育流派</t>
  </si>
  <si>
    <t>技术流派</t>
  </si>
  <si>
    <t>社交
特质</t>
  </si>
  <si>
    <t>现有社交点</t>
  </si>
  <si>
    <t>敏捷流派</t>
  </si>
  <si>
    <t>消耗社交点</t>
  </si>
  <si>
    <t>剩余社交点</t>
  </si>
  <si>
    <t>灵巧流派</t>
  </si>
  <si>
    <t>特质点返还</t>
  </si>
  <si>
    <t>源石技艺
理论流派</t>
  </si>
  <si>
    <t>镇定流派</t>
  </si>
  <si>
    <t>洞察流派</t>
  </si>
  <si>
    <t>撰写人：小半</t>
  </si>
  <si>
    <t>精英化阶段零</t>
  </si>
  <si>
    <t>精零天赋</t>
  </si>
  <si>
    <t>精英化零阶段 被动技艺</t>
  </si>
  <si>
    <t>天赋名称</t>
  </si>
  <si>
    <t>行动消耗</t>
  </si>
  <si>
    <t>释放范围</t>
  </si>
  <si>
    <t>技艺名称</t>
  </si>
  <si>
    <t>天赋效果</t>
  </si>
  <si>
    <t>资源消耗</t>
  </si>
  <si>
    <t>生效目标</t>
  </si>
  <si>
    <t>被动技艺效果</t>
  </si>
  <si>
    <t>分支
特性</t>
  </si>
  <si>
    <t>技艺效果</t>
  </si>
  <si>
    <t>武器
类型</t>
  </si>
  <si>
    <t>精英化阶段一</t>
  </si>
  <si>
    <t>精一天赋</t>
  </si>
  <si>
    <t>精英化一阶段 被动技艺</t>
  </si>
  <si>
    <t>SP
回复</t>
  </si>
  <si>
    <t>精英化阶段二</t>
  </si>
  <si>
    <t>精二天赋</t>
  </si>
  <si>
    <t>精英化二阶段 被动技艺</t>
  </si>
  <si>
    <t>攻
击
范
围</t>
  </si>
  <si>
    <t>模组阶段</t>
  </si>
  <si>
    <t>模组阶段 被动技艺</t>
  </si>
  <si>
    <t>生命值
上限</t>
  </si>
  <si>
    <t>法术
抗性</t>
  </si>
  <si>
    <t>物理
抗性</t>
  </si>
  <si>
    <t>主动动作</t>
  </si>
  <si>
    <t>消耗</t>
  </si>
  <si>
    <t>条件</t>
  </si>
  <si>
    <t>正面状态</t>
  </si>
  <si>
    <t>状态效果</t>
  </si>
  <si>
    <t>负面状态</t>
  </si>
  <si>
    <t>生效范围</t>
  </si>
  <si>
    <t>普通攻击</t>
  </si>
  <si>
    <t>1主要行动</t>
  </si>
  <si>
    <t>持有武器</t>
  </si>
  <si>
    <t>使用武器对目标进行一次普通攻击。</t>
  </si>
  <si>
    <t>伤害强化X</t>
  </si>
  <si>
    <t>攻击的最终伤害+X。</t>
  </si>
  <si>
    <t>脆弱X</t>
  </si>
  <si>
    <t>受到的伤害+X</t>
  </si>
  <si>
    <t>范围图例</t>
  </si>
  <si>
    <t>描述1</t>
  </si>
  <si>
    <t>描述</t>
  </si>
  <si>
    <t>轻击</t>
  </si>
  <si>
    <t>使用武器对目标进行一次普通攻击，但不造成伤害。</t>
  </si>
  <si>
    <t>精准</t>
  </si>
  <si>
    <t>无视目标的动作：【完全闪避】。</t>
  </si>
  <si>
    <t>失能</t>
  </si>
  <si>
    <t>无法执行任何动作。</t>
  </si>
  <si>
    <r>
      <rPr>
        <b/>
        <sz val="11"/>
        <color theme="9" tint="-0.5"/>
        <rFont val="微软雅黑"/>
        <charset val="134"/>
      </rPr>
      <t>阶梯1</t>
    </r>
    <r>
      <rPr>
        <b/>
        <sz val="11"/>
        <color rgb="FF000000"/>
        <rFont val="微软雅黑"/>
        <charset val="134"/>
      </rPr>
      <t xml:space="preserve">
</t>
    </r>
    <r>
      <rPr>
        <b/>
        <sz val="11"/>
        <color theme="8" tint="-0.5"/>
        <rFont val="微软雅黑"/>
        <charset val="134"/>
      </rPr>
      <t>中心4</t>
    </r>
    <r>
      <rPr>
        <b/>
        <sz val="11"/>
        <color rgb="FF000000"/>
        <rFont val="微软雅黑"/>
        <charset val="134"/>
      </rPr>
      <t xml:space="preserve">
</t>
    </r>
    <r>
      <rPr>
        <b/>
        <i/>
        <sz val="11"/>
        <color rgb="FF000000"/>
        <rFont val="微软雅黑"/>
        <charset val="134"/>
      </rPr>
      <t>“轰隆隆先生”</t>
    </r>
  </si>
  <si>
    <r>
      <rPr>
        <b/>
        <sz val="11"/>
        <color theme="6" tint="-0.5"/>
        <rFont val="微软雅黑"/>
        <charset val="134"/>
      </rPr>
      <t>距离1</t>
    </r>
    <r>
      <rPr>
        <b/>
        <sz val="11"/>
        <color theme="1"/>
        <rFont val="微软雅黑"/>
        <charset val="134"/>
      </rPr>
      <t xml:space="preserve">
</t>
    </r>
    <r>
      <rPr>
        <b/>
        <sz val="11"/>
        <color theme="8" tint="-0.5"/>
        <rFont val="微软雅黑"/>
        <charset val="134"/>
      </rPr>
      <t>中心8</t>
    </r>
    <r>
      <rPr>
        <b/>
        <sz val="11"/>
        <color theme="1"/>
        <rFont val="微软雅黑"/>
        <charset val="134"/>
      </rPr>
      <t xml:space="preserve">
</t>
    </r>
    <r>
      <rPr>
        <b/>
        <i/>
        <sz val="11"/>
        <color theme="1"/>
        <rFont val="微软雅黑"/>
        <charset val="134"/>
      </rPr>
      <t>“剑雨滂沱”</t>
    </r>
  </si>
  <si>
    <t>警戒</t>
  </si>
  <si>
    <t>有角色移动，且移动前位于角色的武器攻击范围内</t>
  </si>
  <si>
    <t>立即在该角色移动前对其进行一次普通攻击。同次警戒内，对每个单位仅触发一次。</t>
  </si>
  <si>
    <t>魅影</t>
  </si>
  <si>
    <t>进行动作：【完全闪避】时，不再消耗行动。</t>
  </si>
  <si>
    <t>标记</t>
  </si>
  <si>
    <t>无效果，但同时被视为【停顿】，【震颤】，【寒冷】，【困顿】。</t>
  </si>
  <si>
    <t>瞄准</t>
  </si>
  <si>
    <t>视野内</t>
  </si>
  <si>
    <t>施加“被瞄准”。“被瞄准”：施加者可指定该单位作为远程攻击的目标，在该单位离开施加者的视野，或进入掩体；施加者受到攻击，主动更换目标或移动后解除。</t>
  </si>
  <si>
    <t>嘲讽</t>
  </si>
  <si>
    <t>被嘲讽的角色应当攻击的目标，没有实际意义。</t>
  </si>
  <si>
    <t>寒冷</t>
  </si>
  <si>
    <t>无法获取快速行动。当拥有“寒冷”时再次被施加“寒冷”，升级为“冻结”。</t>
  </si>
  <si>
    <t>被嘲讽</t>
  </si>
  <si>
    <t>攻击没有【嘲讽】的目标时，造成的折后伤害降低50%</t>
  </si>
  <si>
    <t>冻结</t>
  </si>
  <si>
    <t>失能，物理抗性+10，法术抗性-10。回合结束一次后，解除本效果。</t>
  </si>
  <si>
    <r>
      <rPr>
        <b/>
        <sz val="11"/>
        <color theme="9" tint="-0.5"/>
        <rFont val="微软雅黑"/>
        <charset val="134"/>
      </rPr>
      <t>阶梯2</t>
    </r>
    <r>
      <rPr>
        <b/>
        <sz val="11"/>
        <color rgb="FF000000"/>
        <rFont val="微软雅黑"/>
        <charset val="134"/>
      </rPr>
      <t xml:space="preserve">
</t>
    </r>
    <r>
      <rPr>
        <b/>
        <sz val="11"/>
        <color theme="8" tint="-0.5"/>
        <rFont val="微软雅黑"/>
        <charset val="134"/>
      </rPr>
      <t>中心12</t>
    </r>
    <r>
      <rPr>
        <b/>
        <sz val="11"/>
        <color rgb="FF000000"/>
        <rFont val="微软雅黑"/>
        <charset val="134"/>
      </rPr>
      <t xml:space="preserve">
</t>
    </r>
    <r>
      <rPr>
        <b/>
        <i/>
        <sz val="11"/>
        <color rgb="FF000000"/>
        <rFont val="微软雅黑"/>
        <charset val="134"/>
      </rPr>
      <t>“剑雨”</t>
    </r>
  </si>
  <si>
    <r>
      <rPr>
        <b/>
        <sz val="11"/>
        <color theme="6" tint="-0.5"/>
        <rFont val="微软雅黑"/>
        <charset val="134"/>
      </rPr>
      <t>距离2</t>
    </r>
    <r>
      <rPr>
        <b/>
        <sz val="11"/>
        <color theme="1"/>
        <rFont val="微软雅黑"/>
        <charset val="134"/>
      </rPr>
      <t xml:space="preserve">
</t>
    </r>
    <r>
      <rPr>
        <b/>
        <sz val="11"/>
        <color theme="8" tint="-0.5"/>
        <rFont val="微软雅黑"/>
        <charset val="134"/>
      </rPr>
      <t>中心20</t>
    </r>
    <r>
      <rPr>
        <b/>
        <sz val="11"/>
        <color theme="1"/>
        <rFont val="微软雅黑"/>
        <charset val="134"/>
      </rPr>
      <t xml:space="preserve">
</t>
    </r>
    <r>
      <rPr>
        <b/>
        <i/>
        <sz val="11"/>
        <color theme="1"/>
        <rFont val="微软雅黑"/>
        <charset val="134"/>
      </rPr>
      <t>“药物配置”</t>
    </r>
  </si>
  <si>
    <t>投掷物品</t>
  </si>
  <si>
    <t>1快速行动</t>
  </si>
  <si>
    <t>携带了对应的投掷物</t>
  </si>
  <si>
    <t>选择一个攻击范围内的战术格，基于该战术格触发投掷物所具有的对应效果。</t>
  </si>
  <si>
    <t>迅捷</t>
  </si>
  <si>
    <t>下一轮最先行动。多个角色存在迅捷时，按常规先攻规则排位。</t>
  </si>
  <si>
    <t>麻痹</t>
  </si>
  <si>
    <t>无法获取主要行动。当拥有“麻痹”时再次被施加“麻痹”，升级为“眩晕”。</t>
  </si>
  <si>
    <t>切换武器</t>
  </si>
  <si>
    <t>无消耗</t>
  </si>
  <si>
    <t>拥有多把武器</t>
  </si>
  <si>
    <t>改变自己所持有的武器。包括武器的变形，弹药种类的切换，以及交换背包中和自己所持有的武器。</t>
  </si>
  <si>
    <t>护盾X</t>
  </si>
  <si>
    <t>抵消受到的攻击，生效后X-1，X为0时终止该状态。</t>
  </si>
  <si>
    <t>眩晕</t>
  </si>
  <si>
    <t>失能。</t>
  </si>
  <si>
    <t>移动预备</t>
  </si>
  <si>
    <t>无</t>
  </si>
  <si>
    <t>获得3个移动位</t>
  </si>
  <si>
    <t>屏障X</t>
  </si>
  <si>
    <t>获得X点临时HP，X为0时终止该状态。</t>
  </si>
  <si>
    <t>停顿</t>
  </si>
  <si>
    <t>通过【移动预备】获得的移动位固定为1；被重复施加“停顿”时升级为“束缚”。</t>
  </si>
  <si>
    <r>
      <rPr>
        <b/>
        <sz val="11"/>
        <color theme="9" tint="-0.5"/>
        <rFont val="微软雅黑"/>
        <charset val="134"/>
      </rPr>
      <t>阶梯3</t>
    </r>
    <r>
      <rPr>
        <b/>
        <sz val="11"/>
        <color rgb="FF000000"/>
        <rFont val="微软雅黑"/>
        <charset val="134"/>
      </rPr>
      <t xml:space="preserve">
</t>
    </r>
    <r>
      <rPr>
        <b/>
        <sz val="11"/>
        <color theme="8" tint="-0.5"/>
        <rFont val="微软雅黑"/>
        <charset val="134"/>
      </rPr>
      <t>中心24</t>
    </r>
    <r>
      <rPr>
        <b/>
        <sz val="11"/>
        <color rgb="FF000000"/>
        <rFont val="微软雅黑"/>
        <charset val="134"/>
      </rPr>
      <t xml:space="preserve">
</t>
    </r>
    <r>
      <rPr>
        <b/>
        <i/>
        <sz val="11"/>
        <color rgb="FF000000"/>
        <rFont val="微软雅黑"/>
        <charset val="134"/>
      </rPr>
      <t>“火山”</t>
    </r>
  </si>
  <si>
    <r>
      <rPr>
        <b/>
        <sz val="11"/>
        <color theme="6" tint="-0.5"/>
        <rFont val="微软雅黑"/>
        <charset val="134"/>
      </rPr>
      <t>距离3</t>
    </r>
    <r>
      <rPr>
        <b/>
        <sz val="11"/>
        <color theme="1"/>
        <rFont val="微软雅黑"/>
        <charset val="134"/>
      </rPr>
      <t xml:space="preserve">
</t>
    </r>
    <r>
      <rPr>
        <b/>
        <sz val="11"/>
        <color theme="8" tint="-0.5"/>
        <rFont val="微软雅黑"/>
        <charset val="134"/>
      </rPr>
      <t>中心36</t>
    </r>
    <r>
      <rPr>
        <b/>
        <sz val="11"/>
        <color theme="1"/>
        <rFont val="微软雅黑"/>
        <charset val="134"/>
      </rPr>
      <t xml:space="preserve">
</t>
    </r>
    <r>
      <rPr>
        <b/>
        <i/>
        <sz val="11"/>
        <color theme="1"/>
        <rFont val="微软雅黑"/>
        <charset val="134"/>
      </rPr>
      <t>“（暂无）”</t>
    </r>
  </si>
  <si>
    <t>跳跃</t>
  </si>
  <si>
    <t>有中心20范围内的一个高度不高于自身的战术格为目标格</t>
  </si>
  <si>
    <t>进行一次难度基于环境复杂度的身法检定，若成功，则向目标格位移且无视移动路径中的地形效果，若这一动作使自身受到摔落伤害，将伤害值减半；若失败，则由SN决定发生了什么（不好的事）</t>
  </si>
  <si>
    <t>隐匿</t>
  </si>
  <si>
    <t>只能在合适的环境下（如黑暗处）生效。在其他人眼中不可见，不可被其他人选取为目标。</t>
  </si>
  <si>
    <t>束缚</t>
  </si>
  <si>
    <t>无法获得移动位，不可进行主动移动。</t>
  </si>
  <si>
    <t>攀援</t>
  </si>
  <si>
    <t>有中心8范围内的一个高台战术格为目标格</t>
  </si>
  <si>
    <t>进行一次难度基于环境复杂度的身法检定，若成功，则向目标格位移；若失败，则由SN决定发生了什么（不好的事）。</t>
  </si>
  <si>
    <t>迷彩</t>
  </si>
  <si>
    <t>在任何环境下都可生效，在其他人眼中不可见，不可被其他人选取为目标。</t>
  </si>
  <si>
    <t>困顿</t>
  </si>
  <si>
    <t>无法执行反应动作。当拥有“困顿”时再次被施加“困顿”，升级为“睡眠”。</t>
  </si>
  <si>
    <t>移动</t>
  </si>
  <si>
    <t>1移动位</t>
  </si>
  <si>
    <t>有九宫格范围内的一个可通行战术格为目标格</t>
  </si>
  <si>
    <t>向目标格位移。特别地，若选择了一个斜向战术格为目标格，本回合内第二次（或是之后的偶数次）选择相同方向的战术格为目标格时消耗的移动位+1</t>
  </si>
  <si>
    <t>抵抗</t>
  </si>
  <si>
    <t>无效被施加的状态，由被施加者选择是否生效。</t>
  </si>
  <si>
    <t>睡眠</t>
  </si>
  <si>
    <t>失能，状态解除时，失去快速行动。HP因受到攻击而减少后，解除本效果。</t>
  </si>
  <si>
    <t>元素屏障X</t>
  </si>
  <si>
    <t>获得X点临时元素韧性。</t>
  </si>
  <si>
    <t>失重</t>
  </si>
  <si>
    <t>重量降低X；若重量因此低于0，获得浮空。</t>
  </si>
  <si>
    <t>转向</t>
  </si>
  <si>
    <t>进行了移动预备，或执行了某个消耗了主要行动的动作的之前或之后，尚未进行另一个新的动作时</t>
  </si>
  <si>
    <t>改变自己的朝向，进而改变自己的攻击范围。</t>
  </si>
  <si>
    <t>暴击</t>
  </si>
  <si>
    <t>攻击时，全部造成伤害的骰子的投掷结果被固定为最大值。</t>
  </si>
  <si>
    <t>浮空</t>
  </si>
  <si>
    <t>所在高度层+1，失能，重量变为0。</t>
  </si>
  <si>
    <t>环境允许</t>
  </si>
  <si>
    <t>进行一次潜行检定，获得状态“隐匿”</t>
  </si>
  <si>
    <t>免疫</t>
  </si>
  <si>
    <t>不受任何外界效果影响。</t>
  </si>
  <si>
    <t>沉默</t>
  </si>
  <si>
    <t>无法释放技艺</t>
  </si>
  <si>
    <t>侦测</t>
  </si>
  <si>
    <t>进行一次检定难度基于环境复杂度的【觉察】或【调查】检定，若成功，移除在你视野范围内的所有单位的“隐匿”与“迷彩”。</t>
  </si>
  <si>
    <t>穿透</t>
  </si>
  <si>
    <t>攻击无视掩体效果。</t>
  </si>
  <si>
    <t>战栗</t>
  </si>
  <si>
    <t>无法进行动作：【攻击】</t>
  </si>
  <si>
    <t>面前战术格范围内存在角色</t>
  </si>
  <si>
    <t>进入引导直至自身的下一次回合开始，使对方的生命值恢复等同于其最大生命值×20%</t>
  </si>
  <si>
    <t>亲和</t>
  </si>
  <si>
    <t>受到治疗时，治疗来源的效能骰获得骰面升级。</t>
  </si>
  <si>
    <t>禁疗</t>
  </si>
  <si>
    <t>受到的生命值恢复效果失效。</t>
  </si>
  <si>
    <t>反应动作</t>
  </si>
  <si>
    <t>加重X</t>
  </si>
  <si>
    <t>重量等级增加X</t>
  </si>
  <si>
    <t>迟缓</t>
  </si>
  <si>
    <r>
      <rPr>
        <b/>
        <sz val="10.5"/>
        <color rgb="FF000000"/>
        <rFont val="微软雅黑"/>
        <charset val="134"/>
      </rPr>
      <t>将你在下一轮次的回合置于该轮次的末尾，与</t>
    </r>
    <r>
      <rPr>
        <b/>
        <sz val="10.5"/>
        <color theme="1"/>
        <rFont val="微软雅黑"/>
        <charset val="134"/>
      </rPr>
      <t>“迅捷”</t>
    </r>
    <r>
      <rPr>
        <b/>
        <sz val="10.5"/>
        <color rgb="FF000000"/>
        <rFont val="微软雅黑"/>
        <charset val="134"/>
      </rPr>
      <t>相抵消。生效一次后，结束状态。</t>
    </r>
  </si>
  <si>
    <t>完全闪避</t>
  </si>
  <si>
    <t>受到攻击</t>
  </si>
  <si>
    <t>使用一个身法检定与攻击方的伤害对抗；若对抗成功，则抵消本次攻击。</t>
  </si>
  <si>
    <t>特殊状态</t>
  </si>
  <si>
    <t>流血</t>
  </si>
  <si>
    <t>每主动移动一次，失去当前10%的HP。</t>
  </si>
  <si>
    <t>完全格挡/招架</t>
  </si>
  <si>
    <t>使用一个格斗检定与攻击方的伤害对抗；若对抗成功，则抵消本次攻击。</t>
  </si>
  <si>
    <t>飞行</t>
  </si>
  <si>
    <t>在自己的每个回合内，可以改变自己的所处高度一层而不受地形限制。</t>
  </si>
  <si>
    <t>恐惧</t>
  </si>
  <si>
    <t>当周围8格没有友方单位，仅能执行【移动预备】与【移动】</t>
  </si>
  <si>
    <t>阻挡打击</t>
  </si>
  <si>
    <t>一个单位以与自身朝向不同的方向离开自身的控制区。借机攻击同时满足条件时，可同时触发</t>
  </si>
  <si>
    <t>对该角色进行一次普通攻击，攻击命中后，对其施加“束缚”，持续至该目标回合结束一次。</t>
  </si>
  <si>
    <t>引导</t>
  </si>
  <si>
    <t>进行任意动作时，将该状态来源的技艺终止，并结束此状态。</t>
  </si>
  <si>
    <t>目盲</t>
  </si>
  <si>
    <t>无法选中除自己以外的目标。</t>
  </si>
  <si>
    <t>重振</t>
  </si>
  <si>
    <t>1耐力</t>
  </si>
  <si>
    <t>自身处于“濒死”，且受到了生命值回复效果时</t>
  </si>
  <si>
    <t>清除“濒死”，并使自身的生命值改为等同于本次生命值回复值。</t>
  </si>
  <si>
    <t>失衡</t>
  </si>
  <si>
    <t>当单位以并非来源于自身的效果而被迫移动期间，视为具有该状态。</t>
  </si>
  <si>
    <t>地块名称</t>
  </si>
  <si>
    <t>地块效果</t>
  </si>
  <si>
    <t>损伤名称</t>
  </si>
  <si>
    <t>高台</t>
  </si>
  <si>
    <t>位于该地块的单位，无法被地面单位的行动：【近战攻击】指定</t>
  </si>
  <si>
    <t>凋亡损伤爆发</t>
  </si>
  <si>
    <t>立即造成两次等同于损伤施加者辅助骰的真实伤害，并施加【迟缓】。失去3SP，若没有SP可以失去，改为额外造成一次等同于损伤施加者辅助骰的真实伤害。</t>
  </si>
  <si>
    <t>陷坑</t>
  </si>
  <si>
    <t>位于该地块的单位，视作濒死并离开战场</t>
  </si>
  <si>
    <t>元素损伤爆发期持续至该角色的回合开始1次。</t>
  </si>
  <si>
    <t>草丛</t>
  </si>
  <si>
    <t>位于该地块内的单位，获得【隐匿】</t>
  </si>
  <si>
    <t>组织损伤</t>
  </si>
  <si>
    <t>立即造成三次等同于损伤施加者辅助骰的真实伤害，并施加【迟缓】。</t>
  </si>
  <si>
    <t>热泵通道</t>
  </si>
  <si>
    <t>在每轮次开始时，对位于该地块的单位造成5灼燃损伤</t>
  </si>
  <si>
    <t>毒性损伤爆发</t>
  </si>
  <si>
    <t>立即造成两次等同于损伤施加者辅助骰的真实伤害，并施加【迟缓】。</t>
  </si>
  <si>
    <t>活性源石</t>
  </si>
  <si>
    <t>当任意单位经过此地块时，获得【力量10】【涌动10】，但每轮次开始时，感染值/恶化值+2</t>
  </si>
  <si>
    <t>元素损伤爆发期间，【禁疗】，持续至该角色回合开始1次。</t>
  </si>
  <si>
    <t>腐蚀地面</t>
  </si>
  <si>
    <t>位于该地块的单位，物理抗性减半</t>
  </si>
  <si>
    <t>侵蚀损伤爆发</t>
  </si>
  <si>
    <t>岩浆喷射处</t>
  </si>
  <si>
    <t>在每回合开始时，对周围8格单位造成3灼燃损伤</t>
  </si>
  <si>
    <t>元素损伤爆发期间，受到的物理伤害增加一个来自攻击者的辅助骰，持续至该角色回合开始1次。</t>
  </si>
  <si>
    <t>沼泽</t>
  </si>
  <si>
    <t>经过此地块消耗的移动位翻倍</t>
  </si>
  <si>
    <t>灼燃损伤爆发</t>
  </si>
  <si>
    <t>冰面</t>
  </si>
  <si>
    <t>位于该地块的单位，重量-1</t>
  </si>
  <si>
    <t>元素损伤爆发期间，受到的法术伤害增加一个来自攻击者的辅助骰，持续至该角色回合开始1次。</t>
  </si>
  <si>
    <t>深水区</t>
  </si>
  <si>
    <t>每轮次开始时，对位于该地块的单位造成5侵蚀损伤</t>
  </si>
  <si>
    <t>神经损伤爆发</t>
  </si>
  <si>
    <t>立即造成一次等同于损伤施加者辅助骰的真实伤害，并施加【迟缓】。</t>
  </si>
  <si>
    <t>通道入口</t>
  </si>
  <si>
    <t>在进入该地块时，脱离战场，并在下一回合出现于对应的通道出口</t>
  </si>
  <si>
    <t>元素损伤爆发期间，【眩晕】，持续至该角色回合开始1次。</t>
  </si>
  <si>
    <t>通道出口</t>
  </si>
  <si>
    <t>在进入该地块时，脱离战场，并在下一回合出现于对应的通道入口</t>
  </si>
  <si>
    <t>医疗地块</t>
  </si>
  <si>
    <t>位于该地块的单位，获得【亲和】</t>
  </si>
  <si>
    <t>防御地块</t>
  </si>
  <si>
    <t>位于该地块的单位，获得物理抗性+10</t>
  </si>
  <si>
    <t>种族特质</t>
  </si>
  <si>
    <t>文化特质</t>
  </si>
  <si>
    <t>工作特质</t>
  </si>
  <si>
    <t>菲林（猫）</t>
  </si>
  <si>
    <t>感官敏锐、大多生有尖耳和长尾的菲林，与佩洛、黎博利并列为泰拉人数最多、族群分布最广的种族之一。一句出处不可考的高卢谚语是这么说的：“足迹所至，菲林所在。”因历史缘故，维多利亚拥有相当广泛的菲林人口分布，是这片大地上菲林们的主要聚集地。
菲林族群最主要的体貌特征就是他们的尖耳与长尾，二者不仅是身体器官的一部分，也是他们表达自身情绪的工具。尽管也存在两耳浑圆、尾巴短小的特例，但这在菲林族群中仅占少数。普遍而言，菲林的感官发达，有着较好的肢体协调能力。一部分菲林拥有并不十分显著但颇为独特的遗传特征——他们的瞳孔在不同光线环境下会发生形态上的微妙变化。
人尽皆知的是，由于庞大的人口基数以及优秀的适应能力，菲林在漫长的繁衍迁徙中成了泰拉分布最广泛的族群之一。在那个无论神民还是先民都需要一个名称来确定自我的时代，“菲林”囊括了几乎所有以尖耳长尾、感官发达为突出特征的个体，虽然族群的不同分支之间存在着鲜明的外貌差异</t>
  </si>
  <si>
    <t xml:space="preserve">个人魅力+2、经验智慧+1、反应机动+2
特质【迷人】、【觉察者】消耗的特质点-5
修正因子【感官强化（视觉）】消耗的特质点-5
</t>
  </si>
  <si>
    <t>高卢的追忆</t>
  </si>
  <si>
    <t xml:space="preserve">你出身于泰拉最为强盛的国家——高卢，至少在你的记忆里，它一向如此，它永远如此。在高卢毁灭后，你也许被迫投身入其他国家寻求庇护，但高卢的强盛依然在你的记忆中占有重要的地位。
</t>
  </si>
  <si>
    <t xml:space="preserve">个人魅力+1
经济评级-10
获得附加技能：高卢语，初始技能值为10
</t>
  </si>
  <si>
    <t>工业从业者</t>
  </si>
  <si>
    <t>你通过从事第二产业的相关工作来维持自己的生活。第二产业即工业，即对是对自然资源开采和对各种原材料加工的社会物质生产部门。这包括如注塑工、操作工、压铆工、缝纫工、焊工的专业工作，也包括了机械，电子，建筑等具体工程项目的设计与维护工作。</t>
  </si>
  <si>
    <t>获得技术资质：等级提升时，技术+1
手工工艺+3、机械工程+2、电子工程+1、妙手+1</t>
  </si>
  <si>
    <t>佩洛（狗）</t>
  </si>
  <si>
    <t>佩洛是分布最广、人教最多的泰拉种族之一，从萨尔贡帝国到萨来地区，从玻利瓦尔到东国，到处都能看到他们的身影。目前，玻利瓦尔地区人数最多的种族就是佩洛。
许多人无法直接靠外貌分辨佩洛、鲁珀、沃尔珀和瑞柏巴。这几者的分类问题可说是伴随着人类的历史而一直存在。最新的研究成果表明，在文字出现之前的远古时代，这几个种族确实是被统称为“佩洛”的。
佩洛的人口基数十分庞大，这其中包括了神民和先民的众多分支。如今，奎尔莎、刻俄柏洛斯和乌瑞狄姆等神民分支大都与先民佩洛一起居住，佩洛以外的人很难直接分辨出他们之间的差别，但他们都注重维持良好的人际关系，总是尝试着友善待人</t>
  </si>
  <si>
    <t xml:space="preserve">生理耐受+1、个人魅力+2、反应机动+2
特质【共情者】消耗的特质点-5
修正因子【感官强化（嗅觉）】、【识别性知觉（嗅觉）】消耗的特质点-5
</t>
  </si>
  <si>
    <t>乌萨斯的怒吼</t>
  </si>
  <si>
    <t xml:space="preserve">你出身于将战争与征服刻入血液的军事帝国——乌萨斯。恶劣的自然环境并未摧垮乌萨斯人的意志，而是将他们锻造为坚冰般的战士。在内部，陈腐的脓血逼停了帝国扩张的脚步。所有人都看得出来这一点：乌萨斯的变革不日便会到来。
</t>
  </si>
  <si>
    <t xml:space="preserve">等级提升时，生命值上限+2
与特质【耐寒】绑定
获得附加技能：乌萨斯语，初始技能值为10
</t>
  </si>
  <si>
    <t>农业从业者</t>
  </si>
  <si>
    <t>你通过从事第一产业的相关工作来维持自己的生活。第一产业指利用生物的自然生长和自我繁殖的特性，人为控制其生长和繁殖过程，生产出人类所需要的不必经过深度加工就可消费的产品或工业原料的一类行业。这包括分散生产的农民，以及工业生产模式下的农业、牧业、林业、水产养殖业等。</t>
  </si>
  <si>
    <t xml:space="preserve">获得灵巧资质：等级提升时，灵巧+1
农林渔牧+4、手工工艺+2、妙手+2
</t>
  </si>
  <si>
    <t>鲁珀（狼）</t>
  </si>
  <si>
    <t>莱塔尼亚东方的叙拉古以鲁珀为主体种族。尽管鲁珀在乌萨斯、维多利亚等国家也有少量分布，但人们对鲁珀的认知常常与叙拉古的家族文化绑定。
鲁珀的生理特征与佩洛差距甚小，但鲁珀是最早从“佩洛”的概念中被区分出来的种族，也是最不容易被误认为佩洛的种族，这很可能与鲁珀独特的文化传统有关。
生活在叙拉古的鲁珀拥有很强的家族观念，一些家族中的所有鲁珀会将尾巴染成同样的颜色，或在耳尖打上同样的记号，以此表明家族身份。但不同于佩洛，家族观念并不使鲁珀倾向于友善待人,反而使他们产生了高度排外的意识。</t>
  </si>
  <si>
    <t xml:space="preserve">生理耐受+1、反应机动+2、敏捷+1、灵巧+2
特质【迅捷步伐】、【觉察者】、【追踪专家】消耗的特质点-5
修正因子【感官强化（嗅觉）】、【识别性知觉（嗅觉）】消耗的特质点-5
</t>
  </si>
  <si>
    <t>乌萨斯的怒吼.
严酷训练</t>
  </si>
  <si>
    <t xml:space="preserve">附加限制：/
描述：战斗与战争是每个乌萨斯人都熟悉的词汇，你从乌萨斯严酷的军事教育中领会到了这一点。
</t>
  </si>
  <si>
    <t xml:space="preserve">生理耐受+1、力量+1
与特质【耐寒】绑定
获得附加技能：乌萨斯语，初始技能值为10
等级提升时，生命值上限+2
</t>
  </si>
  <si>
    <t>服务业从业者</t>
  </si>
  <si>
    <t>你通过从事服务业相关工作来维持自己的生活。服务业的主要工作内容包括了一些专门化的，为其他个体的生活提供服务，以及为工业和农业的生产提供服务的产业。例如管家，仆役，主播，运维团队等。</t>
  </si>
  <si>
    <t xml:space="preserve">获得情感资质：等级提升时，情感+1
妙手+2、取悦+1、交涉+2、心理+2
</t>
  </si>
  <si>
    <t>沃尔珀（狐）</t>
  </si>
  <si>
    <t>由于生理区别极其细微，直到今天，沃尔珀在相当多的地区仍会被误认为是佩洛。在大多数时候，这些被误认的沃尔珀也并不会因为自己被冠以其他种族之名而感到身受冒犯。也正是因此，沃尔珀在泰拉的分布统计并不可信，但从整体来看，生活在各地的沃尔珀占当地总人口的比例还是比较低的。
在各类种族中，沃尔珀属于体型较为中等的类型。沃尔珀的反应速度以及身体柔韧性都名列前茅，而且善于在复杂环境下侦察并感知危险，经过训练后也有着不凡的战斗能力。早在古老的时代，一些沃尔珀就被记载为“佩洛中较为灵敏的一支”，成为各部族挑选斥候与信使时最优质的人选。
沃尔珀也有神民和先民的分支，其中最为著名的神民分支便是如今多生活在遥远东国的九尾沃尔珀，相传九尾沃尔珀和东国的上层家族有关系，但具体的情况我们尚不得而知。而除九尾沃尔珀以外，卡纳尔、弗瑞拉等鲜为人知的名字都是沃尔珀神民表列中的一员。</t>
  </si>
  <si>
    <t xml:space="preserve">个人魅力+2、经验智慧+1、反应机动+1、灵巧+3
特质【共情者】、【迷人】、【觉察者】、【高速反应】消耗的特质点-5
修正因子【感官强化（嗅觉）】消耗的特质点-5
</t>
  </si>
  <si>
    <t>维多利亚的荣耀</t>
  </si>
  <si>
    <t xml:space="preserve">你出身于泰拉大陆目前最强大的国家——维多利亚，并且毫无争议地以“维多利亚人”自居。但除了对自己的国家拥有更强的自尊心以外，你并没有从这个身份中得到什么好处。
</t>
  </si>
  <si>
    <t xml:space="preserve">获得附加技能：维多利亚语，初始技能值为10
</t>
  </si>
  <si>
    <t>医生卫护人员</t>
  </si>
  <si>
    <t>你通过从事医疗护理的相关工作，或是对其他人提供医疗护理服务来维持自己的生活。医疗护理相关工作一般为使用医学知识为患者进行救治或缓解病情；对各种医疗机械进行操作与检测；对伤者进行紧急救治与诊断等。这包括如医生、医护技术员、急救人员与护工等职业的工作职责，也包括对矿石病感染的紧急阻断、内外伤的诊断与治疗、开放性创口的缝合与包扎、常规伤势的固定与止血等工作能力。</t>
  </si>
  <si>
    <t xml:space="preserve">获得灵巧资质：等级提升时，灵巧+1
急救+3、妙手+2、心理+1、医药学+3、支援技术+1
</t>
  </si>
  <si>
    <t>瑞柏巴（鬣狗）</t>
  </si>
  <si>
    <t>瑞柏巴是泰拉大地上人口较为稀少的种族之一，主要生活在萨尔贡地区。他们如鲁珀一般崇尚家族与集群，但并未发展出与此相关的文化与社会结构。
横向比较来看，瑞柏巴的身体素质在泰拉人中属于中等水平，大部分瑞柏巴长着带有绒毛的耳朵和尾巴，部分身上长有斑点或条状花纹。一般而言，瑞柏巴女性的力量显著强于男性。
由于长期生活在萨尔贡的沙漠及附近地区，瑞柏巴普遍有着极为丰富的荒地生活传统，饲养特殊牲畜、野外考察都是他们擅长的工作。他们还拥有着由女性主导的大家族概念，相较于佩洛，瑞珀巴对家族内部的团结和纪律性更为重视。</t>
  </si>
  <si>
    <t xml:space="preserve">生理耐受+2、物理强度+1、反应机动+1、精神意志+1
特质【团队意识】消耗的特质点-5
修正因子【感官强化（嗅觉）】、【环境适应（荒原）】消耗的特质点-5
</t>
  </si>
  <si>
    <t>维多利亚的荣耀.贵族爵位</t>
  </si>
  <si>
    <t xml:space="preserve">附加限制：角色在创建完毕后的经济评级不可低于40
描述：你的家族在维多利亚是曾受阿斯兰王册封的显贵，并且这份显贵也有你一份。根据你家族的重要与荣耀程度，你可能会是一位男爵、子爵，或是伯爵，并且拥有一小块地产。
</t>
  </si>
  <si>
    <t xml:space="preserve">获得附加技能：维多利亚语，初始技能值为10
经济评级+10
与显贵人物进行交涉时，交涉类技能检定的检定骰面升级，与劳苦大众进行交涉时，改为检定降级。
</t>
  </si>
  <si>
    <t>科研教育人员</t>
  </si>
  <si>
    <t>你通过从事教育与研究行业的相关工作来维持自己的生活。此类人员的相关工作一般为对他人提供各类知识的教育服务、在各种教育机构内充当教师与管理层、以及通过雇佣形式满足雇主需求进行针对性研究等。这包括了如教授、博士、研究员及科学家（与研究员的区别在于专业性与对课题的独立性）等职业的工作职责。</t>
  </si>
  <si>
    <t xml:space="preserve">获得教育资质：等级提升时，教育+1
所有教育类技能+1
选择一个教育类技能，该技能+2。加点该技能时无视加点上限。
</t>
  </si>
  <si>
    <t>阿那缇（鼬）</t>
  </si>
  <si>
    <t>常与山脉绑定的阿纳缇是这片大地上的常见种族，在过去的很长一段时间里，他们常生活在远离平原的山区之中，并对任何拜访的客人都热情相待。
阿纳缇善奔走，许多常人无法越过的崎岖山地他们也能如履平地，这让他们在许多地区成了行商和信使的专业户。伴随着移动城市的发展，他们的业务也从山中转移到了移动城市上。
仍然住在山中的阿纳缇善于在山间土壁上开凿别具一格的洞穴式居所，它不同于在移动城市或者在其他定居点中看到的建筑——整个洞穴系统依山体而建，挖掘多于建构。</t>
  </si>
  <si>
    <t xml:space="preserve">反应机动+2、经验智慧+1、身法+1
特质【迅捷步伐】、【飞檐走壁】、【平稳落地】消耗的特质点-5
</t>
  </si>
  <si>
    <t>塔拉的焰火</t>
  </si>
  <si>
    <t xml:space="preserve">你出身于泰拉大陆目前最强大的国家——维多利亚，但你并非维多利亚人，而是出生于盖尔王曾统治的土地之上的“塔拉人”。尽管你们生活在“塔拉下王国”之中，但你们相比于维多利亚人仅是二等公民，也因此难以享受维多利亚的社会资源。
</t>
  </si>
  <si>
    <t xml:space="preserve">经验智慧-1、经济评级-5
获得附加技能：廷盖语，初始技能值为5
获得附加技能：维多利亚语，初始技能值为5
</t>
  </si>
  <si>
    <t>政法机关人员</t>
  </si>
  <si>
    <t>你在一个政府或司法机关中拥有相应编制，通过为政府工作而获得报酬，并以此维持自己的生活。视政体与工作部门的不同，相关的从业人员掌握的能力也存在差异，但他们均学习过政治与法律的基础知识，也拥有对公文的审批与阅读理解能力。</t>
  </si>
  <si>
    <t xml:space="preserve">获得教育资质：等级提升时，教育+1
政法学+3，经管学+2，社会学+2
选择一个交涉类技能，该技能+2
</t>
  </si>
  <si>
    <r>
      <rPr>
        <b/>
        <sz val="11"/>
        <color rgb="FF000000"/>
        <rFont val="微软雅黑"/>
        <charset val="134"/>
      </rPr>
      <t>卡</t>
    </r>
    <r>
      <rPr>
        <b/>
        <sz val="12"/>
        <color rgb="FF000000"/>
        <rFont val="微软雅黑"/>
        <charset val="134"/>
      </rPr>
      <t>特斯（兔）</t>
    </r>
  </si>
  <si>
    <t>泰拉的卡特斯族群主要集中在雷姆必拓的自治州及周边地区，尽管他们在其他国家和地区不算罕见，但没有哪里能像雷姆必拓一样拥有如此众多的卡特斯人口。
卡特斯的长耳和毛绒短尾是他们最令人印象深刻的外貌特征，发达的听觉器官以及灵活的反应力弥补了平均体型较小带来的一系列不足。我们有理由相信，正是这些得天独厚的优势帮助卡特斯族群在部落时代以前生存下来，进而形成庞大的人口。
为了弥补个体身体素质的不足，生活在如今之雷姆必拓的卡特斯们普遍选择了群聚群居的社会生活方式，在部落时代形成了富有活力的屯堡聚落。成员数目众多的联合家庭成了巩固内部关系的凝聚核心，同时也形成了极具特色的“卡特斯大家庭”文化——家庭成员的团结友爱深受重视。</t>
  </si>
  <si>
    <t xml:space="preserve">个人魅力+1、经验智慧+1、反应机动+3
身高、体重标准值-20%
特质【觉察者】、【团队意识】消耗的特质点-5
修正因子【感官强化（听觉）】消耗的特质点-5
</t>
  </si>
  <si>
    <t>塔拉的焰火.深池</t>
  </si>
  <si>
    <t xml:space="preserve">附加限制：/
描述：在塔拉的芦苇荡中潜藏着一支意图重铸塔拉荣光的反抗势力，而你正是他们——“深池”中的一员。
</t>
  </si>
  <si>
    <t xml:space="preserve">经验智慧-1、经济评级-5、物理强度/源石技艺适应性+1
获得附加技能：廷盖语，初始技能值为5
获得附加技能：维多利亚语，初始技能值为5
你可以无视【沼泽】的地形特性效果
</t>
  </si>
  <si>
    <t>战斗人员</t>
  </si>
  <si>
    <t>你使用自身的身体素质与战斗相关的能力来向他人换取报酬，或是直接以此为生。视雇佣者与工作性质的不同，你可能是国家军队中的一名士兵或军官，或是受雇于公司的安保与情报人员，或是更为独立的雇佣兵与杀手等，献身于一些暴力社会组织（诸如锈锤、整合运动）的暴徒也属于此类人员。用各种手段伤害他人，或是对建筑与环境造成严重破坏的能力是战斗人员应当掌握的。</t>
  </si>
  <si>
    <t xml:space="preserve">选择一个非战斗属性的副属性，获得该副属性资质：等级提升时，该副属性+1
创建角色时，可以额外获取价值至多为15源石锭的配件。
每个模组开始时，可以额外获取价值至多为5源石锭的投掷物与消耗品。
</t>
  </si>
  <si>
    <t>札拉克（鼠）</t>
  </si>
  <si>
    <t>即使和菲林或黎博利相比，札拉克人口数量也堪称庞大，他们广泛分布在泰拉各地，从玻利瓦尔到雷姆必拓都可以找到。近年来，也有相当数量的札拉克选择前往哥伦比亚生活。
就泰拉平均水平而言，札拉克体型普遍较小，动作大多较为灵活。他们往往具备优异的听力和反应能力，对空气的振动、气流的改变也很敏感，经常从事信使工作。同样，在天灾信使的队伍中也常常可以发现札拉克的身影。
札拉克一般头顶生有一对显眼的圆耳朵。对于一小部分札拉克而言，这对耳朵往往又因为毛发而显得尖。札拉克耳朵上的这一束束毛发并非长自头皮，而是生长自耳朵本身，又被称为“耳簇”（一小部分菲林同样生有这种毛发）。在卡西米尔到谢拉格一带生活的札拉克往往有着更浓密的耳簇和巨大的毛茸茸尾巴；而到了再南方一些、气候更温暖的地方，他们耳朵和尾巴上的毛发就会变得细小。</t>
  </si>
  <si>
    <t xml:space="preserve">反应机动+3、经验智慧+1、精神意志+1、敏捷+1、洞察+2
生理耐受-1、力量-1
身高、体重标准值-20%
特质【悄无声息】、【迅捷步伐】、【觉察者】消耗的特质点-5
修正因子【感官强化（听觉）】、【识别性知觉（听觉）】消耗的特质点-5
</t>
  </si>
  <si>
    <t>莱塔尼亚的优雅</t>
  </si>
  <si>
    <t xml:space="preserve">你出身于千术万法的故乡——莱塔尼亚。法术辉光与艺术氛围如空气一般弥散在这个国家的每一处角落，并显化为了外人对这个国家最为刻板的印象，莱塔尼亚人深知这一点——他们为此骄傲。
</t>
  </si>
  <si>
    <t xml:space="preserve">源石技艺适应性+1，教育/情感+2
获得附加技能：莱塔尼亚语，初始技能值为10
</t>
  </si>
  <si>
    <t>宗教人员</t>
  </si>
  <si>
    <t>你以宗教活动和教会管理为主要职业，并从中得到了维持自己生活的报酬。因教义和宗教所处社会环境的不同，从业者之间的职能差异与工作范围存在着相当大的差异。常见如东/炎二国的道士与僧侣、伊比利亚审判庭的教徒、耶拉冈德的信徒以及遍布大地的拉特兰教徒等。位于萨米的雪祀以及深海教徒等虽十分罕见，但也均属于宗教人员的行列。</t>
  </si>
  <si>
    <t xml:space="preserve">获得情感资质：等级提升时，情感+1
心理+3、教育+2、政法学+2
选择一个交涉类技能，该技能+3
</t>
  </si>
  <si>
    <t>斐迪亚（蛇）</t>
  </si>
  <si>
    <t>斐迪亚是泰拉较不常见的种族之一，但他们的居所遍布大地。不论是萨米的雪原上、乌萨斯的森林中，还是萨尔贡的黄土里、维多利亚的楼宇间，只要费力寻找一番，都可以找到斐迪亚的踪迹。
斐迪亚的特点是仅生有一对的尖耳和带有鳞片的长尾。他们的身高普遍高于泰拉人平均水平，而体重又往往处于平均水平以下，这让他们获得了“瘦弱无力”的刻板印象，这当然是没有依据的，他们的身体素质整体而言完全位于平均范围之内。
绝大多数斐迪亚都没有毒。如果说斐迪亚有什么真正的特点，那应该是他们擅长长期专注于某一件事，很容易找到一个人生的目标。</t>
  </si>
  <si>
    <t xml:space="preserve">经验智慧+1、反应机动+1、精神意志+1、心理+1、战术+1、镇定+2
身高标准值+10%
体重标准值-10%
特质【水性】、【悄无声息】、【迅捷步伐】消耗的特质点-5
</t>
  </si>
  <si>
    <t>莱塔尼亚的优雅.高塔贵族</t>
  </si>
  <si>
    <t xml:space="preserve">附加限制：角色在创建完毕后的经济评级不可低于40
描述：你的宗族世代生活在莱塔尼亚的高塔中，以钻研知识，追求艺术，教导领民为己任。根据你的经济评级，你可能是子爵，侯爵，甚至选帝侯，并且在莱塔尼亚毫无疑义地作为贵族抛头露面。
</t>
  </si>
  <si>
    <t xml:space="preserve">源石技艺适应性+1，教育/情感+2、经济评级+10
获得附加技能：莱塔尼亚语，初始技能值为10
与显贵人物进行交涉时，交涉类技能检定的检定骰面升级，与劳苦大众进行交涉时，改为检定骰面降级。
</t>
  </si>
  <si>
    <t>宗教人员.武装朝圣</t>
  </si>
  <si>
    <t>从物理上进行真刀真枪的斗争对于你的信仰和神职来说是不可避免的。你可能是一位伊比利亚的执裁官或是萨米的雪祀，进而使得你必须用武器的批判作为批判的武器之补充。</t>
  </si>
  <si>
    <t xml:space="preserve">选择一个非战斗属性的副属性，获得该副属性资质：等级提升时，该副属性+1
与你的信仰所公认的敌人进行战斗时，你的战斗技能检定获得一个奖励骰。
特质【崇高信念】、【视死如归】消耗的特质点×50%
</t>
  </si>
  <si>
    <t>萨弗拉（蜥蜴）</t>
  </si>
  <si>
    <t>萨弗拉以沙漠为家，他们大多生活在萨尔贡，也有一部分迁居雷姆必拓。他们喜欢日照充足、可以长时间享受阳光的地方
萨弗拉是一支身体和尾巴都长有鳞片的种族。他们身手矫健，眼光敏锐，几乎可说是天生的猎手。有很大一部分萨弗拉全身都被鳞片覆盖，有改变体表鳞片颜色的能耐。搭配合适的服装，他们可以做到和沙漠、荒地等周边环境完全融为一体。
在一般认识中，萨弗拉最大的两个特点是“长寿”和“来自萨尔贡”。虽然二者皆为事实，但不幸的是，它们在大众文化中被不公正地夸张了。</t>
  </si>
  <si>
    <t xml:space="preserve">生理耐受+1、经验智慧+1、反应机动+2、乔装+1、潜行+1
特质【悄无声息】、【长寿】消耗的特质点-5
修正因子【感官强化（视觉）】、【天然迷彩】消耗的特质点-5
</t>
  </si>
  <si>
    <t>大炎的沧桑</t>
  </si>
  <si>
    <t xml:space="preserve">你出身于一片沧桑广阔，包罗万象的土地——炎。在历经了动乱与变革之后，大炎依然稳居于这片大地的前列。古老的制度没有成为新生事物的阻碍，大炎的子民将在新时代里缔造更为辉煌的历史。
</t>
  </si>
  <si>
    <t xml:space="preserve">经验智慧+1，教育+2
获得附加技能：炎语，初始技能值为10
</t>
  </si>
  <si>
    <t>无固定职业</t>
  </si>
  <si>
    <t>你尚未拥有、或是已经失去了常规意义上的社会职业身份。你仍然能通过诸如家族的帮助、遗产、捐赠等方式维持生活，或是你因自身独特的能力而无需社会资源独自生存。</t>
  </si>
  <si>
    <t xml:space="preserve">选择一个非战斗属性的副属性，获得该副属性资质：等级提升时，该副属性+1
社交点数+5
经济评级-5
社交点数+5/获得一个任意人脉，该人脉价值不高于5
</t>
  </si>
  <si>
    <t>黎博利（鸟）</t>
  </si>
  <si>
    <t>“黎博利”是对体表生有羽毛的神民和先民的统称。由于这一称呼所指代人群的广泛性，黎博利现在是泰拉最庞大的族群之一，广泛分布在泰拉各地。黎博利是构成哥伦比亚多元种族的主体种族之一，伊比利亚和拉特兰也有大量的黎博利人口。
黎博利最大的特征是生在体表的羽毛。通常来说，黎博利的头部和躯干的一部分毛发会被羽毛所替代。黎博利的平均身高在这片大地的众多种族中处于中游，但女性会更为娇小。他们的体重则因种族原因要轻于其他种族。黎博利的身体素质较为普通，没有什么特别之处。
“黎博利”一词所指代的这一族群人口基数很大，而且同时包括神民和先民，因此种族分支也较多，他们经常发现彼此之间存在着的小小不同。最广为人知的黎博利神民是骏鹰，他们在外表上同时拥有黎博利的羽毛和库兰塔的尾巴，因建立了骏鹰王国而得以扬名。</t>
  </si>
  <si>
    <t xml:space="preserve">反应机动+1、敏捷+1、灵巧+2、身法+1
体重标准值-10%
特质【平稳落地】、【觉察者】、【迅捷步伐】、【高速反应】消耗的特质点-5
修正因子【感官强化（视觉）】消耗的特质点-5
</t>
  </si>
  <si>
    <t>大炎的沧桑.
拜师学艺</t>
  </si>
  <si>
    <t xml:space="preserve">附加限制：/
描述：你试图在卧虎藏龙的大炎内寻找一位老师，或只是某个武术馆的教导以提高自己的战斗水平，并且学有所成。
</t>
  </si>
  <si>
    <t xml:space="preserve">经验智慧+1，教育+2、格斗+1
获得附加技能：炎语，初始技能值为10
</t>
  </si>
  <si>
    <t>非劳动所得</t>
  </si>
  <si>
    <t>你无需通过出卖自身劳动力而换得报酬，而是通过掠夺、偷窃、剥削等方式从他人手中取得物资并以此生存。常见如窃贼、黑帮、拥有自身领地的贵族、以及占据了大量生产要素与生产资料的同时又不事生产的企业家等。</t>
  </si>
  <si>
    <t xml:space="preserve">获得镇定/洞察资质(其中之一）：等级提升时，镇定/洞察+1
与你的SN商议，通过个人资产、人脉、技能补正或特质来解释你的生存之道！
</t>
  </si>
  <si>
    <t>安努拉（蛙）</t>
  </si>
  <si>
    <t>主要居住在萨尔贡和玻利瓦尔的安努拉是较为少见的存在，绝大多数其他地区的泰拉人都对他们没什么了解。安努拉们喜欢潮湿而又水草丰沛的地方，近年来迁去移动城市的安努拉也都倾向于定居在绿化率较高且水道治理良好的城市。
大部分安努拉传承着有关潜行和隐身的源石技艺，而少部分则可以使用自身分泌的独特剧毒物质作为强大的武器来攻击敌人。对此略有了解的人可能会担心，只要与安努拉接触就会导致严重的中毒反应,但事实上安努拉可以自由控制自身毒素的分泌。
阿达克利斯与安努拉同为雨林住民，长久以来这两者之间也都保持着良好的关系。擅长体力活的阿达克利斯会帮助安努拉建设新的居所和其他建筑，而安努拉则会以负责村庄规划和装修作为回报。此外，阿达克利斯和安努拉一同举办游泳比赛来庆祝节日也是并不少见的场景。</t>
  </si>
  <si>
    <t xml:space="preserve">反应机动+2、精神意志+2、灵巧+2、镇定+2
特质【水性】、【悄无声息】、【毒液分泌】消耗的特质点-5
</t>
  </si>
  <si>
    <t>哥伦比亚的创想</t>
  </si>
  <si>
    <t xml:space="preserve">你出身于年轻但却足够引人注目的新兴国家——哥伦比亚。创新、创意、创想，数之不尽的“新东西”从蓝卡坞与特里蒙中喷涌而出，这个国家势必要站在技术与发展的最前沿。一再膨胀的金融数字与永不停歇的拓荒浪潮令所有人都将目光放在了它描绘的美好未来上，至于感染者的血汗与拓荒者的尸骨，只不过是这个国家阴影中的“小数字”。
</t>
  </si>
  <si>
    <t xml:space="preserve">经验智慧+1
获得附加技能：哥伦比亚语，初始技能值为10
</t>
  </si>
  <si>
    <t>自定义工作</t>
  </si>
  <si>
    <t>曼提柯（蝎）</t>
  </si>
  <si>
    <t>曼提柯是泰拉种族之一，体表生有双翼，躯干带有节肢状甲壳尾部。基本上所有曼提柯都居住在萨尔贡境内，非常少见。
一般而言，曼提柯最显著的外表特征有两点：一是头部左右两侧长有成对的膜状翅；二是躯干有延伸出来的节肢状甲壳尾部，通常尾部的最后一节是长有一根刺针的尾节。曼提柯的平均身高大概与泰拉平均身高保持一致，女性略矮于男性。他们的身体素质较为优秀，部分曼提柯的尾针上可能会带有毒液。
曼提柯大多极为避世，他们素来有崇尚低调与隐蔽的文化传统。因此，曼提柯一直与其他种族保持着距离。在移动城市出现后，曼提柯们选择不进入移动城市而保持以往的生活状态继续生活。如今的曼提柯基本都生活在萨尔贡境内远离移动城市的偏僻地区。</t>
  </si>
  <si>
    <t xml:space="preserve">生理耐受+1、反应机动+2、敏捷+1、潜行+2
与特质【固有武器】绑定
特质【悄无声息】、【毒液分泌】消耗的特质点-5
修正因子【环境适应（荒原）】消耗的特质点-5
</t>
  </si>
  <si>
    <t>哥伦比亚的创想.感染者医疗保险</t>
  </si>
  <si>
    <t xml:space="preserve">附加限制：角色为感染者时；该修正因子强制选择
描述：在哥伦比亚，衡量人价值的指标被简化为“价值”本身。没有人在乎感染者这个身份，但哥伦比亚并不介意从它的身上汲取更多的血钱。
</t>
  </si>
  <si>
    <t xml:space="preserve">经验智慧+1、经济评级-10
获得附加技能：哥伦比亚语，初始技能值为10
进入新的感染阶段时，经济评级-5
</t>
  </si>
  <si>
    <t>阿达克利斯（鳄鱼）</t>
  </si>
  <si>
    <t>崇尚力量的阿达克利斯以雨林为家，他们大多生活在萨尔贡东部的湿润之地。在这里，有着标志性的尾巴的他们以部落的形式居住在沿河的地带，并形成了属于自己的身份认知。
阿达克利斯有着出众的水中行动能力，游泳是大多数阿达克利斯与生俱来的天赋，这使他们常常选择从水中向敌人或猎物发起伏击。走出雨林的阿达克利斯往往被当作纯粹的武者，却很少有人知道，他们在水中的灵巧程度是常人难以企及的。
阿达克利斯常常表现出对自身能力的充分自信，有相当一部分阿达克利斯喜欢自称“提亚卡乌”，意为“骁勇善战之人”。这种古老的身份认同自萨尔贡强盛时代便开始流传，一些颇具可信度的记载指出，这种认同来自古代萨尔贡皇帝对于阿达克利斯勇士的一次封赏。</t>
  </si>
  <si>
    <t xml:space="preserve">生理耐受+1、物理强度+2、力量+1、灵巧+1
身高、体重标准值+20%
特质【水性】、【体能充沛】、【坚韧体魄】、【快速愈合】、【额外手】消耗的特质点-5
</t>
  </si>
  <si>
    <t>哥伦比亚的创想.拓荒者</t>
  </si>
  <si>
    <t xml:space="preserve">附加限制：/
描述：哥伦比亚始于拓荒，因此它鼓励任何人投身入拓荒的浪潮。加入拓荒队列的感染者能够免于强制性的保险金需求，但只有最为鲁莽的愣头青才会轻信于它的宣传，从而对骸骨荒原上遍布的干尸视若无睹。
</t>
  </si>
  <si>
    <t xml:space="preserve">经验智慧+1、技术+3、经济评级-10
获得附加技能：哥伦比亚语，初始技能值为10
</t>
  </si>
  <si>
    <t>已选特质消耗</t>
  </si>
  <si>
    <t>乌萨斯（熊）</t>
  </si>
  <si>
    <t>乌萨斯主要居住在泰拉北方的乌萨斯帝国境内，人口众多。此外，乌萨斯在卡西米尔，谢拉格，萨尔贡北部以及炎国等许多地区也多有分布，是较为常见的泰拉种族之一。
高大，强壮和坚忍是人们对乌萨斯的普遍认知。这种认知来源于他们的生理特征，即平均的身高更高，力量更强。此外，大部分的乌萨斯居住在泰拉北方，这些地域漫长的冬天塑造了他们强韧的耐力。</t>
  </si>
  <si>
    <t xml:space="preserve">生理耐受+2，物理强度+2，精神意志+1
身高，体重标准值+20%
特质【坚韧体魄】、【快速愈合】消耗的特质点-5
修正因子【环境适应（雪原）】消耗的特质点-5
</t>
  </si>
  <si>
    <t>丰蹄（牛）</t>
  </si>
  <si>
    <t>泰拉西南方的米诺斯以丰蹄为主体种族。除此之外，丰蹄也广泛地分布在炎国、萨尔贡等多平原的国家，是较常见的泰拉种族之一。
大部分时候，人们只知丰蹄强壮，却不知在许多以丰蹄为主体种族的地区，智慧才是更受重视的美德。米诺斯的土地上自古就分布着许多丰蹄聚落。相传，丰蹄们终日沉浸在文艺创作与思想探讨中。这样的生活方式与近旁高度尚武的瑞柏巴部族形成了鲜明的对比。
生活在炎国的丰蹄族群很可能是泰拉最早开始从事农耕生产的群体之一。相较于狩猎采集的生活方式，农耕意味着更高强度的劳动。而相较于其他大多数种族，身强体壮但不甚灵活的丰蹄显然更能适应这种新兴的生活方式。</t>
  </si>
  <si>
    <t xml:space="preserve">生理耐受+3、物理强度+2、经验智慧+1
反应机动-1
身高、体重标准值+20%
特质【体能充沛】、【坚韧体魄】、【快速愈合】消耗的特质点-5
</t>
  </si>
  <si>
    <t>玻利瓦尔的纷争</t>
  </si>
  <si>
    <t xml:space="preserve">你出身于饱受战火折磨的焦土——玻利瓦尔。侵略内战与地区割据在这片土地上循环往复。即便已经过去了数百年之久，可玻利瓦尔上空的阴霾从未消散，玻利瓦尔人虽已对战斗习以为常，但如有机会，他们必会将一切悲剧停止。
</t>
  </si>
  <si>
    <t xml:space="preserve">教育-3、经济评级-5
获得附加技能：伊比利亚语/莱塔尼亚语/维多利亚语/哥伦比亚语，初始技能值为10
</t>
  </si>
  <si>
    <t>塞拉托（犀牛）</t>
  </si>
  <si>
    <t>塞拉托是原本栖息在萨尔贡绿洲的诸多族群之一，以强健的体格著称。近百年来，塞拉托高大的、奔驰的身影开始出现在了泰拉的其他地区。
塞拉托和库兰塔一样善于奔跑，但不经常长途跋涉。比较流行的、也比较为塞拉托所认可的一种说法是，成年之后的塞拉托普遍身材高大，体重也异于其他种族，支撑厚重身躯进行长时间运动所需的能量很可能超乎想象。
塞拉托非常珍视自己头上的角，但他们珍视的方式与众不同。自部落时期以来角就是塞拉托的重要武器，他们爱护角的方式是面对面短途冲锋，用额上的角进行对抗，以此来把角磨砺得更加坚韧。萨尔贡的塞拉托部族迄今为止仍然保留着饲养羽兽的传统爱好，有一类生活在绿洲地区的特别的羽兽对塞拉托似乎有着天然的亲和力。</t>
  </si>
  <si>
    <t xml:space="preserve">物理强度+2、生理耐受+3、力量+1
敏捷-1
身高、体重标准值+20%
特质【体能充沛】、【坚韧体魄】、【硬肤】消耗的特质点-5
</t>
  </si>
  <si>
    <t>玻利瓦尔的纷争.军事传统</t>
  </si>
  <si>
    <t xml:space="preserve">附加限制：/
描述：玻利瓦尔历来拥有全民皆兵的传统，在进行了军事训练后，你拥有了足以踏入玻利瓦尔纷乱战场中的能力。
</t>
  </si>
  <si>
    <t xml:space="preserve">教育-3、经济评级-5、力量+1、敏捷+1
获得附加技能：伊比利亚语/莱塔尼亚语/维多利亚语/哥伦比亚语，初始技能值为10
</t>
  </si>
  <si>
    <t>库兰塔（马）</t>
  </si>
  <si>
    <t>库兰塔的祖先们选择在泰拉中北部的卡西米尔平原定居后，这支强健善奔的族群便世代在广阔的平原上生活。有不少库兰塔在一千多年前随着梦魇可汗离开了草原，所以如今在泰拉各地都能见到库兰塔的身影。
库兰塔有着相较于泰拉人平均水平来说更为健壮的身体，虽然不如乌萨斯和丰蹄那样强壮，但体能更胜一筹。古代的库兰塔凭借优秀的身体素质，在平原上过着四处迁移的生活。游牧的传统使得库兰塔需要迅速响应随时可能遭到的突袭，因此他们形成了全民习武的军事传统，这就是后来骑士团文化的早期雏形
库兰塔有着数量一般的分支，其中包括神民与先民。最出名的库兰塔神民便是天马与梦魇，两军的对决直至今日也是为人所津津乐道的话题。天马血脉在溃败后便被赶下了国王宝座，变成了骑士贵族；梦魇血脉则在可汗远征失败后四处流浪，据说人们在这片大地上的各地都有可能见到梦魇后裔。</t>
  </si>
  <si>
    <t>生理耐受+2、反应机动+3
身高、体重标准值+10%
特质【体能充沛】、【迅捷步伐】、【高速反应】消耗的特质点-5</t>
  </si>
  <si>
    <t>雷姆必拓的热烈</t>
  </si>
  <si>
    <t xml:space="preserve">你出身于顽强且茁壮成长的新生国家——雷姆必拓。它诞生于充满天灾与源石结晶的恶劣荒地中，但也因此得以兴起矿业与工业。相当一部分雷姆必拓的居民原先是各个国家的移民，但当地的卡特斯族群乐于接受这一切，并以热情的态度试图让他们融入到“雷姆必拓”这个大家庭之中。
</t>
  </si>
  <si>
    <t xml:space="preserve">技术+2、经济评级-5
获得附加技能：雷姆必拓语，初始技能值为10
</t>
  </si>
  <si>
    <t>伊特拉（麝）</t>
  </si>
  <si>
    <t>依特拉大都居住在泰拉那些寒冷的高原山地或者冰原附近。在炎国、谢拉格、乌萨斯和萨米地区的部分地方时常能看见他们的身影，但除此之外的其他地方则很少有依特拉居住。
依特拉的外观与卡普里尼、埃拉菲亚和库兰塔极其相似。依特拉与前两者的区别在于头上的角——依特拉并不会长角。而依特拉与库兰塔相比则在身体素质上略逊一筹。据说依特拉的祖先长有狭长的尖齿，但如今这一特征已不再明显。
在高寒地区的危险生活经历让依特拉这个族群变得多疑和警惕，许多地区的依特拉族群仍然保留着相对排外的传统。谢拉格的依特拉可能是最早开始崇拜耶拉冈德的种族之一，他们在耶拉冈德崇拜传播的历史上产生过很大的影响，许多经文和典籍都是由依特拉撰写和编纂的。</t>
  </si>
  <si>
    <t xml:space="preserve">生理耐受+2、物理强度+1、个人魅力+2
特质【迅捷步伐】、【迷人】、【高速反应】消耗的特质点-5
</t>
  </si>
  <si>
    <t>雷姆必拓的热烈.家庭文化</t>
  </si>
  <si>
    <t xml:space="preserve">附加限制：/
描述：你是雷姆必拓本地的一支大家庭中的一员，或是作为移民融入了雷姆必拓的文化之中。你与你的家人们保持着紧密的联系。
</t>
  </si>
  <si>
    <t xml:space="preserve">技术+2、经济评级-5、社交点数+10
获得附加技能：雷姆必拓语，初始技能值为10
</t>
  </si>
  <si>
    <t>卡普里尼（羊）</t>
  </si>
  <si>
    <t>卡普里尼是较为常见的泰拉种族之一，主要居住在莱塔尼亚及其周边，亦有不少族群分布在泰拉各地。
卡普里尼以对源石技艺优秀的掌握能力而著称。在很多人心里，每个卡普里尼都是神秘源石技艺的操纵者，但这其实是一种结合了现实依据和美好憧憬的刻板印象。就平均能力而言，卡普里尼确实拥有相较于其他种族更为良好的源石技艺适应性；但就个人而言，卡普里尼中也存在着无法使用源石技艺的个体。
卡普里尼人口最集中的地方就是莱塔尼亚。如今普遍的观点认为，莱塔尼亚热爱艺术文化的风尚与当地的主体种族卡普里尼密切相关。卡普里尼的平均身体素质在各种族中算不上出类拔萃，可能正是这一点造就了他们细腻敏感的精神特点。有理论称这一特点和卡普里尼对源石技艺的卓越适应性能够互为因果。</t>
  </si>
  <si>
    <t>经验智慧+1，源石技艺适应性+2、精神意志+2、情感+2
特质【共情者】消耗的特质点-5</t>
  </si>
  <si>
    <t>东国的浮华</t>
  </si>
  <si>
    <t>你出身于极东之地，与外界鲜有交流的变革之地——东国。南北两院八大家的分治令这个国家的政治结构纷乱如麻，但东国的居民早已习惯了在这样的环境下生活。东国为其他国家留下的印象不仅有繁荣的电子艺术文化，还有在南北两院的摩擦中艰难维系的微妙政治平衡，而对于东国的居民而言，二者都是生活中难以忽视的组成部分。</t>
  </si>
  <si>
    <t>获得附加技能：东国语，初始技能值为10</t>
  </si>
  <si>
    <t>埃拉菲亚（鹿）</t>
  </si>
  <si>
    <t>泰拉极北的萨米以埃拉菲亚为主体种族。除此之外，埃拉菲亚也广泛地分布在乌萨斯、卡西米尔、菜塔尼亚等多林地的国家，是较常见的泰拉种族之一。
事实上，如今主要分布在乌萨斯、莱塔尼亚、卡西米尔等多林地国家的埃拉菲亚大都源自萨米地区，而对自然的亲近乃至尊崇正是萨米地区独特的文化习惯。随着城市的扩张，大多源自萨米的埃拉菲亚已经遗忘了自然，但在一些国家的边远地区，仍有少数以埃拉菲亚为主体的聚落在林中过着游猎的生活。
此外，在萨米地区的一些埃拉菲亚部族中，角被认为是感知自然的媒介。那里有些个体的角甚至终其一生都保持着缓慢生长，并具有知觉。</t>
  </si>
  <si>
    <t xml:space="preserve">个人魅力+1、经验智慧+1、精神意志+3
特质【迷人】、【共情者】消耗的特质点-5
修正因子【装饰性器官（角）】消耗的特质点-5
</t>
  </si>
  <si>
    <t>东国的浮华.忍客</t>
  </si>
  <si>
    <t xml:space="preserve">附加限制：角色在创建完毕后的电子工程技能值不低于8
描述：忍客是东国特有的一种职业，他们善于利用电子工具与信息媒介，改写并操控它们，以此骇入企业或个人的计算机、网络信息库或是电子机械中实现自身目的，你同样拥有这些能力。
</t>
  </si>
  <si>
    <t xml:space="preserve">获得附加技能：东国语，初始技能值为10
经验智慧+1、电子工程+2
</t>
  </si>
  <si>
    <t>匹特拉姆（龟）</t>
  </si>
  <si>
    <t>匹特拉姆是极其少见的种族，许多人甚至从未听说过泰拉还存在这样一个名叫“匹特拉姆”的种族。事实上，匹特拉姆大都避世并且居住在水源丰富的地区。
匹特拉姆的生理构造极其独特，没有尾巴、角或者鳞片等具有明显特点的外观，极少出现在公众视野之中，这可能是因为源石对他们身体的改造更加彻底。
大部分匹特拉姆聚落都掌握一些极其高明并且不为外人所知的熔炼和生产技术，匹特拉姆中有许多出色的工匠和材料学家（即便他们没有学习过任何现代科学的知识）。据古萨尔贡的史料记载，匹特拉姆们制造金属等材料都具有极佳的性能，他们却拒绝向王酋分享相关的技术和知识。炎国、维多利亚和伊比利亚沿海地区的部分匹特拉姆村庄和上岸的阿戈尔们走得很近，有些还会互称对方为“同胞”，</t>
  </si>
  <si>
    <t>生理耐受+2，经验智慧+3、精神意志+2、技术+4、镇定+2、手工工艺+2
反应机动-2、敏捷-2、灵巧-2
与特质【迟钝】绑定
特质【硬肤】、【制造专家】、【长寿】消耗的特质点-5</t>
  </si>
  <si>
    <t>卡西米尔的霓虹</t>
  </si>
  <si>
    <t xml:space="preserve">你出身于传统文化走向没落，而金融与经济日益兴盛的骑士与商业之国——卡西米尔。即使骑士文化被解构消磨，卡西米尔的军事实力依然不容小觑，而对于卡西米尔人而言，新生的竞技骑士文化不仅是卡西米尔金融经济的一大支点，还是现代卡西米尔文化中最为核心的部分。
</t>
  </si>
  <si>
    <t xml:space="preserve">获得附加技能：卡西米尔语，初始技能值为10
</t>
  </si>
  <si>
    <t>皮洛萨（树獭）</t>
  </si>
  <si>
    <t>极少出现，极为罕见，只有传闻的种族——他们的特殊之处往往能使自身成为人群当中的焦点，但仍有许多人甚至未曾听闻过这个种族，这足以说明他们的罕见。
出于某种未知原因的种族特性，皮诺萨行动极其迟缓，却也因此拥有远超常人的耐心和执着。人们往往将皮洛萨视为只在传闻与谎言中出现的虚构种族，但事实上，这片大地无奇不有，即使是皮洛萨也能在其中找到能够令自己安居的住地。</t>
  </si>
  <si>
    <t xml:space="preserve">精神意志+3、经验智慧+3、镇定+6、情感+2
反应机动-5、身法-1
与特质【嗜睡】、【迟钝】绑定
</t>
  </si>
  <si>
    <t>卡西米尔的霓虹.竞技骑士</t>
  </si>
  <si>
    <t>附加限制：角色在创建完毕后拥有任意一项技能值不低于 4 的战斗技能。
描述：你依靠自己强大的战斗能力（或者说，表演能力）成为了一名竞技骑士，并以此赢得粉丝与经纪人的信赖。</t>
  </si>
  <si>
    <t>获得附加技能：卡西米尔语，初始技能值为10
取悦+2
等级提升时，经济评级+1</t>
  </si>
  <si>
    <t>瓦伊凡（双足飞龙）</t>
  </si>
  <si>
    <t>瓦伊凡主要居住在萨尔贡、维多利亚和瓦伊凡联盟（有争议的）控制区内。近年来有不少瓦伊凡在佣兵生涯结束后选择在其他国家和地区定居。
瓦伊凡和德拉克之间的关系是个有趣的话题，这两者在外表上有许多相似之处，最大的区别在于对源石技艺的掌控能力上，德拉克普遍远强于瓦伊凡。在阿斯兰征服时期，瓦伊凡被阿斯兰击败，但阿斯兰认可了瓦伊凡强大的实力，便将大量领土赏赐给各瓦伊凡部落，并允许瓦伊凡成为阿斯兰的护卫。后来，一支阿斯兰皇室分支远征维多利亚时带走了部分瓦伊凡，后者就是如今维多利亚瓦伊凡的先辈。
大部分传统的瓦伊凡会让年轻一代接受严格的战斗培训和作为护卫的专项训练，将其中资质最好的送去萨尔贡宫廷担任阿斯兰皇族的贴身侍卫。落选者中的大部分则会靠着自身的本领成为雇佣兵，这便是瓦伊凡佣兵传统的来源。</t>
  </si>
  <si>
    <t xml:space="preserve">生理耐受+2、物理强度+2、格斗+1、
身高、体重标准值+20%
与特质【体能充沛】绑定
特质【坚韧体魄】消耗的特质点-5
</t>
  </si>
  <si>
    <t>卡西米尔的霓虹.旧日荣光</t>
  </si>
  <si>
    <t xml:space="preserve">附加限制：/
描述：你是某个古老骑士家族中的一员，并且从长辈的教育中学习了身为骑士所应当掌握的知识与能力。你的家族也许开始没落，也许遗泽尚存，不论如何，它的名号都足以庇护你的成长。
</t>
  </si>
  <si>
    <t xml:space="preserve">教育+2、经验智慧+1
特质【高贵】消耗的社交点×50%
</t>
  </si>
  <si>
    <t>龙（东方龙）</t>
  </si>
  <si>
    <t>龙是炎国独有的神民种族。数千年来，他们生活在大地的东方，他们缔造了古老的文明，他们统治着一个繁荣且开明的帝国。
凡提及“龙”，炎国皇室的祖先“真龙”是绝对绕不过的人物。这位祖先对炎国的深远影响毋庸置疑，国家以他的名字命名，炎国的皇帝继承他真龙的名号，皇室家族也自称为“真龙一族”。实际上，除了真龙一族之外，炎国大地上还生活着许多其他的龙，他们虽然不是皇族，但也都以龙自居，也都奉炎氏这一位真龙为祖先，因为他们也都是炎氏赐姓的百氏后代。“真龙”这一炎国词语中的“真”也并非与“伪”相对，所谓的“真”表达的是人们对共同祖先、传奇领袖的一种崇高致意。
龙族百姓热爱自己的历史，他们不论老少都或多或少知晓自己祖先的故事，并骄傲地把这些历史和传统视作珍宝。这与龙，或者说炎国自炎氏以来就有的、用文字保存历史的传统有关。</t>
  </si>
  <si>
    <t xml:space="preserve">经验智慧+3、精神意志+1、源石技艺适应性+1、教育+4
</t>
  </si>
  <si>
    <t>卡西米尔的霓虹.竞技骑士.旧日荣光</t>
  </si>
  <si>
    <t>附加限制：/
描述：你是某个古老骑士家族中的一员，并且从长辈的教育中学习了身为骑士所应当掌握的知识与能力。你的家族也许开始没落，也许遗泽尚存，不论如何，它的名号都足以庇护你的成长。
后来，你依靠自己强大的战斗能力（或者说，表演能力）成为了一名竞技骑士，并以此赢得粉丝与经纪人的信赖。</t>
  </si>
  <si>
    <t>获得附加技能：卡西米尔语，初始技能值为10
教育+2、经验智慧+1、取悦+2
特质【高贵】消耗的社交点×50%
等级提升时，经济评级+1</t>
  </si>
  <si>
    <t>德拉克（火龙）</t>
  </si>
  <si>
    <t>德拉克是在泰拉历史舞台上扮演了重要角色的神民种族。他们人数稀少，零散地分布在泰拉各个地区，每个地区的德拉克族群都有非常鲜明的地域特征。
从现实的角度来看，德拉克的人口并不多，但他们大多拥有华丽的角和尾巴，就算身处人群之中，人们也很难把他们认错。近百年以来，随着泰拉各国、各个种族之间的交流日益密切，已有可信的数据证明德拉克在源石技艺适应性和某些身体素质方面确实具有优势。
另一方面，“德拉克”这一名称的指代及其认同曾经是极度松散的，直到近一千年来核心圈才形成了对这一强大族群的统称——这同样解释了他们身上的传说为何会如此纷繁复杂。分布在不同地区的德拉克族群有着许多共性，但他们之间的区别同样显著：譬如曾在伦蒂尼姆与狮王分享权力的龙之家族和塔拉的盖尔王血脉，相信任何了解维多利亚历史的人都不会轻易把他们混为一谈。</t>
  </si>
  <si>
    <t xml:space="preserve">生理耐受+1、源石技艺适应性+3、精神意志+1
身高、体重标准值+20%
与修正因子【装饰性器官（角；尾）】绑定
特质【高贵】消耗的社交点×50%
使用火焰源石技艺进行相关检定时，获得两个奖励骰。
</t>
  </si>
  <si>
    <t>萨尔贡的慷慨</t>
  </si>
  <si>
    <t xml:space="preserve">你出身于古老且神秘的土地——萨尔贡。这片广袤的地域被帕夏与王酋们分隔为无数的碎块，但他们均服从于萨尔贡的君主，万王之王的统治。萨尔贡人并不热衷于向外界的探索，而更习于在雨林与荒漠中自给自足，外界常常将之视为封闭与愚昧，但他们并不知道这片土地究竟蕴藏了多少财富与秘密。
</t>
  </si>
  <si>
    <t xml:space="preserve">教育-2、经济评级-5
获得附加技能：萨尔贡语，初始技能值为10
</t>
  </si>
  <si>
    <t>麒麟（麒麟）</t>
  </si>
  <si>
    <t>遥远东方的炎国大地孕育出了许多独特的种族，麒麟就是其中的一支他们人数稀少，但地位崇高，历来是炎国朝堂与府衙的常客。
麒麟的外貌特征与埃拉菲亚非常相似，但是和埃拉菲亚给人们的出世印象不同，作为神民种族的麒麟反而要入世得多，他们在炎国的社会中历来享有很高的威望。
麒麟术师所使用的招引雷电的源石技艺传承至今，被称为“雷法”。这一派独特的源石技艺曾一度仅为这位术师的后人所掌握，他们以祖先的职业为姓，是为“祝氏麒麟”。历代真龙的朝廷里都有麒麟担任要职，通常是司掌法律、行使惩戒一类的高官，各个麒麟宗族也通常更愿意承担相关的职责，似乎早就和朝廷达成了默契。</t>
  </si>
  <si>
    <t xml:space="preserve">经验智慧+1、源石技艺适应性+3、精神意志+1、教育+4、源石技艺理论+1
特质【高贵】消耗的社交点×50%、【元素耐受】消耗的特质点-5
使用电能源石技艺进行相关检定时，获得两个奖励骰。
</t>
  </si>
  <si>
    <t>萨尔贡的慷慨.
王酋</t>
  </si>
  <si>
    <t xml:space="preserve">附加限制：角色在创建完毕后的经济评级不可低于40
描述：你是萨尔贡帝国中的一名王酋，虽然因帝国混乱的基层行政系统，王酋们的控制力与管理范围都各不相同，但你依然拥有着为帝国统合并管理当地社群的职责。
</t>
  </si>
  <si>
    <t xml:space="preserve">教育-2、经济评级+5
获得附加技能：萨尔贡语，初始技能值为10
与显贵人物进行交涉时，交涉类技能检定的检定骰面升级，与劳苦大众进行交涉时，改为检定骰面降级。
</t>
  </si>
  <si>
    <t>阿戈尔（水生动物）</t>
  </si>
  <si>
    <t>阿戈尔涉足的地区相当广泛，从泰拉的沿海地区到内陆的水体附近都有分布。
阿戈尔对水的依赖可能超越了其他所有人类，这一方面是说阿戈尔更倾向于居住在水域附近，比如大河大湖，甚至是一般泰拉人所畏惧的大海旁边；另一方面，阿戈尔大量失水的后果也比其他种族要严重，他们的呼吸道更加依赖空气中的水分，他们的皮肤经受风吹目晒之后也更容易干燥破裂，最严重时甚至可能威胁生命。阿戈尔对此已有对策，他们会使用效果优异的保湿霜剂甚至自行携带蒸馏装置，以减缓自己身体水分蒸发的速度并为自身供水。
阿戈尔拥有许多分支，不同的分支之间在享有相似特征的同时也有截然不同的体质。比如说，阿戈尔大多亲近水体，但这不意味着所
有的阿戈尔都具有相同的水生适应性，有的阿戈尔能在水下呼吸，但绝大部分的阿戈尔都不具备这种能力。</t>
  </si>
  <si>
    <t>选择任意五项不重复的基础属性，使其属性值+1
与特质【水性】绑定
特质【毒液分泌】、【第三只手】消耗的特质点-5
修正因子【水下呼吸】消耗的特质点-5</t>
  </si>
  <si>
    <t>萨尔贡的慷慨.部落之子</t>
  </si>
  <si>
    <t xml:space="preserve">附加限制：/
描述：你出生于即使是在萨尔贡也足以称得上人迹罕至的雨林与荒漠中，并且是其中的某个原始部落的一员。虽然因某些缘故你走向了外界，但欠缺的社会常识与教育依然需要时间去弥补。
</t>
  </si>
  <si>
    <t xml:space="preserve">生理耐受+1、物理强度+1、教育-6、交涉-4、经济评级-15
获得附加技能：萨尔贡语，初始技能值为10
与修正因子【环境适应（荒原）】绑定
</t>
  </si>
  <si>
    <t>杜林（矮人）</t>
  </si>
  <si>
    <t>在大部分人眼中，杜林人是一群神秘的存在。这些身材矮小的尖耳朵会不时造访各处城市和定居点，但很少提及他们来自何方，但大致位于萨尔贡的某处任何探测器都发现不了的地方。
许多人至今仍然认为杜林人是某些疾病的患者，而杜林人普遍较矮的身高正是他们在儿童时期罹患疾病的后遗症。然而这种看似逻辑自洽的推论其实是纯粹的谣言，杜林人和其他种族相比确实较为矮小，但这与疾病并无任何关联。
杜林人的社会以城市为单位，被他们称呼为“城邦”的居住地分布在泰拉各处的地表之下。每个城邦都是先进科技与智慧的结晶，用于建造和维护这些城邦的科技远比地表人掌握的科技更先进。不同城邦之间的社会形态和文化都有不少差异，但杜林人有自己的方法来保持城邦间的交流。</t>
  </si>
  <si>
    <t xml:space="preserve">经验智慧+3、反应机动+1、精神意志+1、潜行+1
生理耐受-1、物理强度-1
身高、体重标准值-40%
特质【团队意识】、【制造专家】、【辅助机械】消耗的特质点-5
</t>
  </si>
  <si>
    <t>米诺斯的智慧</t>
  </si>
  <si>
    <t xml:space="preserve">你出身于群山怀抱的英雄之乡——米诺斯。这个起源于荷谟伊山山脚的古老国家曾有过战乱，被征服，最终得以自由。米诺斯文化最为核心的英雄崇拜并未因萨尔贡百余年的统治而被米诺斯人所遗忘，虽然古老而宏伟的建筑群被摧毁殆尽，化作了战后满目疮痍的土地，但米诺斯人仍然坚信，英雄会在这片废墟上建立起新的殿堂。
</t>
  </si>
  <si>
    <t xml:space="preserve">情感+2、经济评级-5
获得附加技能：米诺斯语，初始技能值为10
</t>
  </si>
  <si>
    <t>萨科塔（天使）</t>
  </si>
  <si>
    <t>萨科塔主要居住在拉特兰，但在泰拉各地都有分布。
萨科塔头顶的光环与身后的光翼是他们荣受律法的象征，千年以来律法庇护着他们在故乡拉特兰城过着毫不平静但依然秩序井然的生活。萨科塔们最为人知晓的、最神秘的就是他们的共感能力。萨科塔通常不会、也无法非常详细地描述他们在日常生活中是否有意地“使用”了共感，共感于他们更像是一种不自觉的行为，就像是我们其他人类在面对面时会不自觉地观察对方的表情一样。
萨科塔另一个标志性的特点就是他们随身携带的铳。这种特殊的器械对萨科塔来说已经远远超出了武器的范畴，他们认为铳械来自律法的赐予,是信仰的象征，那支伴随萨科塔终生的铳械故此称为“守护铳”。出乎很多人意料的是，并无任何一条规矩说萨科塔一定要拥有守护铳，然而拉特兰城内的每一个适龄的萨科塔的确都拥有一把（甚至是很多把）。</t>
  </si>
  <si>
    <t>个人魅力+2、源石技艺适应性+1、精神意志+3、情感+2
乔装-4、潜行-6
特质【共情者】、【猎杀者(萨卡兹)】消耗的特质点-5
购买特质【熟练瞄准】消耗的特质点为0。
获得特质【共感】</t>
  </si>
  <si>
    <t>米诺斯的智慧.
英雄信仰</t>
  </si>
  <si>
    <t xml:space="preserve">附加限制：/
描述：你将米诺斯的英雄崇拜视为自己生命的信标，并以此坚定了你的意志。你以各种方式尝试歌颂古老英雄的功绩，包括且不限于颂诗与音乐。
</t>
  </si>
  <si>
    <t xml:space="preserve">经济评级-5、精神意志+1、个人魅力+1、艺术+2、社会学+2、情感+2
获得附加技能：米诺斯语，初始技能值为10
特质【崇高信念】、【视死如归】消耗的特质点×50%
</t>
  </si>
  <si>
    <t>萨科塔.堕天使</t>
  </si>
  <si>
    <t>附加限制：/
描述：你因各种可能的原因忤逆了律法，进而被剥夺了身为萨科塔的资格与天赋。堕天使的存在触及了律法的本质，是拉特兰最大的秘密之一，教皇厅也因此严格的监视着每一位堕天使，以确保他们的任何动作都能够被教皇厅所管控。</t>
  </si>
  <si>
    <t xml:space="preserve">潜行+6
与特质【秘密】绑定
失去特质【共感】
</t>
  </si>
  <si>
    <t>叙拉古的缄默</t>
  </si>
  <si>
    <t xml:space="preserve">你出身于曾属于莱塔尼亚，但现已独立自主的城邦联合体——叙拉古。这个松散的政治实体由幕后的各大家族共同维持，并以此影响着城市居民的一举一动。即使每一座城邦中都充斥着法院与法官的影子，但所有人都知道，当家族成员站上陪审席后，“家族”才是真正诠释法律条文的那一方。
</t>
  </si>
  <si>
    <t xml:space="preserve">获得附加技能：叙拉古语，初始技能值为10
</t>
  </si>
  <si>
    <t>萨卡兹（恶魔）</t>
  </si>
  <si>
    <t>萨卡兹是较为少见的泰拉种族，长相各异的萨卡兹在人类的历史中始终遭受着其他种族的敌视。
萨卡兹有着名为“十王庭”的十支重要氏族，根据某些萨卡兹的说法，这十支氏族是近代以来卡兹戴尔的基石。千余年来的动荡生活让萨卡兹不再团结，十王庭也接近分崩离析。大部分人认知中的萨卡兹氏族都是王庭氏族，但也有类似于歌利亚、阿纳萨和鬼等少量非王庭氏族存在。绝大多数萨卡兹都是各氏族的混血。
纵观历史，大多数时间内萨卡兹都保持着四处迁徙的流浪生活，而大部分萨卡兹也很少向外人介绍自己的文化。在这种情况下，很多带有萨卡兹烙印的传统都悄无声息地消失了。现代人熟悉的萨卡兹雇佣兵其实也受到了族群长期流浪的影响。
萨卡兹极易感染矿石病，许多学者相信这与萨卡兹天生的高源石技艺适应性有关，也有人认为这与萨卡兹内部依靠血脉传承的源石技艺有关。萨卡兹间口口相传的传说则将他们的先祖提卡兹摆在神民和先民的对立面，并将矿石病视为敌人对自己施加的疾病和诅咒。</t>
  </si>
  <si>
    <t>生理耐受+2、物理强度+2、源石技艺适应性+3、威吓+4
初始感染值+2d10
个人魅力-3、教育-2、技术-2、交涉-4
与特质【易感】绑定
特质【坚韧体魄】、【体能充沛】、【快速愈合】消耗的特质点-5</t>
  </si>
  <si>
    <t>叙拉古的缄默.
家族秩序</t>
  </si>
  <si>
    <t xml:space="preserve">附加限制：/
描述：你是某个大家族中的一份子，从家族中得到了培养与扶持，并且需要承担起你应行的责任。
</t>
  </si>
  <si>
    <t xml:space="preserve">教育+2、经济评级+5、社交点数+10
获得附加技能：叙拉古语，初始技能值为10
</t>
  </si>
  <si>
    <t>自定义种族</t>
  </si>
  <si>
    <t>谢拉格的冷冽</t>
  </si>
  <si>
    <t xml:space="preserve">你出身于群山环绕之间，受耶拉岗德庇护的雪域之国——谢拉格。位于高原雪山之上的谢拉格虽然气候恶劣，但耶拉岗德的庇护使得谢拉格的居民不再需要为突发的天灾所烦忧。在数百年的时光里，谢拉格与世隔绝，并未产生任何的变革与发展，直到这片土地上规模最大的三个家族选择联合，新生的三族议会在蔓珠院——信奉耶拉岗德的宗教机关——的指引下，迈出了向外界沟通的第一步。如今的谢拉格虽还未能完全与现代的社会接轨，但它也从不会阻拦自己的子民走出这片大山。
</t>
  </si>
  <si>
    <t xml:space="preserve">教育-2、经济评级-5
与特质【耐寒】绑定
获得附加技能：谢拉格语，初始技能值为10
</t>
  </si>
  <si>
    <t>谢拉格的冷冽.
圣山信仰</t>
  </si>
  <si>
    <t xml:space="preserve">附加限制：/
描述：你对耶拉岗德抱有崇高的信仰，不论你是否在蔓珠院中工作。这份信仰坚定了你的意志，并一定程度上使你得到了耶拉岗德的庇护。
</t>
  </si>
  <si>
    <t xml:space="preserve">教育-2、经济评级-5、精神意志+1
与特质【耐寒】绑定
获得附加技能：谢拉格语，初始技能值为10
特质【崇高信念】、【视死如归】消耗的特质点×50%
</t>
  </si>
  <si>
    <t>伊比利亚的余晖</t>
  </si>
  <si>
    <t xml:space="preserve">你出身于广袤海洋的征服者与罹难者——伊比利亚。这个伟大的国家曾是这片大地无可争议的开拓者，但现在，一切都随着海嗣的歌声陷入静谧，废墟中只有属于审判庭手中提灯的微弱火光尚在跳动。
</t>
  </si>
  <si>
    <t xml:space="preserve">教育-3、经济评级-5
获得附加技能：伊比利亚语，初始技能值为10
</t>
  </si>
  <si>
    <t>伊比利亚的余晖.审判庭之手</t>
  </si>
  <si>
    <t xml:space="preserve">附加限制：/
描述：你成为了审判庭中的一员。你从审判庭内部的卷宗中了解到了“恐鱼”不为人所知的一面，并且将它们最初的名字——“海嗣”视作自身永恒的仇敌，势要将它们驱逐出伊比利亚的海岸线。
</t>
  </si>
  <si>
    <t xml:space="preserve">教育-3、经济评级-5、刀剑+1、源石技艺理论+1、先史+3
获得附加技能：伊比利亚语，初始技能值为10
与修正因子【猎杀者（深海）】绑定
</t>
  </si>
  <si>
    <t>拉特兰的圣洁</t>
  </si>
  <si>
    <t xml:space="preserve">你出身于无数人心中的圣地，这片大地的奇迹之城——拉特兰。这座洁白而神圣的城市是萨科塔的聚集地，但其中也不乏异族往来。拉特兰居民的权利与机遇从未因种族而产生差异，而它的教育普及程度与医疗资源更是令这片大地的所有国家都望尘莫及。对于其他国家的人民而言，拉特兰教与拉特兰甜品是这个国家最广为人知的特点，或许不是每个萨科塔都能熟背繁琐的经文，但每个萨科塔都必定拥有品鉴甜品的能力——并有极大可能拥有制作甜品的厨艺。
</t>
  </si>
  <si>
    <t xml:space="preserve">教育+4、经济评级+10、社交点数+10
特质【互助信条】、【铳械专家】消耗的特质点×50%
获得附加技能：拉特兰语，初始技能值为10
</t>
  </si>
  <si>
    <t>拉特兰的圣洁.
戍卫羽翼</t>
  </si>
  <si>
    <t xml:space="preserve">附加限制：角色种族不为萨科塔时；该修正因子强制选择
描述：你与萨科塔一般热爱这个国家，愿意为其付出一切，但你并非“天使”们的一员。即使圣城包容且乐于接纳任何人，仍有一些东西是他族难以享受，甚至难以感知的。
</t>
  </si>
  <si>
    <t xml:space="preserve">教育+4、经济评级+10
特质【互助信条】、【铳械专家】消耗的特质点×50%
获得附加技能：拉特兰语，初始技能值为10
</t>
  </si>
  <si>
    <t>卡兹戴尔的苦难</t>
  </si>
  <si>
    <t xml:space="preserve">你出身于无数次倒塌而又被再度重建的，独属于萨卡兹的家园——卡兹戴尔。如今的卡兹戴尔在双王的指引下逐渐补齐了基础设施，成为了真正能够安居的家园。即使它与这片大地其他强盛的国家仍有差距，但萨卡兹并不会，更没有资格奢求更多。
</t>
  </si>
  <si>
    <t xml:space="preserve">源石学+2
经验智慧-2、教育-4、经济评级-10
获得附加技能：萨卡兹语，初始技能值为10
</t>
  </si>
  <si>
    <t>卡兹戴尔的苦难.动荡年代</t>
  </si>
  <si>
    <t xml:space="preserve">附加限制：/
描述：你在卡兹戴尔的移动板块上生活了许久，并习惯了它无休止的碰撞。即使是在更为复杂的环境中，你也能保持专注与镇定。
</t>
  </si>
  <si>
    <t>灵巧+2、镇定+2、源石学+2、经验智慧-2、教育-4、经济评级-10
获得附加技能：萨卡兹语，初始技能值为10</t>
  </si>
  <si>
    <t>萨米的护佑</t>
  </si>
  <si>
    <t xml:space="preserve">你出身于极北之地的无尽冻土——萨米。虽然这片土地与外界封闭许久，但萨米之灵永远庇护祂的每一位子民。每一个部落都已准备好为萨米奉献一切，为此他们世代与邪魔抗争，誓要使其无法踏入萨米半步。
</t>
  </si>
  <si>
    <t xml:space="preserve">教育-2、技术-2、经济评级-10
与特质【耐寒】绑定
获得附加技能：萨米语，初始技能值为10
</t>
  </si>
  <si>
    <t>萨米的护佑.
“军团”</t>
  </si>
  <si>
    <t xml:space="preserve">附加限制：角色在创建完毕后的精神意志不低于8
描述：萨米人为抗击北方邪魔的侵扰而组建了一支军团——“索阿特维亚卡”，这支庞大的队伍由萨米最勇猛的部落中最强大的战士组成，你正是其中的一员。
</t>
  </si>
  <si>
    <t xml:space="preserve">教育-2、技术-2、经济评级-10、精神意志+1、生理耐受+1、物理强度+1、反应机动+1
获得附加技能：萨米语，初始技能值为10
与特质【先史通晓者】【耐寒】绑定
与修正因子【猎杀者（坍缩体）】绑定
</t>
  </si>
  <si>
    <t>萨米的护佑.“雪祀”</t>
  </si>
  <si>
    <t xml:space="preserve">附加限制：角色在创建完毕后的源石技艺适应性不低于8
描述：你是某个萨米部族的核心领导者，也是“祖灵之父”的沟通对象之一。你掌握了独属于萨米的源石技艺与技术，并以此带领自己的族群在萨米的庇护中生存。
</t>
  </si>
  <si>
    <t xml:space="preserve">教育-2、技术-2、经济评级-10、精神意志+2、源石技艺适应性+2
获得附加技能：萨米语，初始技能值为10
与特质【先史通晓者】【耐寒】绑定
与修正因子【猎杀者（坍缩体）】绑定
</t>
  </si>
  <si>
    <t>阿戈尔的深邃</t>
  </si>
  <si>
    <t xml:space="preserve">你出身于深海中的失落国度——阿戈尔。这个神秘的国家如它所身处的海洋般厚重、古老，同时美不胜收。即使它已沦陷于深海中，但它的子民仍然在这片大地上留下了属于阿戈尔的痕迹。
</t>
  </si>
  <si>
    <t xml:space="preserve">经验智慧+3、个人魅力+3、教育+6、情感+6
源石技艺适应性-4、经济评级-10
获得附加技能：阿戈尔语，初始技能值为10
</t>
  </si>
  <si>
    <t>阿戈尔的深邃.
研究者</t>
  </si>
  <si>
    <t xml:space="preserve">附加限制：角色在创建完毕后至少拥有一项技能值高于10的教育类/技术类技能
描述：你是/曾是阿戈尔中的一名研究员，并针对某一特定的知识领域进行了深入的研究。阿戈尔人在科学与知识的道路上寻觅已久，陆上人甚至难以理解你们的成就。
</t>
  </si>
  <si>
    <t xml:space="preserve">经验智慧+4、个人魅力+3、教育+8、情感+6、技术+2、先史+3、源石技艺适应性-4、经济评级-10
获得附加技能：阿戈尔语，初始技能值为10
与特质【先史通晓者】绑定
为教育类/技术类技能进行加点时无视加点上限
</t>
  </si>
  <si>
    <t>阿戈尔的深邃.深海猎人</t>
  </si>
  <si>
    <t xml:space="preserve">描述：你是阿戈尔为对抗海嗣威胁所制作的生物兵器，“深海猎人”中的一员。虽然你仍然保留了属于阿戈尔人的社会身份，但海嗣的血液已经无可逆转的在你的身体之中流动。在阿戈尔沦陷后，能够束缚你的唯有你的同类——其他的深海猎人，甚至“海嗣”。
</t>
  </si>
  <si>
    <t xml:space="preserve">经验智慧+3、个人魅力+3、教育+6、情感+6、生理耐受+5、物理强度+3、反应机动+3、先史+3、生命值上限+100%，不低于角色总等级的3倍，经济评级-10。
获得附加技能：阿戈尔语，初始技能值为10
与特质【快速愈合】、【体能充沛】、【元素耐受】、【水性】、【复活】、【先史通晓者】绑定
与修正因子【感官强化（视觉；听觉；嗅觉）】、【环境适应（水下）】、【猎杀者（海嗣）】、【高速再生】、【水下呼吸】绑定
等级提升时，法术抗性+1
源石技艺适应性固定为0
</t>
  </si>
  <si>
    <t>阿戈尔的深邃.
研究者.深海猎人</t>
  </si>
  <si>
    <t xml:space="preserve">经验智慧+4、个人魅力+3、生理耐受+5、物理强度+3、反应机动+3、教育+8、情感+6、技术+2、先史+6、生命值上限+100%，不低于角色总等级的3倍，经济评级-10
获得附加技能：阿戈尔语，初始技能值为10
与特质【快速愈合】、【体能充沛】、【元素耐受】、【水性】、【复活】、【先史通晓者】绑定
与修正因子【感官强化（视觉；听觉；嗅觉）】、【环境适应（水下）】、【猎杀者（海嗣）】、【高速再生】、【水下呼吸】绑定
为教育类/技术类技能进行加点时无视加点上限
等级提升时，法术抗性+1
源石技艺适应性固定为0
</t>
  </si>
  <si>
    <t>杜林的超然</t>
  </si>
  <si>
    <t xml:space="preserve">你出身于掩藏在岩石与泥土之下的理想国——杜林社会。杜林人深入地下，以前文明的遗物为基础进行研究与重构，在地底创造了无数的宏伟城邦。即使部分杜林人因故离开了地下，重新踏足于这片大地，他们也依然携带着那些在陆上人看来堪称奇迹的技术与造物。
</t>
  </si>
  <si>
    <t xml:space="preserve">经验智慧+1、机械工程/电子工程+3
获得附加技能：杜林语，初始技能值为10
</t>
  </si>
  <si>
    <t>杜林的超然.
工程师</t>
  </si>
  <si>
    <t xml:space="preserve">附加限制：角色在创建完毕后的机械工程/电子工程技能值高于10
描述：你曾是杜林社会中的一名工程师，并从杜林的知识体系中学习了大量的工程技术知识——甚至是那些未曾经过实践，仅能从前文明的宏伟造物中窥见端倪的部分。
</t>
  </si>
  <si>
    <t xml:space="preserve">经验智慧+2、机械工程/电子工程+3、技术+3
获得附加技能：杜林语，初始技能值为10
与特质【先史通晓者】绑定
为机械工程/电子工程进行加点时无视加点上限
</t>
  </si>
  <si>
    <t>荒原的自由</t>
  </si>
  <si>
    <t xml:space="preserve">你出身于荒原，或已经抛弃了属于文明社会的规训，选择投身荒原。自此不再有文明的律法将你约束，不再有市井与农田将你驯服。
</t>
  </si>
  <si>
    <t xml:space="preserve">经济评级固定为0、工作特质固定为【无固定职业】
生理耐受+1、物理强度+1、反应机动+1
社交点数-10
感染值+2d10
与修正因子【环境适应（荒原）】绑定
</t>
  </si>
  <si>
    <t>荒原的自由.
锈蚀铁锤</t>
  </si>
  <si>
    <t xml:space="preserve">附加限制：/
描述：你是游荡在荒原的暴力恐怖组织，“锈锤”的一员。你们敌视任何文明的造物，并且会利用恐怖袭击的方式摧毁他们。
</t>
  </si>
  <si>
    <t xml:space="preserve">经济评级固定为0、工作特质固定为【无固定职业】
生理耐受+1、物理强度+1、反应机动+1、社交点数-10、感染值+2d10
与修正因子【环境适应（荒原）】绑定
获得头衔“锈锤”；获得人脉“坎诺特（相识）”
消耗源石锭时，使消耗的源石锭×50%
你的长休条件比其他角色更加宽松。你能够直接长休而不需要依赖于任意的建筑物，并且能够在荒野上长休时顺带发现至少足够你本人使用的给养。
</t>
  </si>
  <si>
    <t>自定义文化特质</t>
  </si>
  <si>
    <t>序号</t>
  </si>
  <si>
    <t>特质类型</t>
  </si>
  <si>
    <t>躯体天赋</t>
  </si>
  <si>
    <t>年幼</t>
  </si>
  <si>
    <t>你的角色的年龄对于你的种族的平均寿命，以及你所处社会环境的教育阶段来说处在较早的时期，即你的角色处于通常意义上的“未成年人”阶段，因而对您的角色产生了一系列规则上的影响。
并非所有年龄较小的角色都需要选取本特质。下文所提及的各种效果，同时也是用于判断您是否具有该特质的条件。只要您觉得您的角色足够早熟，并且其人生经历足以说服SN，就可不选取本特质。</t>
  </si>
  <si>
    <t>当角色成长到足够脱离“幼年”时，便可以去除该特质。
身高、体重标准值-20%～50%
你可以（并且通常来讲必须）获得一个任意人脉，该人脉对应的角色被视作你的监护人。你的经济评级会被视为与其相同，并且你可能被允许使用其拥有的头衔与人脉。一般而言，该人脉不需要消耗社交点数，但若该人脉足够特殊/你希望它更为特殊，就应当花费额外的社交点数以提升其价值。
在文明程度足够高的地区，你的角色会被归为“未成年人”，并适用一系列相关的规则，例如民事能力受限、受到特定法律的保护，被要求履行受教育的义务、只需购买半价门票等。</t>
  </si>
  <si>
    <t>未来可期</t>
  </si>
  <si>
    <t>你的躯体尚未发育完全，并且你确信你的能力还能提升到更高的阶段。</t>
  </si>
  <si>
    <t>生理耐受-1、物理强度-1
失去特质【年幼】时，保留该修正因子提供的特质点。</t>
  </si>
  <si>
    <t>特殊视野</t>
  </si>
  <si>
    <t>你因先天的种族优势或是后天的变异与改造而获得了特殊的视野，以使得自身能够脱离可见光的限制，在更为恶劣或是更为特殊的环境中得以视物。</t>
  </si>
  <si>
    <t>与至少一个该特质的修正因子绑定。</t>
  </si>
  <si>
    <t>特殊视野（红外）</t>
  </si>
  <si>
    <t>你能够通过红外视觉穿透障碍物并观察到拥有温度的物体——包括绝大部分常见的生物，以及体表并未加装隔热板的机械装置。</t>
  </si>
  <si>
    <t>角色执行【侦测】动作时，检定骰面升级，无视掩体。</t>
  </si>
  <si>
    <t>特殊视野（黑暗）</t>
  </si>
  <si>
    <t>你仅需要极为微弱的光线就能正常视物，也因此对光照条件的要求更低。但在完全无光的环境下，你依然无法获得视野。</t>
  </si>
  <si>
    <t>角色的视野范围不受光照条件限制，且不会因相关环境获得“目盲”。
在光照条件恶劣的环境内依然能够正常行动，不会因此获得减益效果。</t>
  </si>
  <si>
    <t>感知</t>
  </si>
  <si>
    <t>你因源石技艺或是生物改造而获得了一种独特的感知能力，并且能够以此感应周围的活物。</t>
  </si>
  <si>
    <t>角色使用对应的感知方式执行【侦测】动作时，检定骰面升级，无视掩体。
角色无视“目盲”。</t>
  </si>
  <si>
    <t>环境感知</t>
  </si>
  <si>
    <t>你的感知能力足够的敏锐与灵活，其不仅能够作用于活物之上，还能代替视觉与触觉以感应周遭环境的形状甚至色彩。</t>
  </si>
  <si>
    <t>角色不会因缺少视野等原因获得负面影响。</t>
  </si>
  <si>
    <t>物法兼修*</t>
  </si>
  <si>
    <t>你的角色顺利地将源石技艺融入到了你的战斗风格中。</t>
  </si>
  <si>
    <t>你的角色总是能学习符合自己精英化阶段的源石技艺，即使你的职业分支并不允许。</t>
  </si>
  <si>
    <t>长寿</t>
  </si>
  <si>
    <t>你天生便拥有比寻常种族更长的寿命，并且衰老对你的影响也更为微弱。</t>
  </si>
  <si>
    <t>如果你的角色的年龄超过了所处环境大多数人的预期寿命，教育+3。
角色不会因年龄增长而获得特质【年迈】</t>
  </si>
  <si>
    <t>不老*</t>
  </si>
  <si>
    <t>你通过某种方式让自己的躯壳维持在健康的状态下且不再会自然衰老，以此成为了“长生者”——以最为宽泛的标准而言。</t>
  </si>
  <si>
    <t>教育+X。X=角色年龄×5%，至多为5
你不会因年龄增长而受到任何负面影响。</t>
  </si>
  <si>
    <t>复活*</t>
  </si>
  <si>
    <t>角色能够在彻底死亡后，通过某种方式重新归来。这种方式可能是预存的分身，可能是基于某种权能的秘术，可能是提前准备好的源石技艺......复活后，角色将会恢复至自身的最佳状态。需要说明的是，此类复活并不是“原地复活”，而是在远离危险的地方或一段较长的时间之后。如果你的角色在战斗中死亡，那么这个这些使你能够复活的因素至少要在这场战斗结束之后（或者在远离这场战斗的地方）生效。</t>
  </si>
  <si>
    <t>设定某种能使你的角色死而复生的方法。你的角色在死亡后，可以通过这种预设的方法重新归来。</t>
  </si>
  <si>
    <t>轮回</t>
  </si>
  <si>
    <t>你为存在的延续付出了沉重的代价。在复活后，你失去了过去绝大部分的记忆，以及相应的知识与能力。</t>
  </si>
  <si>
    <t>触发特质效果后，角色等级被重置为1级，并失去所有技能、技艺，拥有的特质需要消耗等额特质点才可重新获得其效果。</t>
  </si>
  <si>
    <t>神民*</t>
  </si>
  <si>
    <t>你的角色属于一个古老、高贵、强大，但如今却在不断消亡的神民家族，其原型对应一种幻想生物。这为你提供了较长的寿命，丰富的知识，更受尊敬的社会地位，以及对往日辉煌的怀念与幻想。</t>
  </si>
  <si>
    <t>通常情况下，与【长寿】绑定。
提供一个附加技能（可以是战斗技能），用于表现种族为你提供的特殊能力，并为其决定所依赖的基础属性（通常是源石技艺适应性）。该技能的基础数值为3，进入一个新的精英化阶段后，提升3点。</t>
  </si>
  <si>
    <t>无需呼吸*</t>
  </si>
  <si>
    <t>你的角色不需要通过呼吸来维持生理功能的运转。这可能意味着你的角色在生命本质上就和常规的生物有所不同，可能是依赖电能运转的机械，或是寄宿于某些奇特物件中的一段意识等。</t>
  </si>
  <si>
    <t>角色不会因无法正常呼吸而受到负面效果的影响，例如免疫空气中的毒性化合物、不会因在水下无法呼吸而窒息等。</t>
  </si>
  <si>
    <t>无需进食*</t>
  </si>
  <si>
    <t>你的角色不需要通过“吃饭”这个“麻烦”的行为来获取生活所需的能量。当然，这不代表你的角色不需要从外部摄入能量，只是摄取方式相比于进食来说要简单直接地多（例如充电，或是完成某些神秘的仪式)。</t>
  </si>
  <si>
    <t>角色不会因为长期缺少进食而受到负面影响。
为角色设置一种特定的“休整行为”（通常实现条件比短休更加宽松），在完成了这一行为后，视为角色进行了一次短休。</t>
  </si>
  <si>
    <t>无法进食</t>
  </si>
  <si>
    <t>你的角色一方面无需进食，一方面无法享用绝大多数角色所热爱的美食。各式各样的美餐对你的角色来说可能是乏味且令人恶心的，即使真的食用也不会从中获得营养或感到愉悦。</t>
  </si>
  <si>
    <t>角色无法通过食品，或是口服药剂等物品获得任何增益。</t>
  </si>
  <si>
    <t>无需睡眠*</t>
  </si>
  <si>
    <t>你的角色由于某种躯体构造上的原因，不会因过长时间而未能睡眠（或者说长休）而导致各种各样的负面效果。
当然，这不代表你的角色不需要休息，或是不会感到疲惫。你的角色仍然需要休息，只不过不再是通过“睡觉”这种“低效率”的方式，至于具体是什么方式，则需要由你为你的角色提前设定。</t>
  </si>
  <si>
    <t>角色不会因未进行长休而消耗耐力。
角色在进行短休时，获得长休效果。</t>
  </si>
  <si>
    <t>元素耐受</t>
  </si>
  <si>
    <t>你对各类环境拥有更强的适应力，同时自身优秀的免疫系统也使你更难以被外界环境所侵蚀。</t>
  </si>
  <si>
    <t>触发任意元素损伤爆发时，使受到的伤害骰面降级（至多降为D1）</t>
  </si>
  <si>
    <t>元素耐受（毒性）</t>
  </si>
  <si>
    <t>你对毒性环境有着异于常人的耐受力。</t>
  </si>
  <si>
    <t>受到的毒性损伤-2</t>
  </si>
  <si>
    <t>元素耐受（侵蚀）</t>
  </si>
  <si>
    <t>你对侵蚀环境有着异于常人的耐受力。</t>
  </si>
  <si>
    <t>受到的侵蚀损伤-2</t>
  </si>
  <si>
    <t>元素耐受（灼燃）</t>
  </si>
  <si>
    <t>你对高温环境有着异于常人的耐受力。</t>
  </si>
  <si>
    <t>受到的灼燃损伤-2</t>
  </si>
  <si>
    <t>辅助机械</t>
  </si>
  <si>
    <t>你通过各种方式获取了一些特殊的自动机械以辅助自身进行工作，并切实的从它们的帮助中实现了目的。</t>
  </si>
  <si>
    <t>辅助机械（非战斗技能）</t>
  </si>
  <si>
    <t>你通过指挥或使用特定型号的机器以提升自己的工作效率。</t>
  </si>
  <si>
    <t>选择一个非战斗技能的技能，该技能为目标技能。
进行目标技能检定时，目标技能获得三个奖励骰。每次使用后，需要补充价值为1源石锭的耗材以重新激活此效果。
该修正因子可重复购买，购买该修正因子时，使下次购买该修正因子所需的特质点×2。</t>
  </si>
  <si>
    <t>辅助机械（战斗技能）</t>
  </si>
  <si>
    <t>你能在战斗中指挥或使用特定的机械以增强战斗能力。</t>
  </si>
  <si>
    <t>选择一个战斗技能，该技能为目标技能。
进行目标技能检定时，目标技能获得一个奖励骰。在战斗开始时，补充价值为1源石锭的耗材以激活此效果。</t>
  </si>
  <si>
    <t>识别性知觉</t>
  </si>
  <si>
    <t>你的特定感官更为敏锐，同时你对该感官所传递的信息也有更为敏锐的分辨能力，甚至能够单靠其中的细微之处以分辨信息的制造者。</t>
  </si>
  <si>
    <t>识别性知觉（听觉）</t>
  </si>
  <si>
    <t>你有远超普通人类程度的，区分“声音”的能力。你总是能够光凭嗓音就将人们区别开来，或是可以通过感觉上的“声纹”来分辨或是识别发出这类声响的机器。如果你持续聆听了某人/某台机器的发出的声响，便能够记住它并在下次听见时立刻反应过来。</t>
  </si>
  <si>
    <t>进行调查/觉察检定，且检定内容与自身已记忆的声音相关时，获得骰面升级。
进行追踪检定，且检定内容与听觉相关时，获得骰面升级。</t>
  </si>
  <si>
    <t>识别性知觉（嗅觉）</t>
  </si>
  <si>
    <t>你有着远超普通人类程度的嗅觉，你能够记忆你可能遇到的一切事物，并用它们自身的独特气味注册一个独特的“标签”。</t>
  </si>
  <si>
    <t>进行调查/觉察检定，且检定内容与自身已记忆的气味相关时，获得骰面升级。
进行追踪检定，且检定内容与嗅觉相关时，获得骰面升级。</t>
  </si>
  <si>
    <t>识别性知觉（味觉）</t>
  </si>
  <si>
    <t>该修正因子的应用区域与“识别性知觉（嗅觉）”相近，但嗅觉与味觉仍有差异。这体现在检查目标时，你必须摄取少量的材料样本一一对生物而言，这意味着体液。你可以通过记忆辨识出这种味道的来源，若你曾遇见并品尝过这种物质，你还能确定它的具体性质，如能否食用，或是能否被制为药物/是否存在毒性等。</t>
  </si>
  <si>
    <t>进行调查/觉察检定，且检定内容与自身已记忆的物质相关时，获得骰面升级。
进行追踪检定，且检定内容与味觉相关时，获得骰面升级。</t>
  </si>
  <si>
    <t>快速愈合</t>
  </si>
  <si>
    <t>你在受伤后的代谢增快，并且促进了你接受来自药物或源石技艺的医疗效果，使得你的伤口愈合的更快。</t>
  </si>
  <si>
    <t>短休时，额外回复等同于自身生命值上限*25%的生命值
战斗开始时，获得“亲和”，持续至元素韧性归零或濒死。</t>
  </si>
  <si>
    <t>高速再生</t>
  </si>
  <si>
    <t>你的愈合能力更强，皮外伤势已经难以留下痕迹，即使是深可见骨的伤势也能在你的静养下不再恶化，甚至可能自我愈合。</t>
  </si>
  <si>
    <t>短休时，生命值回复至上限
受到的组织损伤-1
在回合开始或受到治疗时，如果拥有“禁疗”状态，则可进行一次生理耐受检定，若成功，则清除之。该检定的难度等级与禁疗状态的施加者相关。</t>
  </si>
  <si>
    <t>复苏</t>
  </si>
  <si>
    <t>你能够通过奇特的方式，或仅是依靠自身特殊的特质去修复那些对常人而言近乎无法痊愈的伤势。</t>
  </si>
  <si>
    <t>短休时，生命值上限回复至当前伤残状态的最大值。
处于伤残状态II且进行长休时，将生命值上限回复至初始值。</t>
  </si>
  <si>
    <t>悄无声息</t>
  </si>
  <si>
    <t>你能无声无息的移动，或是在不发出声响的情况下完成一些精密的动作。</t>
  </si>
  <si>
    <t>进行潜行检定时，检定骰面升级。
你处于“隐匿”且进行任意行动时，仅当你处于任意敌方单位的视野范围内时才使“隐匿”结束。</t>
  </si>
  <si>
    <t>迷人</t>
  </si>
  <si>
    <t>出于各种可能的原因（如引人怜爱的外表或是天生特异的体香等），你更容易吸引他人的目光，在与人相处时也更易于获得他人的好感。</t>
  </si>
  <si>
    <t>个人魅力+1、取悦+2
进行乔装/潜行检定时，获得骰面降级
进行取悦检定时，获得骰面升级</t>
  </si>
  <si>
    <t>感官强化</t>
  </si>
  <si>
    <t>你的特定感官更为敏锐，并且其能够接受的信息广度与深度都大大增加。</t>
  </si>
  <si>
    <t>感官强化（视觉）</t>
  </si>
  <si>
    <t>你拥有超越常人的强大视力。</t>
  </si>
  <si>
    <t>进行洞察类技能检定，且检定内容使用了视觉时，获得骰面升级。</t>
  </si>
  <si>
    <t>感官强化（听觉）</t>
  </si>
  <si>
    <t>你拥有超越常人的强大听力。</t>
  </si>
  <si>
    <t>进行洞察类技能检定，且检定内容使用了听觉时，获得骰面升级。</t>
  </si>
  <si>
    <t>感官强化（嗅觉）</t>
  </si>
  <si>
    <t>你拥有超越常人的强大嗅觉。</t>
  </si>
  <si>
    <t>进行洞察类技能检定，且检定内容使用了嗅觉时，获得骰面升级。</t>
  </si>
  <si>
    <t>迅捷步伐</t>
  </si>
  <si>
    <t>你相比于他人拥有更为灵活的躯体与更为敏捷的行动能力。这令你能够在短时间内爆发出更快的速度，并以此使自身夺得先机。</t>
  </si>
  <si>
    <t>身法+1
战斗开始时，使自身移动位+2，获得“迅捷”，持续至触发一次效果。</t>
  </si>
  <si>
    <t>高速反应</t>
  </si>
  <si>
    <t>作为个人天赋的一部分，你拥有极快的反应力。这使得你能够对意外做出及时的反应，或是通过快速的反应以实现某些精密且困难的动作。</t>
  </si>
  <si>
    <t>反应机动+1
进行任意灵巧类技能检定时，改为进行该技能与反应机动的协助检定
使用任意反应机动类技能进行对抗时，获得骰面升级</t>
  </si>
  <si>
    <t>环境适应</t>
  </si>
  <si>
    <t>你通过经验以适应了某些极端且恶劣的环境，使得该环境难以对你造成影响，或只是将该环境对你造成的影响减轻。
下表仅包含部分特质适用范例，若存在额外需求，可自行以相同格式编写。</t>
  </si>
  <si>
    <t>环境适应（荒原）</t>
  </si>
  <si>
    <t>你对荒原恶劣的环境与频发的天灾习以为常。</t>
  </si>
  <si>
    <t>进行任意检定时，不会因该环境而获得减益效果。
战斗轮开始且处于该环境时，获得“迅捷”，持续至触发一次效果。</t>
  </si>
  <si>
    <t>环境适应（城市）</t>
  </si>
  <si>
    <t>你对城市杂乱的街道或无序的人群习以为常。</t>
  </si>
  <si>
    <t>环境适应（水中）</t>
  </si>
  <si>
    <t>你对水中昏暗的视野与缓慢的动作习以为常。</t>
  </si>
  <si>
    <t>环境适应（雪原）</t>
  </si>
  <si>
    <t>你对雪原刺骨的寒风与艰涩的积雪习以为常。</t>
  </si>
  <si>
    <t>求生者</t>
  </si>
  <si>
    <t>你对所有极端且恶劣的环境习以为常。</t>
  </si>
  <si>
    <t>进行任意检定时，不会因该环境而获得减益效果。</t>
  </si>
  <si>
    <t>飞檐走壁</t>
  </si>
  <si>
    <t>你天生便拥有强大的运动神经和协调能力，这些条件使得你能够进行连续的高难度跑酷，而更为基础的运动对你而言已经成为了本能的一部分。</t>
  </si>
  <si>
    <t>身法+1
进行身法检定时，获得骰面升级
进行跳跃/攀援时，不再需要进行身法检定。
你可以在倾斜度不小于90°的斜面上短暂的奔走，并且不会令自身的速度减缓，你也可以通过跳跃与攀爬组合登上更高的位置，在进行一些基础的跑酷动作（如滑铲、蹬墙跳）时，你不再需要进行对应技能的检定。</t>
  </si>
  <si>
    <t>平稳落地</t>
  </si>
  <si>
    <t>你特殊的身体结构或是优秀的平衡能力使你能够在摔落时稳定自己的身体，并以此减轻受到的伤害。</t>
  </si>
  <si>
    <t>身法+1、灵巧+2
受到摔落伤害时，若伤害值低于你的生命值上限×50%，将伤害值改为0。
你在进行高低落差较小的跳跃时不会使自身受到伤害，并且能够在落地后维持原有速度继续奔跑。</t>
  </si>
  <si>
    <t>水性</t>
  </si>
  <si>
    <t>你拥有在水中依然能够正常行动，而不会受其束缚的能力。</t>
  </si>
  <si>
    <t>进行任意检定时，不会因该环境而获得减益效果。
回合开始且处于该环境时，移动位+1。</t>
  </si>
  <si>
    <t>水下呼吸</t>
  </si>
  <si>
    <t>依靠特殊的器官结构，你不仅能够在水中自如的行动，还能长时间处于水中且无需换气，相比那些没有相同能力的人，你甚至能够从活水中补充氧气以满足自身的生理需求。</t>
  </si>
  <si>
    <t>处于该环境时，获得“亲和”。</t>
  </si>
  <si>
    <t>毒液分泌</t>
  </si>
  <si>
    <t>你的身体内存在一个正源源不断分泌毒液的特殊器官，并且你能够将其产物应用于实际。无论是战斗时为武器淬毒还是进行隐匿的投毒，你都能够以自身完成这一切。</t>
  </si>
  <si>
    <t>提供主动动作【分泌】：消耗快速行动，使自己获得“淬毒”，持续至攻击一次。
“淬毒”：对任意单位造成伤害后，额外造成2毒性损伤</t>
  </si>
  <si>
    <t>猛毒</t>
  </si>
  <si>
    <t>你分泌的毒液毒性更强，能够对生物体造成更大的杀伤力。</t>
  </si>
  <si>
    <t>你通过“淬毒”造成的毒性损伤+1</t>
  </si>
  <si>
    <t>毒素适应</t>
  </si>
  <si>
    <t>你适应了各种毒素与有害物质，使其难以危害你的身体。</t>
  </si>
  <si>
    <t>你受到的毒性损伤-2</t>
  </si>
  <si>
    <t>复杂腺体</t>
  </si>
  <si>
    <t>你能够合成种类与效果更为多元的复杂化合物，并以此令你的敌人受到更为深刻的折磨。</t>
  </si>
  <si>
    <t>任意单位受到来自该特质效果的毒性损伤时，你可改为使其受到等量的神经损伤。</t>
  </si>
  <si>
    <t>体能充沛</t>
  </si>
  <si>
    <t>你拥有充沛的体能以支撑你长时间活动，并且需要更短的休息就能将身体调整至最佳状态。</t>
  </si>
  <si>
    <t>耐力上限+1
短休时，耐力+1。</t>
  </si>
  <si>
    <t>天然迷彩</t>
  </si>
  <si>
    <t>你的躯体所赋予的天赋使你能够改变体表纹理从而融入周边环境，并以此使自己难以被发现与追踪。</t>
  </si>
  <si>
    <t>潜行+2
进行乔装/潜行检定时，获得骰面升级
你处于“隐匿”且任意单位使用追踪技能与你进行对抗时，获得骰面升级。</t>
  </si>
  <si>
    <t>坚韧体魄</t>
  </si>
  <si>
    <t>你拥有更为坚韧的体魄与相对应的抗击打能力，在生命垂危时也拥有强大的韧性。</t>
  </si>
  <si>
    <t>生命值低于50%时，自身被视为拥有“亲和”。</t>
  </si>
  <si>
    <t>硬肤</t>
  </si>
  <si>
    <t>你的体表覆盖了一层坚硬的角质层或是鳞片，这令你对物理性击打拥有更强的承受能力。</t>
  </si>
  <si>
    <t>战斗开始时，获得“屏障X”，X=自身物理抗性，持续至X降低至0。</t>
  </si>
  <si>
    <t>装饰性器官</t>
  </si>
  <si>
    <t>你拥有特殊且明显的器官，并且可以通过装饰以使它在视觉上更为突出，使你魅力非凡。仅在选择至少一个修正因子时生效。下表仅包含了部分可能会在模组中接触到的肢体部位，若存在额外的所需部位，可自行以相同格式编写对应的修正因子。</t>
  </si>
  <si>
    <t>个人魅力+1
乔装-2
进行短休时，可将短休效果变为：使自身的个人魅力+2，持续至下一次长休。</t>
  </si>
  <si>
    <t>装饰性器官（角）</t>
  </si>
  <si>
    <t>你拥有异常美丽的角（通常是明显的）。</t>
  </si>
  <si>
    <t>你对拥有相同器官的单位进行取悦检定时，检定获得三个奖励骰。</t>
  </si>
  <si>
    <t>装饰性器官（尾）</t>
  </si>
  <si>
    <t>你拥有异常美丽的尾部。</t>
  </si>
  <si>
    <t>装饰性器官（羽）</t>
  </si>
  <si>
    <t>你拥有异常美丽的羽毛（通常位于头/耳部）。</t>
  </si>
  <si>
    <t>固有武器</t>
  </si>
  <si>
    <t>你能够利用自身的某个/某些肢体充当特殊的武器，这也使得你能在任何时候出其不意的发起攻击一一但这也使得你可能会被禁止进入某些安保要求极高的场所。你也能通过机械、改造、或是肢体的畸变使其获得额外的附件，并以此提升其性能。</t>
  </si>
  <si>
    <t>获得一个绑定于角色的近战武器，该武器的检定技能为格斗，攻击范围为九宫格。
该武器的表现形式大致是自由的，PL可在不影响其基础属性的情况下自行决定其外在表现。该武器无法被卸除、转移、缴械，除非角色永久失去了此特质。</t>
  </si>
  <si>
    <t>延伸</t>
  </si>
  <si>
    <t>该肢体拥有相对而言更为灵活的行动能力，或是更长的范围，这使得它能攻击到远处的目标。</t>
  </si>
  <si>
    <t>使该武器的攻击范围变为阶梯2。</t>
  </si>
  <si>
    <t>该肢体拥有相对而言更为迅捷的攻击速度，或是更轻的重量，这使得它能快速地发动攻击。</t>
  </si>
  <si>
    <t>使该武器进行攻击检定时，同时检定格斗与身法，结果取较高值。</t>
  </si>
  <si>
    <t>第三只手</t>
  </si>
  <si>
    <t>你的某个/某些肢体（通常是尾）足够发达且灵活，能够抓握近战武器并正常的使用它们。</t>
  </si>
  <si>
    <t>你能够使用尾部持握常见的近战武器/法杖/无需精密操作的机械工具，或是在双手均无法使用的情况下用其抓取物体。
你在使用其持握近战武器时，能够将自身背后格视为自身的控制区与攻击范围，并能够对来自背面区域的攻击进行完全格挡/招架。</t>
  </si>
  <si>
    <t>耐寒</t>
  </si>
  <si>
    <t>你对寒冷的气候与环境拥有足够的适应性，并且已经习于在这样的温度中活动。</t>
  </si>
  <si>
    <t>在回合开始时，若具有“寒冷”或“冻结”状态，则可进行一次生理耐受检定，若成功，清除之。该检定的难度等级与环境温度与状态的施加者相关。
你能够在更加寒冷的地方进行长休和短休。</t>
  </si>
  <si>
    <t>躯体缺陷</t>
  </si>
  <si>
    <t>感染者</t>
  </si>
  <si>
    <t>你是一名感染者，如这片大地对感染者的态度一般，你受到了诸多外在与内在的影响。</t>
  </si>
  <si>
    <t>源石技艺适应性+1。进入新的感染阶段时，源石技艺适应性+1。
经济评级-10、社交点数-15
获得【感染者】单位标签。
获取感染者人脉时，花费的社交点数×50%。
若非感染者交涉对象知晓你具有本特质，你与之进行交涉类技能检定时获得骰面降级，并且对方很可能改变与你对接的交涉方式。
每经过六个月，感染值+1。</t>
  </si>
  <si>
    <t>感染加深</t>
  </si>
  <si>
    <t>你的矿石病症状因各种可能的原因深化，并在你的躯体中加速扩散。</t>
  </si>
  <si>
    <t>增加感染值时，使增加的感染值+1。</t>
  </si>
  <si>
    <t>年迈</t>
  </si>
  <si>
    <t>角色的年龄相对于你的种族的平均寿命，以及你所处社会环境的教育阶段来说处在较晚的时期，即你的角色处于通常意义上的“晚年”阶段，因而对您的角色产生了一系列规则上的影响。
并非所有年龄较大的角色都需要选取本特质。下文所提及的各种效果，同时也是用于判断您是否具有该特质的条件。只要您觉得您的角色足够年轻，并且其人生经历足以说服SN，就可不选取本特质。另一方面，并非仅有年龄较大的角色需要选取本特质，如果角色因其他情况而满足该特质的内容，也可以选取本特质以启用相关效果。</t>
  </si>
  <si>
    <t>经验智慧+1，精神意志+1、社交点数+10
物理强度-1，生理耐受-1，反应机动-1
在大多数社会环境中，更容易受人尊敬。</t>
  </si>
  <si>
    <t>嗜睡</t>
  </si>
  <si>
    <t>你因神经系统受到影响而需要更多的睡眠，在未满足睡眠时长的需要时，你将难以行动甚至随时可能晕倒。</t>
  </si>
  <si>
    <t>进行长休时，所需时长+2h
因未进行长休而失去耐力时，额外失去1耐力。</t>
  </si>
  <si>
    <t>发作性睡病</t>
  </si>
  <si>
    <t>你无法控制自身的睡眠需要，在任何时刻（即使是极度危险的时刻）也可能立刻昏厥。</t>
  </si>
  <si>
    <t>你可能在任何时候进入睡眠，即使你并不希望如此。当你即将昏厥，或是获得“睡眠”时，可消耗1耐力使自身保持清醒，但所有检定均获得骰面降级，持续至下一次长休。
处于“睡眠”且受到攻击时，不会使“睡眠”结束，除非进行了成功的自控检定。
战斗中，进行任意技能对抗且对抗失败时，获得“困顿”，持续至触发一次效果。</t>
  </si>
  <si>
    <t>失眠</t>
  </si>
  <si>
    <t>你的角色在入睡和睡眠休息上存在困难，大部分时间都需要通过外力辅助才能安然入睡。</t>
  </si>
  <si>
    <t>精神意志-1
进行长休时，进行一次自控检定，失败则使长休效果被视为短休。
进行短休时，进行一次自控检定，失败则使短休不生效。（不会被该特质所导致的短休触发。）</t>
  </si>
  <si>
    <t>易感</t>
  </si>
  <si>
    <t>你的特殊体质使你更容易被矿石病所侵蚀，在感染矿石病后也更难以控制病灶的蔓延。</t>
  </si>
  <si>
    <t>感染值增加时，使增加的感染值+1
进行感染检定且角色为感染者时，获得骰面降级</t>
  </si>
  <si>
    <t>迟钝</t>
  </si>
  <si>
    <t>你的神经系统过于迟钝，以至于你难以自如地操控自己的身躯活动。</t>
  </si>
  <si>
    <t>战斗轮开始时，获得“迟缓”，持续至触发一次效果。
进行反应机动类技能检定时，获得骰面降级</t>
  </si>
  <si>
    <t>感官障碍</t>
  </si>
  <si>
    <t>角色的某些感觉器官出现了功能障碍，以至于对应的知觉无法正常运作。</t>
  </si>
  <si>
    <t>感官障碍（视觉）</t>
  </si>
  <si>
    <t>角色因各种可能的原因缺失了视觉。</t>
  </si>
  <si>
    <t>被视为拥有“目盲”。
无法使用视觉进行洞察类技能检定。</t>
  </si>
  <si>
    <t>感官障碍（听觉）</t>
  </si>
  <si>
    <t>角色因各种可能的原因缺失了听觉。</t>
  </si>
  <si>
    <t>无法成长声乐技能。
无法使用听觉进行洞察类技能检定。</t>
  </si>
  <si>
    <t>感官障碍（嗅觉）</t>
  </si>
  <si>
    <t>角色因各种可能的原因缺失了嗅觉。</t>
  </si>
  <si>
    <t>无法使用嗅觉进行洞察类技能检定。</t>
  </si>
  <si>
    <t>短寿</t>
  </si>
  <si>
    <t>你的角色因为各种原因所剩时日无多，或是角色所处的族群本身的平均寿命本身就较低。这可能是因为你的角色患有某些不治之症，或是本身就已经进入了生命周期的后期。</t>
  </si>
  <si>
    <t>出于某些原因，你的角色将在3年内死亡。</t>
  </si>
  <si>
    <t>化学依赖</t>
  </si>
  <si>
    <t>角色的身体对某种特定的物品（主要是某种化学物质）产生了某种生理性的依赖，需要通过定期摄入来避免“戒断反应”的发生。与此同时，这些化学物质本身就会对你的身体造成很可能不利的影响，并且产生一笔额外的经济开销。你的依赖物质本身不会造成严重的伤害，甚至可能是有利于你的身体的。具体来说，一些角色可能因患有特殊病症而不得不长期服药，对于该角色来说，这种药物也会成为对应的依赖物质。</t>
  </si>
  <si>
    <t>经济评级-10
设置一种不在普通人的正常需要范畴内的“依赖物质”以及缺少该物质会产生的“戒断反应”。如果你的角色不定期摄入（通常来说是在每次长休之间）该物质，“戒断反应”，或是类似的，因未摄入该物质而产生的恶性反应就会发生，并为你的角色带来麻烦。
在每次长休后，你必须摄入一次你的依赖物质，否则无法进行长休。</t>
  </si>
  <si>
    <t>酗酒</t>
  </si>
  <si>
    <t>酒精在各种意义上都是一种标准的依赖物质，但由于农业文明的酿酒历史，它在人类社会中得到了额外的宽容，比起大部分其他的依赖物质来说也更容易获取。</t>
  </si>
  <si>
    <t>你对酒精拥有一定的耐性，更不容易醉酒。
你对拥有该特质的单位进行游说/取悦检定时，检定获得三个奖励骰。</t>
  </si>
  <si>
    <t>恶性依赖物</t>
  </si>
  <si>
    <t>你的依赖物质具有成瘾性，并会对你的身体造成一定的负面影响，包括且不限于躯体损害，神经损伤等。你的身体素质不可避免地受到了永久性损害。</t>
  </si>
  <si>
    <t>生理耐受-1
每次摄入该物质时，使生理耐受/精神意志-1，下一次长休时复原。
在角色发现周围的依赖物质时，进行一次自控检定，检定失败则角色会立刻以任何可能且合理的方式尝试摄入该物质。</t>
  </si>
  <si>
    <t>语言障碍</t>
  </si>
  <si>
    <t>你的角色在语言发音上存在困难，这使其难以进行口语交流。</t>
  </si>
  <si>
    <t>通过语言进行个人魅力类技能检定时，获得骰面降级。</t>
  </si>
  <si>
    <t>失音</t>
  </si>
  <si>
    <t>角色无法通过语言进行交涉，也执行诸如无法歌唱、呼喊等动作。</t>
  </si>
  <si>
    <t>附加限制：/
角色在语言发音上的困难更加具体——无法通过声道发出任何声音。
角色无法通过语言进行交涉，也执行诸如无法歌唱、呼喊等动作。</t>
  </si>
  <si>
    <t>协调障碍</t>
  </si>
  <si>
    <t>你的角色在身体协调性方面有着明显的缺陷，例如更难保持平衡，更难完成复杂的肢体动作等。</t>
  </si>
  <si>
    <t>反应机动-1、敏捷-1、灵巧-2
进行身法检定时，获得骰面降级。</t>
  </si>
  <si>
    <t>弱不禁风</t>
  </si>
  <si>
    <t>你的身体出于某些原因而拥有较弱的抗击打能力，因而更容易在战斗中被击溃。但从另一方面来说，你的角色更容易给人安静和文弱的印象，从而唤起智识和知性的尊敬，或激起他人的保护欲。</t>
  </si>
  <si>
    <t>个人魅力+1
生理耐受-1、物理强度-1
生命值上限-20%
进行物理强度检定时，检定骰面降级。</t>
  </si>
  <si>
    <t>元素脆弱</t>
  </si>
  <si>
    <t>你的身体更易受到环境的影响与侵蚀。</t>
  </si>
  <si>
    <t>触发任意元素损伤爆发时，使受到的伤害骰面升级。</t>
  </si>
  <si>
    <t>元素脆弱（对应损伤）</t>
  </si>
  <si>
    <t>角色缺少对某种元素的抗性，因此更易受其影响。</t>
  </si>
  <si>
    <t>选择凋亡损伤、灼燃损伤、侵蚀损伤、组织损伤、毒性损伤、神经损伤之一，该元素损伤为对应损伤。
受到的对应损伤+1。
该修正因子可重复购买，购买该修正因子时，无法选择已有的对应损伤。</t>
  </si>
  <si>
    <t>自愈障碍</t>
  </si>
  <si>
    <t>你的角色在躯体的自我恢复上存在一定的困难，例如患有各种影响了自体造血、细胞再生、伤口愈合方面的疾病，或是单纯地天生如此。这使得你的角色在生命值的恢复上遭遇困难。</t>
  </si>
  <si>
    <t>长/短休时，无法回复生命值。短休时，无法回复生命值上限。
回合开始时，进行一次难度等级为20的生理耐受检定，失败则获得“禁疗”，持续至下一次回合开始。</t>
  </si>
  <si>
    <t>维护需求</t>
  </si>
  <si>
    <t>角色不具有自我恢复的能力，但能够通过进行某些特定的行动并消耗对应资源以修复自身，例如服用药物，进行祭祀或补充零件。对于一些并非碳基生物的角色来说，这可能是很常见的情况。</t>
  </si>
  <si>
    <t>角色不再受伤残等级影响。
设定一种特定的资源（以及对应的恢复操作），只有消耗此类资源时，你的角色才能进行自我恢复。
在长休时，能够通过消耗价值1源石锭的资源令角色回复20%的生命值上限。</t>
  </si>
  <si>
    <t>肢体缺失</t>
  </si>
  <si>
    <t>你的角色缺少某些特定的肢体，这对于你的角色产生了明显不自然的不利影响。</t>
  </si>
  <si>
    <t>这是一个自定义特质，因为它能起到的作用十分繁多，有待补充。例如，尾部的确实可能让角色更加难以保持平衡；角部的缺失可能会降低角色的个人魅力（但更方便隐藏自己的种族特征），手的缺失可能会降低角色的物理强度；以及禁用妙手技能的某些能力；腿部的缺失可能会降低角色的反应机动、移动与负重能力……
也许规则书未来会完整地规定各种缺失带来的效果，但在当前阶段，就请尽情发挥想象力吧！</t>
  </si>
  <si>
    <t>价值不定</t>
  </si>
  <si>
    <t>弱点</t>
  </si>
  <si>
    <t>你的角色存在若干个特定的弱点，例如持有某个未痊愈的伤口，缺乏对某种化学物质的抵抗性，在某种环境的条件下状态虚弱等。</t>
  </si>
  <si>
    <t>与你的SN设定一种行之有效的，用于针对你的角色的手段，并且写明这种手段会对你角色带来的负面效果！</t>
  </si>
  <si>
    <t>每个-10</t>
  </si>
  <si>
    <t>精神天赋</t>
  </si>
  <si>
    <t>独行长路</t>
  </si>
  <si>
    <t>你的角色由于个人经历或某些天赋而对独处状态感到从容自若，并且擅长于孤身作战。</t>
  </si>
  <si>
    <t>独自行动且进行除战斗技能外的任意技能检定时，获得骰面升级。
战斗中，若不存在友方角色，则在每个战斗轮结束后获得一个额外回合。</t>
  </si>
  <si>
    <t>孤勇</t>
  </si>
  <si>
    <t>你的角色是一位独狼排斥在战斗中接受来自他人的援助。</t>
  </si>
  <si>
    <t>无法获得来自其他角色的治疗与生命值回复效果。
回合结束时，回复等同于生命值上限*10%的生命值。</t>
  </si>
  <si>
    <t>异格者</t>
  </si>
  <si>
    <t>你的角色掌握了至少两种截然不同的作战之道。尽管它们因武器或防具的不适配而无法同时被运用，但也不妨碍你能够在战斗外灵活地转换自身的战斗定位。</t>
  </si>
  <si>
    <t>你能够选择两种不同的职业分支，用相互独立的技艺点制作两套截然不同的技艺组和战斗信息。同一时间内，只能启用其中一个。
你能够在短休时切换自己的职业分支与所用的防具与武器。切换时，会保持HP与SP与其最大值的比例不变。</t>
  </si>
  <si>
    <t>融会贯通</t>
  </si>
  <si>
    <t>临阵磨枪，不快也光。</t>
  </si>
  <si>
    <t>角色能够进行分支转换。
分支转换：消耗一个主要行动与一个快速行动，转变自己的职业分支。每场战斗首次进行该动作时，触发所有“战斗开始时”效果。</t>
  </si>
  <si>
    <t>武器大师</t>
  </si>
  <si>
    <t>你的角色擅长运用各式各样的武器，并且将他们的用法融会贯通。</t>
  </si>
  <si>
    <t>当你进行任意的战斗技能检定时，可以将其替换为该技能与另一个战斗技能（但不能是通识技能）的协助检定。</t>
  </si>
  <si>
    <t>多重源石技艺*</t>
  </si>
  <si>
    <t>你的角色通过某种方法掌握了两种（甚至更多种）截然不同的源石技艺，并且将其融会贯通。</t>
  </si>
  <si>
    <t>你在学习源石技艺时，能够从两种不同小类的源石技艺中选择。两者所花费的技艺点共享，解锁进度相互独立。</t>
  </si>
  <si>
    <t>对立统一</t>
  </si>
  <si>
    <t>你从两种不同的源石技艺类别中找到了它们能力的相似之处，并以此将二者连接为一个统一的体系。</t>
  </si>
  <si>
    <t>你所选取的两种源石技艺小类从属于相同的大类（例如咒法化形、传心感知等），或是两者之间有相互促进的联系（如冰与水，或与风等）。</t>
  </si>
  <si>
    <t>众妙之门</t>
  </si>
  <si>
    <t>你对源石技艺的理解已经远超凡人，因而在你的眼中，所有源石技艺之间的共性压倒了特性。</t>
  </si>
  <si>
    <t>你能够从超过两种，甚至是从所有小类的源石技艺中任意地学习源石技艺。</t>
  </si>
  <si>
    <t>飘忽不定*</t>
  </si>
  <si>
    <t>你的角色出于某些原因拥有古怪的运气或诡异的行为模式，因而相比于其他人会存在更不稳定的发挥。</t>
  </si>
  <si>
    <t>角色在进行检定时，您或者您的SN可以要求你外投掷一枚D20，如果出目为1，则本次检定视为大失败；若出目为20，则本次检定视为大成功；若不为1也不为20，则本次检定正常进行。这个效果仅可用于战斗外。</t>
  </si>
  <si>
    <t>追踪专家</t>
  </si>
  <si>
    <t>你的角色尤其擅长追查现场的蛛丝马迹，从中获取线索或直接定位你所追寻的目标。</t>
  </si>
  <si>
    <t>追踪+2
以同一单位为目标进行追踪检定时，每对其进行过一次追踪检定，使追踪+1，持续至下一次长休或是你更改目标。
使用追踪技能与任意单位的潜行技能进行对抗时，获得骰面升级</t>
  </si>
  <si>
    <t>制造专家</t>
  </si>
  <si>
    <t>你的角色在制造各类物品时具有显著优势。无论是武器、防具、工具还是其他特殊道具，他们都能够以更高的效率和更好的质量完成制造。另一方面，你的角色也擅长对工业制成品进行修理，甚至是发明一些全新的机械产物。</t>
  </si>
  <si>
    <t>机械工程+2、电子工程+1
在战斗结束后，可将在战斗中被摧毁的机械单位回收为材料，视重量将其转化为一定的材料单位，且角色至多携带5个单位。在长休时，能够将材料单位变为等量的源石锭。
进行长/短休时，角色可消耗一定资源（如耐力或源石锭）修复未被摧毁的机械单位。
在进行长休时，可以消耗等同于其价格的源石锭来购买（实际上是制作）规则书中的消耗品。
你可以尝试与你的SN讨论设计新的配件。</t>
  </si>
  <si>
    <t>动物共情</t>
  </si>
  <si>
    <t>你的角色不仅能与人类分享的感情，还能与动物这样做！你能够了解与你相处的动物所处的情绪，并且能够借此与动物更好地相处，从而驯化他们，甚至通过动作与对方进行沟通。</t>
  </si>
  <si>
    <t>你总是能够了解与你互动的动物的心情与需求。
你能够通过肢体等动作与动物进行交涉类技能检定，以将其驯服。安抚，或使其了解到你的需求。</t>
  </si>
  <si>
    <t>动物语言</t>
  </si>
  <si>
    <t>你不仅能够与动物进行情感上的交流，更能通过言语沟通以获取实质性的信息。你不再是单纯地使动物了解你的想法，而是能够从一些具有足够智能的动物中获取信息建议，乃至进行深入复杂的沟通。</t>
  </si>
  <si>
    <t>能够与动物进行语言沟通，尽管大部分动物智能有限。
能够了解动物的各种鸣叫和行为的意义。</t>
  </si>
  <si>
    <t>种类限制</t>
  </si>
  <si>
    <t>选取不超过三个物种，该特质仅可对选取物种生效。</t>
  </si>
  <si>
    <t>该特质总消耗-50%</t>
  </si>
  <si>
    <t>共情者</t>
  </si>
  <si>
    <t>你的角色有较强的共情能力，这使得你的角色更擅长交际，并且往往能从谈话中获取到其他角色所不了解的信息。当然，这也使得你的艺术创造更能反应人的悲欢喜乐，进而提高了你的艺术水平。</t>
  </si>
  <si>
    <t>交涉类技能+1、情感+3
你总是能从SN的提示中得到与周围其他角色情感相关的提示。你周围的角色因做出了与其性格不符的行动时，你将得知。
你的艺术创作能稳定地唤起欣赏者的某种情感（通常是你希望的）。
如果SN认为某角色此时的行为模式是“情绪化的”，并且你了解了他的具体情绪，则你对其进行交涉类技能检定时，获得骰面升级。</t>
  </si>
  <si>
    <t>猎杀者</t>
  </si>
  <si>
    <t xml:space="preserve">你的角色尤其擅长猎杀某一类单位，熟悉目标的攻击方式、生活习性、行为意图、战斗习惯等等，而这一切的研究则都是为了更快更好地将之猎杀。你谙于此道，且屡试不爽。
</t>
  </si>
  <si>
    <t>在选取这个特质时，需要同时选定某一类单位，例如机械、野兽、感染生物、邪魔、海嗣、甚至是某一种人类（例如萨卡兹或萨科塔，也可以是某个具体的组织群体）。</t>
  </si>
  <si>
    <t>猎杀者（目标）</t>
  </si>
  <si>
    <t>你在与这类目标的常年战斗中吸取了足够的经验，以使你确
信自身能够将你遇到的所有目标都杀戮殆尽——而你也的确拥有如此的
能力。</t>
  </si>
  <si>
    <t>选择一个单位标签/种族（或是更为概念化的群体，如某一团体），该单位标签/种族为目标。
与拥有该单位标签/属于该种族的单位——即“目标”——进行对抗时，获得骰面升级。
你能够尝试进行任意合理的技能检定或对抗以寻找“目标”的“弱点”（通常是某些条件或针对行动的限制）。若你的行动能够满足弱点的条件/限制，你的检定可能获得奖励骰/“目标”检定可能获得惩罚骰。若SN并未为此单位设计弱点，可以改为提供一个行为意图。
击倒一个与角色战力相近的敌方“目标”单位时，使自身的生命值回复等同于已损失量的50%。
该修正因子可重复购买，购买该修正因子时，使下次购买该修正因子所需的特质点×2。</t>
  </si>
  <si>
    <t>觉察者</t>
  </si>
  <si>
    <t>你的角色思绪敏锐，明察秋毫，通常在绝大情况下都有所防备，这使其难以被偷袭。</t>
  </si>
  <si>
    <t>觉察+2
你无视突袭轮的负面效果。
若SN允许，你可以使用觉察技能与袭击者的潜行/战斗技能进行对抗以提前发觉袭击，并在对抗成功后使你所属的阵营免受突袭。</t>
  </si>
  <si>
    <t>不可动摇</t>
  </si>
  <si>
    <t>你的角色对自我信念的认知非常清晰，这使得你能够不受其他人的刻意干扰而做出决断。</t>
  </si>
  <si>
    <t>精神意志+1
进行精神意志检定时，获得骰面升级
任意单位试图对你使用交涉类技能进行检定，或是释放了传心感知类的源石技艺时，检定骰面降级。若其检定失败，你将得知此事。
你回合开始时，若具有“恐惧”状态，则可进行一次精神意志检定，若成功，清除之。该检定的难度等级状态的施加者相关。</t>
  </si>
  <si>
    <t>崇高目标</t>
  </si>
  <si>
    <t>你的角色在追求某个特殊的目标时会受到驱策，超越其平时的极限。你的角色必须发自内心地认同这一目标，相信实现这一目标代表了自己生命的最终价值，进而不仅要在这个特质启用时追求这一目标，更要在任何时间都尝试努力去实现之。如果不这样做，不仅该特质会失效，你的角色也可能会因此而积累压力。
目标本身不应当太过宽泛，同时本身也不能太容易完成。“与萨科塔战斗”就太过宽泛，“彻底毁灭拉特兰”则还有可供商椎的空间。SN总是能够定义哪些行为能应用这一特质，而那些行为不能。</t>
  </si>
  <si>
    <t>在进行非攻击检定，且检定内容与实现这一目标直接相关时，检定获得一个奖励骰。
若你完全实现了你的目标，角色等级+1，且可以在本次模组结束后重新选取一个目标。</t>
  </si>
  <si>
    <t>铳械专家</t>
  </si>
  <si>
    <t>你的角色有丰富的铳械使用、维护与改装经验，这使得你的角色能
够行之有效地运用铳械。</t>
  </si>
  <si>
    <t>你的角色使用铳械攻击时，不会触发完全闪避或完全格挡/招架。</t>
  </si>
  <si>
    <t>团队意识</t>
  </si>
  <si>
    <t>你的角色十分擅长团队协作，这使得你的角色更容易与友方角色进行配合来完成任务。</t>
  </si>
  <si>
    <r>
      <rPr>
        <b/>
        <sz val="11"/>
        <color theme="1"/>
        <rFont val="微软雅黑"/>
        <charset val="134"/>
      </rPr>
      <t>在非战斗时，你能够与其他角色共同进行任何工作，从而将这一工作所需的检定转为协作检定，只要其中一个检定成功即算成功。
每场战斗限一次，回合开始时，你可立刻结束回合，并使一名友方单位立刻获得一个额外回合。
在模组结束时，你可以在任意友方角色同意的情况下，获得该角色“相识”或“朋友”的人脉而不消耗社交点数，每个模组至多可因此获得三个“朋友”人脉。</t>
    </r>
    <r>
      <rPr>
        <b/>
        <sz val="11"/>
        <color theme="1"/>
        <rFont val="Arial"/>
        <charset val="134"/>
      </rPr>
      <t xml:space="preserve">	</t>
    </r>
  </si>
  <si>
    <t>视死如归</t>
  </si>
  <si>
    <t>你的角色并不畏惧死亡，而是将死亡视为自己的归宿。一方面，这能让你的角色不会因濒死或面对难以获胜的战斗而发生动摇，但也在一定程度上降低了角色的求生意志。
一般来说，角色需要因具体的原因而视死如归，这需要成为角色的信念，并且贯彻在它的扮演中。如果角色甚至不能让SN认为这个角色有向死的意志，则这个特质则也会被判定为不生效。</t>
  </si>
  <si>
    <t>“濒死”时，角色无视“恐惧”、“濒死”状态效果。处于“濒死”时，将受到的折前伤害改为降低等量的生命值上限。
每场战斗限一次，角色获得“濒死”时，清除所有负面状态，元素韧性回复至上限，该战斗轮结束时立刻获得一个额外回合。</t>
  </si>
  <si>
    <t>幸运儿</t>
  </si>
  <si>
    <t>你的角色有着离奇的运气，正是来自幸运的眷顾常常使得你的角色在最危险的时刻化险为夷。</t>
  </si>
  <si>
    <t>每次短休限一次，在你受到任意攻击，且本次攻击造成的伤害将使角色的生命值降低至0时，将本次攻击的伤害变为其最小值。</t>
  </si>
  <si>
    <t>熟练瞄准</t>
  </si>
  <si>
    <t>你的角色经过了持续的瞄准训练，使得其能够在移动时维持瞄准姿态。</t>
  </si>
  <si>
    <t>你每回合的首次移动不会中止“瞄准”状态。</t>
  </si>
  <si>
    <t>灵巧战法</t>
  </si>
  <si>
    <t>你的角色能够以常人所不能的方式运用你的武器进行作战。</t>
  </si>
  <si>
    <t>当你进行攻击检定时，只要扮演正确，设定允许，就可以将攻击检定中的属性调整值（即XDY+Z中的Z）改为物理强度、反应机动和源石技艺适应性中的任意一个数值。</t>
  </si>
  <si>
    <t>心胜于物*</t>
  </si>
  <si>
    <t>将经验智慧、精神意志和个人魅力添加到可用的替代属性中。</t>
  </si>
  <si>
    <t>思维宫殿*</t>
  </si>
  <si>
    <t>你以某种独特的方式令自己的精神意志独立于躯体的影响而存在，并且你能够将其表现的形态抽离为某种性质，然后将它随意塑造。</t>
  </si>
  <si>
    <t>除该特质外的所有意识特质消耗的特质点×50%
你至多可同时启用除该特质外，不多于三个的意识特质，未启用的意识天赋无法生效。
长休时，你可自由选择除该特质外所有已有的意识特质是否启用。</t>
  </si>
  <si>
    <t>思维模拟</t>
  </si>
  <si>
    <t>你能够将目标的精神抽离为独立的对象，模拟其表现方式。</t>
  </si>
  <si>
    <t>你能够选择一个位于你视野范围内的角色，然后你失去自身的所有意识特质，并获得其拥有的所有意识特质，持续至下一次长休。</t>
  </si>
  <si>
    <t>先史通晓者*</t>
  </si>
  <si>
    <t>你通过某种方式得知了隐藏于这片大地上的历史痕迹，并藉此得知了先史文明的存在，你尝试不断追寻这些知识的痕迹，即使面对可能的危险也在所不惜。</t>
  </si>
  <si>
    <t>先史+3
每次升级时，使先史的基础值+1。先史基础值到达10后，失去此效果。</t>
  </si>
  <si>
    <t>文职人员*</t>
  </si>
  <si>
    <t>你的角色并不具备进行正式战斗的能力，转而将用于战斗的精力运用在了非战斗的组织协调上。</t>
  </si>
  <si>
    <t>将战斗职业设置为中坚术师，但不启用有关天赋和技艺的任何效果。
将你通过升级获得的战斗技能点数转变为非战斗技能点数。
SN能够为你设置一系列的非战斗“扮演目标”，例如解决某些NPC的困难，说服某些关键NPC改变想法。如果你完成了至少两个目标，则为你解锁修正因子【运筹帷幄】。</t>
  </si>
  <si>
    <t>运筹帷幄</t>
  </si>
  <si>
    <t>你并不直接地参与战斗，但能深刻地影响战斗的进程。</t>
  </si>
  <si>
    <t>会有一位由SN创作的，和你精英化阶段相同的NPC代替你进入战斗轮作战。
如果没有人代替你进入作战，则为你提供主动动作【战术调遣】：消耗1主要行动1与快速行动和所有SP，将你的回合改为另一个视野之内的友方角色的回合。</t>
  </si>
  <si>
    <t>精神缺陷</t>
  </si>
  <si>
    <t>荣誉准则</t>
  </si>
  <si>
    <t>你的角色真诚且执着地相信着一系列的繁琐准则，其中详细地说明了某些行为是“荣誉”的，而某些行为是“耻辱”的。你的角色必须时刻在这些准则的指导下行动，如果违反这些准则，就违背了自己的人生价值。
这个特质的价格是不确定的，主要取决于这些准则的具体内容（在这一次的故事中）会给角色带来多大的麻烦，准则内容越是危险而繁多，这个特质所提供的点数就会越高，具体数值的多少则由你填写完毕你的准则后，由SN根据本次故事的基调来决定。
一些常见的准则是：“从战斗中逃跑是耻辱的；在同伴有需要时立刻施以援手是荣誉的；杀死或虐待兽亲是耻辱的，保护并救助兽亲是荣誉的……”这一系列的所有准则价格加在一起，构成这一特质的总价。</t>
  </si>
  <si>
    <t>写明若干条“荣誉行为”和若干条“耻辱行为”。当角色能完成荣誉行为时，若自控检定不通过，则角色会尝试执行荣誉行为；当角色试图完成耻辱行为时，若自控检定不通过，则角色无法执行耻辱行为。</t>
  </si>
  <si>
    <t>遵纪守法</t>
  </si>
  <si>
    <t>你的角色对违法行为有着自然而然的厌恶或恐惧，这使得你的角色难以执行一些违反了当地法规或自然法规的行为。常见的这类行为包括窃听、撬锁、偷盗、诈骗、抢劫、谋杀等等。</t>
  </si>
  <si>
    <t>无法执行任何违法行为，除非进行了成功的自控检定。</t>
  </si>
  <si>
    <t>和平主义</t>
  </si>
  <si>
    <t>你的角色认为所有矛盾与冲突都应当尽量以和平的，非暴力的方式来解决。因而你的角色往往不会首先动用武力手段以攻击他人。</t>
  </si>
  <si>
    <t>无法率先发起战斗。在战斗中，回合总是必须在至少一个敌方角色的回合之后。
在处理矛盾时，无法支持任何可能会激化矛盾的选项。</t>
  </si>
  <si>
    <t>劝善</t>
  </si>
  <si>
    <t>你的角色是一位严格的“不杀主义”者，认为自己没有剥夺他人生命的权力，即使对方与自己立场相左，或是已经伤害了自己。</t>
  </si>
  <si>
    <t>角色是一位严格的“不杀主义”者，认为自己没有剥夺他人生命的权力，即使对方与自己立场相左，或是已经伤害了自己。
免费地改装你的武器，或获得一个非致命的武器。当你在战斗中击倒其他角色时，视为使用该非致命手段进行了攻击。
如果你因不可抗力以外的因素直接导致了他人的死亡，则取消你在本次模组中的所有奖励。</t>
  </si>
  <si>
    <t>极端和平主义*</t>
  </si>
  <si>
    <t>你的角色决意将和平主义贯彻到底，即使他人对你运用了武力也并不改变你的主张。</t>
  </si>
  <si>
    <t>角色决意将和平主义贯彻到底，即使他人对你运用了武力也并不改变你的主张。
你无法对其他角色造成伤害，允许你通过合理的方式取消各种行为的伤害。如果你造成了伤害，取消你在本次模组中所获得的所有奖励。</t>
  </si>
  <si>
    <t>道德准则</t>
  </si>
  <si>
    <t>你的角色的怜悯之心只适用于被道德准则判定为合格的人，一旦他们违背了这些准则，你会选择重拳出击。</t>
  </si>
  <si>
    <t>角色的怜悯之心只适用于被道德准则判定为合格的人，一旦他们违背了这些准则，你会选择重拳出击。
如果目标具有特质【不法之徒】或者其他证据确凿的罪行，即可免于触发该特质。</t>
  </si>
  <si>
    <t>古道热肠</t>
  </si>
  <si>
    <t>你的角色本能地从利他行为中获得快乐，并且往往会情不自禁地执行利他行为，以至于在一定程度上损害了对情况的判断力。</t>
  </si>
  <si>
    <t>在面对求助时，若自控检定失败，则总是会选择帮助求助者，即使这会损害自己的利益。</t>
  </si>
  <si>
    <t>责任之心</t>
  </si>
  <si>
    <t>你的角色认为自己对某些明显更加广泛的概念负有无可推卸的责任，例如公众安全、市民安危、国家体面、伙伴的生命或利益等。当这些事物受到损害时，你会责无旁贷地守护它们。</t>
  </si>
  <si>
    <t>由你或你的SN决定至多三个额外的“责任目标”，若在模组结束时这些责任目标的利益受到了不可忽视的损害，取消你在本次模组中所获得的所有奖励。</t>
  </si>
  <si>
    <t>每个目标-5</t>
  </si>
  <si>
    <t>不善掩饰</t>
  </si>
  <si>
    <t>出于某些原因，你的角色难以说谎，甚至难以掩饰自己的真实想法。这意味着你的角色在绝大部分的情况下都会如实回答提问（或者保持沉默），并且在多数情况下难以掩饰自己的情感。</t>
  </si>
  <si>
    <t>进行欺诈检定时，获得骰面降级。
进行撒谎或欺诈检定前，需进行一次成功的自控检定。</t>
  </si>
  <si>
    <t>好奇心</t>
  </si>
  <si>
    <t>你的角色不擅长，或者说几乎无法控制自己的好奇心，哪怕某些不
合时宜的好奇心会让你的角色踏上一条有去无回的险路……</t>
  </si>
  <si>
    <t>如果你的角色在故事的进行过程中发现了某些无法解答的谜题，则SN能够令你的角色对这一谜题“感到强烈的好奇”，除非通过了成功的自控检定。
如果模组结束时，谜题仍没有被解开，那么该模组的奖励就会被延迟到谜题被正式解开后发放（或者被取消）。</t>
  </si>
  <si>
    <t>狂热执念*</t>
  </si>
  <si>
    <t>你的角色对某个会严重影响到故事进展的论断深信不疑，不仅不会怀疑这一论断的真实性，还会竭尽全力证明或实现这一论断，即使这会为你的角色带来额外的麻烦，或者根本就是错误的。常见的论断包括“萨卡兹是野蛮和低等的种族”、“与对方合作是我们的唯一出路”等。</t>
  </si>
  <si>
    <t>由SN决定一个与故事相关的命题或论断，你的角色必须时刻相信这一论断，并且以这一论断为依据进行行动，否则，取消你的角色在本次模组中所获得的所有奖励。</t>
  </si>
  <si>
    <t>怯懦</t>
  </si>
  <si>
    <t>你的角色十分懦弱，这包括了胆小、自卑、缺乏主见等等形容。这使得你的角色更容易屈从于他人的意志、难以控制地从战斗中逃跑、本能性地尝试回避有风险的事件等。</t>
  </si>
  <si>
    <t>你的角色往往会下意识地按照他人（主要是强权和上位者）的要求行事，除非进行了成功的自控检定。
如果你的角色在战斗中处于不利（例如检定大失败、队友被击倒、身受重伤等情况时，尤其是PL也认为难以取胜时）情况时，会立即尝试逃离战斗或（通过跳过自己回合等方式）向另一方投降，除非进行了成功的自控检定。</t>
  </si>
  <si>
    <t>傲慢</t>
  </si>
  <si>
    <t>你的角色自视甚高，看不起其他人或对事务感到轻慢。这使你的角色不会主动向别人求助，或是做出屈服，妥协或类似的行为。</t>
  </si>
  <si>
    <t>你的角色不会因自身所致的失败而向别人求助/屈服/妥协，除非进行了成功的自控检定。
你的角色在被挑衅或侮辱时，会立即尝试向对方证明自己的能力，或是直接攻击对方以使其屈服（甚至是在自己一方更弱时！）除非进行了成功的自控检定。</t>
  </si>
  <si>
    <t>格调</t>
  </si>
  <si>
    <t>你的角色即使在战斗中也保持着高姿态！你不会一开始就使用自己最强的手段，或是因为“这样更有趣”，或是因为“这群渣率不值得”。但有时，这会让你深陷困境。</t>
  </si>
  <si>
    <t>进入战斗时，初动×50%。</t>
  </si>
  <si>
    <t>挥霍</t>
  </si>
  <si>
    <t>你的角色挥金如土，长期在没必要的各种产品上花费大量的钱财，抑或是追求远超过收入的奢侈享受。你因此入不敷出，甚至债台高筑。不过，这些挥霍行为倒也彰显了你的名声，使你有机会结识更多的社交名流。</t>
  </si>
  <si>
    <t>社交点数+15
初始源石锭-50%，模组结束时，使本次模组奖励的源石锭-50%
在模组中遭遇可购买事项时，总是会尝试购买，除非通过了成功的自控检定。</t>
  </si>
  <si>
    <t>贪婪</t>
  </si>
  <si>
    <t>你的角色的渴求，为了让金钱填满你永不餍足的胃口，你甚至可以不惧自身的安危，牺牲自己的友情，爱情也在所不惜。这会让你有更多“赚外快”的机会，但也会因你身上的铜臭味而减少社交关系。
一般来说，你的角色对金钱的渴求已经超过了其本身的购买力一—不要问金钱有什么意义，金钱本身就是意义！</t>
  </si>
  <si>
    <t>你可以通过反复谈判、深入搜索、虚报账目、小偷小摸等任何行为来获取额外的源石锭，上限为模组奖励量的50%。
你必须确保你在每次模组中获得的源石锭比其他所有人都多，否则在模组结束时无法获得源石锭以外的任何模组奖励。
你不会在任何非必要的情况下支付金钱或源石锭，不会为他人支付源石锭，除非进行了成功的自控检定。
如果在模组进程中发现了价值高昂的事物，你将想方设法地获取它。在获取它的过程中每受挫一次，就可以进行一次自控检定，若成功，则可以取消获取该事物的意图。</t>
  </si>
  <si>
    <t>色欲</t>
  </si>
  <si>
    <t>你的角色对美色和性爱有着难以控制的痴迷。当你的角色受到美色、性关系或亲密关系的诱惑时，往往会陷入其中，进而受到牵制或陷入不利的境地。</t>
  </si>
  <si>
    <t>你的角色在遭受基于性吸引力的诱惑时总是会上钩，除非进行了成功的自控检定。
如果你遭遇了一个符合你角色的取向，并且对你来说具有性吸引力的高魅力角色，则SN可以使其成为你的“追求目标”。你必须时刻努力尝试取悦你的“追求目标”，并通过进行任何可能的行动以试图接近“追求目标”。角色每进行一次相关的行动，便能够进行一次自控检定。一次成功的自控检定或是成功与其缔结了亲密关系/与其发生了性关系便能够停止这样的行为。
你因“追求目标”而需要进行自控检定时，自控检定的掷骰结果会额外减去一定值，初始数值等于“追求目标”的个人魅力。每进行一次检定，下一次生效时的数值就会减少50%。</t>
  </si>
  <si>
    <t>强迫行为*</t>
  </si>
  <si>
    <t>你的角色必须在特定的条件下（例如定期或定量）执行某些行为，否则就会承受极大的精神负担。例如整理背包、检查手表、修整头发等等。有些行为甚至是自损甚至自残性的，但唯有如此，才能使你的角色从巨大的精神痛苦中解脱。
下表仅包含部分特质适用范例，若存在额外需求，可自行以相同格式编写。</t>
  </si>
  <si>
    <t>由你或SN指定若干种行为，并要求定期或定量地执行，或是在特定条件下强制执行。如果未能执行这些行动，角色在进行所有检定时获得骰面降级，并且使长/短休无效，直到这些行动被执行为止。</t>
  </si>
  <si>
    <t>纵火狂</t>
  </si>
  <si>
    <t>你的角色总是有办法点燃周围的可燃物乃至于不可燃物，并且对于火焰和燃烧有着狂热的痴迷，无时无刻不想要将世界烧成灰烬！若是见不到火光，你就会茶饭不思，夜不能寐......</t>
  </si>
  <si>
    <t>获得或是发现易燃物品时，立刻尝试将其点燃，除非进行了成功的自控检定。
每次长/短休前，必须尝试点燃或点燃过某些易燃物品，否则使本次长/短休无效。
根据你纵火所使用的技能，为其增加1点技能补正。</t>
  </si>
  <si>
    <t>盗窃癖</t>
  </si>
  <si>
    <t>你的角色对与小偷小摸有着难以理解的热爱，甚至经常冒着与收益完全不匹配的风险去盗窃各种琐碎之物。这是因为偷窃对你来说不仅会带来实用的赃物，而且本身就有着难以抗拒的乐趣！</t>
  </si>
  <si>
    <t>角色对与小偷小摸有着难以理解的热爱，甚至经常冒着与收益完全不匹配的风险去盗窃各种琐碎之物。这是因为偷窃对你来说不仅会带来实用的赃物，而且本身就有着难以抗拒的乐趣！
发现合适的赃物（例如钱包、首饰、小商品）时，你的本能（实际上是你的SN）会提醒你，应该尝试偷走它！你必须尝试对其进行盗窃行为，除非进行了成功的自控检定。
在短休时或长休前，必须进行或是进行过至少一次盗窃行为，否则使本次长/短休无效。
使用妙手技能为盗窃行为进行检定时，获得骰面升级。</t>
  </si>
  <si>
    <t>精神依赖</t>
  </si>
  <si>
    <t>你的角色对某些事物为产生了心理性的强制依赖，以至于在缺少了这些依赖项的情况下往往六神无主，难以自安。常见的此类事物包括某些护身符、武器、甚至是某位同伴等。</t>
  </si>
  <si>
    <t>选定若干个事物以作为“依赖项”。如果角色无法接触（尤其是在两次长休的间隔内无法接触）或者遗失了自己的依赖项，角色在进行所有检定时获得骰面降级，并且使长/短休无效。</t>
  </si>
  <si>
    <t>你的角色对某类事物产生了反射式的恐惧，以至于在与这些事物遭遇时会被吓得六神无主，并且时刻渴望逃离。常见的此类事物有某些人类（例如感染者、家族成员）、某些生物（例如海嗣、感染生物）、某些物品（巫术装置、活性源石）等等。</t>
  </si>
  <si>
    <t>选定若干个事物作为“恐惧源”，如果角色接触了这些恐惧源，则会立刻被苦难陈述者接管以尝试逃离这些恐惧源所在的情景，除非通过了成功的自控检定。在同一情境中，对同一类恐惧源的自控检定只需进行一次。
战斗时，若角色接触了恐惧源，则使其获得“恐惧”，持续至角色脱离恐惧源后的下一次回合结束。</t>
  </si>
  <si>
    <t>着迷</t>
  </si>
  <si>
    <t>你的角色对于某类事物产生了不可抗拒的痴迷，并且与恐惧和依赖不同的是，还会因你痴迷的内容和方式不同而采取各式各样的狂热行动。
举例而言，对兽亲着迷的角色可能会尝试在这一情感的支持下猎杀并将其制成标本，对菌菇着迷的角色可能会尝试立刻取食这些菌菇......总之，肯定会给你的角色带来不小的麻烦。</t>
  </si>
  <si>
    <t>选择一类事物作为“着迷之物”，并大致规定与这些着迷之物的相处方式，例如“杀死并保存”、“食用”、“拆解研究”等等。
当你的角色发现“着迷之物”时，必须立刻执行符合这些相处方式的行为，除非通过了成功的自控检定。</t>
  </si>
  <si>
    <t>人格分裂*</t>
  </si>
  <si>
    <t>角色在某种程度上患有解离性的身份认知障碍，即通俗意义上的“多重人格”症状。角色产生复数个并行但不相容的身份认知，思维中包含两个互为个体的自我意识，它们可能有不同的性格、身份、性别、物种，因而会具有完全不同的思考方式。</t>
  </si>
  <si>
    <t>角色可以选择另一套（或是多套）完全不同的精神特质，具有不同的性格，掌握不同的技能，甚至自以为拥有完全不同的身份和个人履历。每一套此类技能组合即被称为一组“人格”，而本特质与一些较为特殊的特质则需要每一个人格都拥有（如当选择了修正因子【魂分之人】时，所有拥有施术能力的人格都需要拥有【多重源石技艺】特质）。在每一种人格中花费的所有资源是分别计算的，不会因具有多个人格而消耗多倍资源，但角色的社交点数和人脉等外在因素总是仅固定以其中的一个人格，即“主人格”为准。
当某些预先设定的情况发生时，角色就会在不同的人格之间切换。这一预先设定的情况由PL决定，但SN能够随时添加（或减少）额外的“人格转换条件”，来使得角色因频繁的人格转换而反复无常。若角色不希望于此时进行人格转换，就需要在SN允许的情况下通过一次难度较高的自控检定。（在绝大多数情况下，人格转换都应当是无法主动控制的！）</t>
  </si>
  <si>
    <t>同舟共济</t>
  </si>
  <si>
    <t>你的多个人格之间共享思维、相处融洽，并且能够自如的相互转换，而不再（或是绝大部分情况下不会）受到外界刺激的影响。但思维的共享也意味着不同的人格在面对同一件事时，可能会产生不同的意见与看法—一当这些人格之间起了争执，或是未能满足其心理需要，脆弱的平衡便可能被打破。</t>
  </si>
  <si>
    <t>角色不再受预设情况的影响，能够在需要时切换至任意一个人格。
在战斗中，仅当回合开始时能够切换人格。
在面对事件时，所有人格都将受事件影响，并均需要通过相应的自控检定（若其存在对应的精神特质）。未能成功通过自控检定的人格将会指定，甚至强制性的操纵角色去执行满足自身需要的行动。若是未能保持各个人格之间的平衡，该修正因子将会暂时失效，严重时甚至可能使角色永远失去该修正因子。</t>
  </si>
  <si>
    <t>我们之间*</t>
  </si>
  <si>
    <t>你的多个人格之间没有察觉彼此的存在，甚至你本身没有察觉自己患有该症状。当其他人格占据身体时，你会发现记忆出现了断层，但总是被解释为单纯的遗忘。</t>
  </si>
  <si>
    <t>你不再能设定人格转换条件，潜藏在你意识中的其他人格的内容是由SN或者其他对你守密的玩家写作的。当这些人格出场时，SN将控制你的角色，以此来推进剧情，或为随后发生的事件埋下伏笔，而你对此毫不知情，只能通过队友或留下的其他线索来发现此事。
SN写作的人格转换条件和人格内容是任意的，但不应当太过频繁，无意识期间执行的行动也不应导致难以挽回的过失。</t>
  </si>
  <si>
    <t>魂分之人</t>
  </si>
  <si>
    <t>角色拥有特殊的精神能力与思维性质，以使得其在不同人格存在时，源石技艺表现出了完全不同的性质。</t>
  </si>
  <si>
    <t>特质【多重源石技艺】的特质点消耗*50%。
角色将自身掌握的的每一系源石技艺与自身拥有的每一个人格进行绑定（一般而言，每一个人格绑定一系源石技艺）。仅当对应人格存在时，才能够使用其绑定系的源石技艺——但这并非绝对。只要SN允许，便可能令角色用处不属于自身所绑定的源石技艺能力。</t>
  </si>
  <si>
    <t>失忆*</t>
  </si>
  <si>
    <t>你无法看到你的角色卡（除了这个特质以外的部分），其中的所有内容由SN或另一名对你保密的玩家写作而成。你们可以共同谋划出角色的整体形象（如性别、年龄、失忆原因、概括性的判词等），但其中的各种具体数据都需要你来亲自探索！</t>
  </si>
  <si>
    <t>SN可以设置一些机会来让玩家获取一些有关角色本身能力的信息，比如在梦中梦到一些曾经的记忆，或者展示一部分的角色卡。这一模式需要建立在游戏双方具有充分的默契，不推荐一般玩家为了强度而选取该特质！</t>
  </si>
  <si>
    <t>认知障碍（内容）</t>
  </si>
  <si>
    <t>你的角色无法正确的辨认，理解和运用某些事物或者概念，例如数学、文字、人脸、电子设备、社交礼仪等，给你的角色带来了不便。</t>
  </si>
  <si>
    <t>选取一类事物/概念，在进行与之直接相关的工作时，或者进行与之有关的技能检定时，总是会直接判定为失败，除非进行了成功的自控检定。</t>
  </si>
  <si>
    <t>每种-10</t>
  </si>
  <si>
    <t>社交特质</t>
  </si>
  <si>
    <t>逐利</t>
  </si>
  <si>
    <t>比起进行人情交际，你的角色更在乎如何利用自己的社交资源来为
自己换取实在的经济利益。</t>
  </si>
  <si>
    <t>经济评级+5</t>
  </si>
  <si>
    <t>逐利（X）</t>
  </si>
  <si>
    <t>角色试图通过社交资源换取更多的利益。</t>
  </si>
  <si>
    <t>经济评级+X。X为任意正整数，至多为30。</t>
  </si>
  <si>
    <t>X</t>
  </si>
  <si>
    <t>疏财</t>
  </si>
  <si>
    <t>比起追名逐利，你的角色更在乎如何用自己的经济资源来使自己交到更多朋友，或者收获社会地位的提升。</t>
  </si>
  <si>
    <t>经济评级-5</t>
  </si>
  <si>
    <t>疏财（X）</t>
  </si>
  <si>
    <t>角色试图通过经济资源换取更高的地位。</t>
  </si>
  <si>
    <t>经济评级-X。X为任意正整数，至多为30。</t>
  </si>
  <si>
    <t xml:space="preserve"> -X</t>
  </si>
  <si>
    <t>身份</t>
  </si>
  <si>
    <t>你的角色拥有多个不同的身份，它们具有不同的名字，分享不同的人脉，具有不同的资产，甚至具有不同的社交特质。这使得你的角色能在他们之间转换，从不同的社会阶层或情报网络中获取信息。</t>
  </si>
  <si>
    <t>对于每一个身份，由SN为你创造一份在大多数情况下足以蒙骗普通人的证明文件以供你使用。
你能够将你的财富、资产、社交特质（以及人脉与头衔）分配到不同的身份中，转变为不同的阶级和角色设定以完成某些任务。</t>
  </si>
  <si>
    <t>每个10</t>
  </si>
  <si>
    <t>团体（团体名称）</t>
  </si>
  <si>
    <t>你的角色处在一个特定的团体之中，你们为实现某些共同的目标而一同生活或工作，例如共同举办音乐演出、共同研究学术问题、共同清理城市垃圾等。</t>
  </si>
  <si>
    <t>获得一个头衔，该头衔对应了角色所处的团体（如“王者之杖成员”、“乌萨斯学生自治团成员”等）。
故事开始时，获得一个任意的“同事”人脉（通常由SN决定其对应的角色），且对应的角色与你拥有相同的头衔。
当你在尝试实现团体所致力于的目标时，通常能够请求并得到团体成员的帮助。表现为交涉技能检定时，可在检定时获得骰面升级。</t>
  </si>
  <si>
    <t>互助信条</t>
  </si>
  <si>
    <t>你的角色所处的团体有着互相帮助的文化传统，这使得你更
容易从你的组织中获取帮助。</t>
  </si>
  <si>
    <t>将该特质所提供的“同事”人脉改为“朋友”人脉。
当你尝试从团体成员中获得帮助时，通常会得偿所愿。表现为交涉技能检定时，可在检定时获得骰面升级。</t>
  </si>
  <si>
    <t>天灾信使</t>
  </si>
  <si>
    <t>你的角色加入了凭借人类的勇气与智慧直面天灾的队伍之中—一确切地说，你的角色是一位天灾信使。这使得你的角色将自己的社交圈改为了天灾信使的情报网，将他人用于宴饮和拜访的时间花在与监测站、天灾学者和各地政府进行沟通上。
天灾信使并不是一种职业，而是泰拉大陆上规模最庞大，历史最悠久的国际组织，其中有着各行各业的能人异士在为更多人免受天灾的侵害而不断奔走。正因如此，这个特质的效果可能比下文所描述的内容还要宽泛得多。</t>
  </si>
  <si>
    <t>与【团体（天灾信使）】绑定。
源石学+1，每在游戏过程中经历或预报一场天灾，源石学额外+1
进入发展程度足够高的区域时，会在接触到当地天灾信使机构后，自动获得一个当地的“同事”人脉。</t>
  </si>
  <si>
    <t>公共权力*</t>
  </si>
  <si>
    <t>你的角色是公权力机关（通常来说就是政府机构）的一员，这为你的角色带来了许多方便。例如更容易受到敬仰，更方便地与其他政府机构沟通，在职责所规定的范围内获取帮助等。</t>
  </si>
  <si>
    <t>拥有一个被当地公权力机关所认可的职务头衔。当你的角色以职务所需而向他们要求帮助时，更容易被许可。表现在交涉技能检定上时，检定骰面升级。
由SN为你提供一个供职于当地公共机构的人脉（其价格通常不应超过10社交点）</t>
  </si>
  <si>
    <t>执法权</t>
  </si>
  <si>
    <t>你的角色供职于一个在当地具有执法权力的机构，这使得你的角色能够在法律允许的情况下以统治机关的名誉执行法律一一通常来说就是进行案件的立案调查、嫌犯的逮捕关押等。</t>
  </si>
  <si>
    <t>此外，你的角色还能够从当地的执法机关（通常来说也是暴力机关）中获得援助，以获取重要的信息与物质帮助。
将该特质提供的人脉范围具体到当地执法机构，价值可酌情上升。</t>
  </si>
  <si>
    <t>特别权力</t>
  </si>
  <si>
    <t>你的角色具有某项在所处社会中具有某种“特权”，即被允许进行一些普通人无法或者难以做到的行为。例如能够不受限制地进入案发现场、能够携带武器出入任意的公共场合、了解某些隐秘的档案、甚至是能够在办理某些业务时避免排队…
这个特质的价格是不确定的，需要根据效果来和你的SN进行商议。此外，你最好说明你的角色获得了这些特权的原因，以免在故事的进行过程中受到NPC的质疑。</t>
  </si>
  <si>
    <t>指定一种（或多种）通常不被允许的行为，赋予你的角色执行这些行为的权力。根据这些权力所带来的便利程度，决定该特质的价格，若是该特质拥有地域局限性或是时效性，也可酌情降低价格，而后在模组结束后移除此特质。
如果你的角色正为落实这些权力而进行交涉技能检定，获得骰面升级。</t>
  </si>
  <si>
    <t>5~20</t>
  </si>
  <si>
    <t>高贵</t>
  </si>
  <si>
    <t>你的角色在其所处的社会内受到广泛的认可，大部分人认为你的角色在社会中的地位超过了一般人。</t>
  </si>
  <si>
    <t>获得额外的社交点数，数值等同于你的个人魅力。
经济评级+10
对于认可你的高贵地位的角色，与之进行交涉检定时，获得骰面升级。若涉及个人魅力的判定或对抗，则个人魅力临时+3。</t>
  </si>
  <si>
    <t>歧视</t>
  </si>
  <si>
    <t>你的角色在其所处的社会内受到广泛的歧视，大部分人认为你的角色在社会中的地位低于一般人。</t>
  </si>
  <si>
    <t>特质点+10
对于歧视你的角色，与之进行交涉检定时，获得骰面降级。若涉及个人魅力的判定或对抗，则个人魅力临时-3。</t>
  </si>
  <si>
    <t>浪游旅人</t>
  </si>
  <si>
    <t>你的角色走遍世界各地，并且享受穿行于泰拉各地的生活。你的角色谙于此道，并且乐得逍遥。</t>
  </si>
  <si>
    <t>浪游旅人（途径之地）</t>
  </si>
  <si>
    <t>你曾在某地游历，领略了其文化，并与一位当地的住民结缘。选择一个文化特质，该特质为途径之地。</t>
  </si>
  <si>
    <t>若该文化特质可使角色获得附加技能：*某一种类*语言，你获得该技能，初始技能值为5。
获得一个任意人脉，该人脉价值不高于5，且对应的角色拥有该文化特质。
对拥有该文化特质的单位进行交涉时，若你正确地使用了独属于目标文化的概念，则个人魅力类技能检定获得骰面升级。你可以在出现了该特质适用范围时，通过经验智慧检定令SN为你提供部分提示。
该修正因子可重复购买。</t>
  </si>
  <si>
    <t>戒律/誓言</t>
  </si>
  <si>
    <t>你的角色受某种戒律所规制，或曾许下了某些誓言。如果违背戒律，背叛誓言，就会遭受某种（通常是社会性质的）惩罚。</t>
  </si>
  <si>
    <t>许下一个或多个誓言，或者明确一条或多条戒律，其中内容包含了一些禁止执行或必须做到的事。
如果违背戒律，破坏誓言，则角色就将会失去至少一个价值为正的社交特质，或者失去某些特定的头衔或人脉。</t>
  </si>
  <si>
    <t>每条-5</t>
  </si>
  <si>
    <t>秘密</t>
  </si>
  <si>
    <t>你的角色具有一个或多个不可告人的秘密，一旦这些内容暴露在普罗大众的视线之中，你就会遭受一系列的负面效果。负面效果越强，这个特质提供的社交点数就越多。举例来说，会使得你受到剧烈羞辱的秘密大约价值-5社交点，会导致你成为罪犯的秘密价值大约-20社交点，而可能会导致你直接死亡的秘密价值-30社交点。
通常来说，SN会决定是否会有NPC有机会了解或者知晓你的秘密，随后你又能通过什么样的方式补救一一警如进行恐吓、销毁文件、甚至是杀人灭口。
如果你的补救失败了，你的秘密公之于众，这个特质就会被标记为禁用，同时为你添加其他的（可以是自定义的）负面特质而不给予额外的点数，或者移除某些正面特质而不返还点数，又或者直接扣减角色的经济评级、社交点数、人脉和头衔。</t>
  </si>
  <si>
    <t>设置一个关于你的角色的秘密，如果它败露，你会遭受惩罚！
在你首次获取该特质时，SN应当在故事中制造一种会使得这个秘密败露的可能（通常来说就是使得某个NPC偶然了解到此事），并为你提供补救的机会。在随后的故事中，你的秘密就不一定会强制出现，你可以和你的SN协商决定是否要在这方面做文章。</t>
  </si>
  <si>
    <t>-5~30</t>
  </si>
  <si>
    <t>不法之徒*</t>
  </si>
  <si>
    <t>你的角色犯下了某种明确的罪行，并且至今未能得到适当的惩罚，或者是来自公权力的谅解与赦免。这使得你的角色很可能在故事发生的当地被通缉、被追捕、并且难以使用自己的主要身份来进行登记等。</t>
  </si>
  <si>
    <t>决定你的角色犯下了什么样的罪行，并且根据其严重程度来决定官方会以什么样的规模来追捕你。
为角色添加一个类别为“敌人”的人脉而不提供社交点补正，用于代表角色的追捕者。</t>
  </si>
  <si>
    <t>-20~40</t>
  </si>
  <si>
    <t>配件名称</t>
  </si>
  <si>
    <t>适用条件</t>
  </si>
  <si>
    <t>配件效果</t>
  </si>
  <si>
    <t>配件价值</t>
  </si>
  <si>
    <t>消耗品</t>
  </si>
  <si>
    <t>消耗效果</t>
  </si>
  <si>
    <t>道具价格</t>
  </si>
  <si>
    <t>华丽武器装饰</t>
  </si>
  <si>
    <t>武器</t>
  </si>
  <si>
    <t>向他人展示你的武器时，个人魅力临时+1</t>
  </si>
  <si>
    <t>丰蹄能量饮料</t>
  </si>
  <si>
    <t>提供主动动作【饮用！】：消耗快速行动与该物品，获得4SP。同类效果每日限一次。</t>
  </si>
  <si>
    <t>隐蔽武器</t>
  </si>
  <si>
    <t>你的武器可以通过某种方式收纳隐藏起来。为隐藏武器而进行乔装或欺诈检定时骰面升级。</t>
  </si>
  <si>
    <t>医疗喷雾</t>
  </si>
  <si>
    <r>
      <rPr>
        <sz val="11"/>
        <color rgb="FF000000"/>
        <rFont val="微软雅黑"/>
        <charset val="134"/>
      </rPr>
      <t>提供主动动作【护理】：消耗快速行动与该物品，为自身恢复</t>
    </r>
    <r>
      <rPr>
        <sz val="11"/>
        <color rgb="FF000000"/>
        <rFont val="Times New Roman"/>
        <charset val="134"/>
      </rPr>
      <t>50%</t>
    </r>
    <r>
      <rPr>
        <sz val="11"/>
        <color rgb="FF000000"/>
        <rFont val="思源黑体"/>
        <charset val="134"/>
      </rPr>
      <t>的已损失生命值</t>
    </r>
  </si>
  <si>
    <t>猎杀改装</t>
  </si>
  <si>
    <t>选择一类目标（如野兽、机械等），武器攻击此类目标时，造成的伤害+3</t>
  </si>
  <si>
    <t>紧急活性针剂</t>
  </si>
  <si>
    <t>提供主动动作【注射！】：消耗快速行动与该物品，获得8SP。同类效果每日限一次。</t>
  </si>
  <si>
    <t>D32钢施术改装</t>
  </si>
  <si>
    <t>武器并非施法媒介</t>
  </si>
  <si>
    <t>使得该武器可以被视为施法媒介。施法范围默认为中坚术士范围。</t>
  </si>
  <si>
    <t>急救包</t>
  </si>
  <si>
    <t>进行急救时，消耗该物品以直接提前结束【引导】。</t>
  </si>
  <si>
    <t>双极纳米片改装</t>
  </si>
  <si>
    <t>使得该武器可以被视为施法媒介。施法范围默认为中坚术士范围。
允许你释放一个符合你精英化阶段的源石技艺，即使你并未习得该技艺。每场战斗限一次</t>
  </si>
  <si>
    <t>绷带</t>
  </si>
  <si>
    <t>提供主动动作【止血】：若组织损伤爆发，可消耗快速行动与该物品，结束组织损伤爆发，并恢复X点HP。X=角色总等级</t>
  </si>
  <si>
    <t>精钢强化</t>
  </si>
  <si>
    <t>近战武器</t>
  </si>
  <si>
    <t>武器攻击造成的物理伤害+1点。</t>
  </si>
  <si>
    <t>烫伤膏</t>
  </si>
  <si>
    <t>提供主动动作【敷药】：若灼燃损伤爆发，可消耗快速行动与该物品，结束灼燃损伤爆发，并恢复X点HP。X=角色总等级</t>
  </si>
  <si>
    <t>异铁锐化</t>
  </si>
  <si>
    <t>每回合首次武器攻击造成的物理伤害+3点。</t>
  </si>
  <si>
    <t>解毒药</t>
  </si>
  <si>
    <t>提供主动动作【解毒】：若毒性损伤爆发，可消耗快速行动与该物品，结束毒性损伤爆发，并恢复X点HP。X=角色总等级</t>
  </si>
  <si>
    <t>射弹机构</t>
  </si>
  <si>
    <t>提供主动动作【射弹】：消耗快速行动，对前方五个战术格内最近一战术格内的某单位进行一次远程物理攻击，这次攻击被视为使用射击技能的重射手武器攻击。每场战斗限一次</t>
  </si>
  <si>
    <t>干燥粉</t>
  </si>
  <si>
    <t>提供主动动作【干燥】：若侵蚀损伤爆发，可消耗快速行动与该物品，结束侵蚀损伤爆发，并恢复X点HP。X=角色总等级</t>
  </si>
  <si>
    <t>放血槽</t>
  </si>
  <si>
    <t>近战锐器</t>
  </si>
  <si>
    <t>每回合攻击首次命中并造成伤害时，每有一颗骰子骰出了最大值或最小值，就额外造成1点组织损伤。</t>
  </si>
  <si>
    <t>清洁湿巾</t>
  </si>
  <si>
    <t>提供主动动作【明目】：若角色【目盲】，可消耗快速行动与该物品，清除之。</t>
  </si>
  <si>
    <t>延伸模块</t>
  </si>
  <si>
    <t>非长兵武器</t>
  </si>
  <si>
    <t>攻击范围向正前方延伸一格。攻击时，需要同时进行原武器的攻击检定和长兵检定，检定结果取两者之中较低者。</t>
  </si>
  <si>
    <t>工程炸药</t>
  </si>
  <si>
    <t>提供主动动作【工程爆破】：消耗主要行动，选择前方一格的战术格，摧毁其中的工业或民用级障碍地形，或者对其中的地形单位造成100点物理伤害。</t>
  </si>
  <si>
    <t>工程破拆改装</t>
  </si>
  <si>
    <r>
      <rPr>
        <sz val="11"/>
        <color rgb="FF000000"/>
        <rFont val="微软雅黑"/>
        <charset val="134"/>
      </rPr>
      <t>该武器对地形单位造成的伤害+10点。</t>
    </r>
    <r>
      <rPr>
        <sz val="11"/>
        <color rgb="FF000000"/>
        <rFont val="微软雅黑"/>
        <charset val="134"/>
      </rPr>
      <t xml:space="preserve">
</t>
    </r>
    <r>
      <rPr>
        <sz val="11"/>
        <color rgb="FF000000"/>
        <rFont val="微软雅黑"/>
        <charset val="134"/>
      </rPr>
      <t>提供主动动作【破拆】：消耗快速行动，摧毁正前方战术格内的民用级地形障碍。</t>
    </r>
  </si>
  <si>
    <t>投掷物</t>
  </si>
  <si>
    <t>投掷效果</t>
  </si>
  <si>
    <t>护盾部署装置</t>
  </si>
  <si>
    <t>盾术武器</t>
  </si>
  <si>
    <r>
      <rPr>
        <sz val="11"/>
        <color rgb="FF000000"/>
        <rFont val="微软雅黑"/>
        <charset val="134"/>
      </rPr>
      <t>提供主动动作【部署】：消耗快速行动，从背包中移除该武器，在前方一格内部署地形单位“机动盾牌”。每场战斗限一次。</t>
    </r>
    <r>
      <rPr>
        <sz val="11"/>
        <color rgb="FF000000"/>
        <rFont val="微软雅黑"/>
        <charset val="134"/>
      </rPr>
      <t xml:space="preserve">
</t>
    </r>
    <r>
      <rPr>
        <sz val="11"/>
        <color rgb="FF000000"/>
        <rFont val="微软雅黑"/>
        <charset val="134"/>
      </rPr>
      <t>“机动盾牌”：进行一次盾术检定，其检定结果为该单位的生命值，无抗性。被视为掩体。被摧毁时，将武器添加回背包中。</t>
    </r>
  </si>
  <si>
    <t>闪光弹</t>
  </si>
  <si>
    <t>对中心36（距离3）范围内所有不背对该道具所在战术格的单位施加【目盲】，持续至其下个回合结束。</t>
  </si>
  <si>
    <t>闪光护盾</t>
  </si>
  <si>
    <t>提供主动动作【闪光】：消耗快速行动，对前方散射手范围内
所有与自己朝向相反的单位施加【目盲】，持续至其下个回合结束，
每场战斗限一次。</t>
  </si>
  <si>
    <t>烟雾弹</t>
  </si>
  <si>
    <r>
      <rPr>
        <sz val="11"/>
        <color rgb="FF000000"/>
        <rFont val="微软雅黑"/>
        <charset val="134"/>
      </rPr>
      <t>在中心12（阶梯2）范围内的所有非障碍战术格中生成地形“烟雾”。</t>
    </r>
    <r>
      <rPr>
        <sz val="11"/>
        <color rgb="FF000000"/>
        <rFont val="微软雅黑"/>
        <charset val="134"/>
      </rPr>
      <t xml:space="preserve">
</t>
    </r>
    <r>
      <rPr>
        <sz val="11"/>
        <color rgb="FF000000"/>
        <rFont val="微软雅黑"/>
        <charset val="134"/>
      </rPr>
      <t>“烟雾”：可通行，不透明，非障碍的地形。战斗轮开始两次后被移除。</t>
    </r>
  </si>
  <si>
    <t>鞘</t>
  </si>
  <si>
    <t>刀剑武器</t>
  </si>
  <si>
    <r>
      <rPr>
        <sz val="11"/>
        <color rgb="FF000000"/>
        <rFont val="微软雅黑"/>
        <charset val="134"/>
      </rPr>
      <t>提供主动动作【纳刀】：消耗主要行动，进入【纳刀】状态。战斗开始时，获得【纳刀】。</t>
    </r>
    <r>
      <rPr>
        <sz val="11"/>
        <color rgb="FF000000"/>
        <rFont val="微软雅黑"/>
        <charset val="134"/>
      </rPr>
      <t xml:space="preserve">
</t>
    </r>
    <r>
      <rPr>
        <sz val="11"/>
        <color rgb="FF000000"/>
        <rFont val="微软雅黑"/>
        <charset val="134"/>
      </rPr>
      <t>【纳刀】：攻击检定时，骰面升级。持续至攻击一次。</t>
    </r>
  </si>
  <si>
    <t>燃烧瓶</t>
  </si>
  <si>
    <r>
      <rPr>
        <sz val="11"/>
        <color rgb="FF000000"/>
        <rFont val="微软雅黑"/>
        <charset val="134"/>
      </rPr>
      <t>在中心12（阶梯2）范围内的所有非障碍战术格中生成地形“火焰”。</t>
    </r>
    <r>
      <rPr>
        <sz val="11"/>
        <color rgb="FF000000"/>
        <rFont val="微软雅黑"/>
        <charset val="134"/>
      </rPr>
      <t xml:space="preserve">
</t>
    </r>
    <r>
      <rPr>
        <sz val="11"/>
        <color rgb="FF000000"/>
        <rFont val="微软雅黑"/>
        <charset val="134"/>
      </rPr>
      <t>“火焰”：可通行，透明，非障碍的地形。经过该战术格的单位受到2点灼燃损伤，在其中结束回合的单位受到4点灼燃损伤。战斗轮开始两次后被移除。</t>
    </r>
  </si>
  <si>
    <t>链锯切割引擎</t>
  </si>
  <si>
    <t>兵械操作武器</t>
  </si>
  <si>
    <t>每回合首次攻击命中并造成伤害时，额外造成3点组织损伤。
每场战斗开始前，消耗价值1源石锭的能源为你的武器供能以激活该效果。</t>
  </si>
  <si>
    <t>高爆手雷</t>
  </si>
  <si>
    <t>对中心8（距离1）范围内的所有单位造成10点物理伤害，摧毁其中的民用障碍。每进入一个新的精英化阶段，伤害就+10点。</t>
  </si>
  <si>
    <t>结构优化</t>
  </si>
  <si>
    <t>远程物理武器</t>
  </si>
  <si>
    <t>破片手雷</t>
  </si>
  <si>
    <t>对中心8（距离1）范围内的所有单位造成5点物理伤害与3点组织损伤。每进入新的一个新的精英化阶段，组织损伤就+2点。</t>
  </si>
  <si>
    <t>优质弹药</t>
  </si>
  <si>
    <t>支援气罐</t>
  </si>
  <si>
    <t>对中心8（距离1）范围内的所有单位造成【推击3】。</t>
  </si>
  <si>
    <t>蓝屏脉冲</t>
  </si>
  <si>
    <t>攻击命中并对机械单位（如无人机）造成伤害时，施加【停顿】</t>
  </si>
  <si>
    <t>干冰炸弹</t>
  </si>
  <si>
    <t>对中心8（距离1）范围内的所有单位施加【寒冷】，持续至下个回合结束。</t>
  </si>
  <si>
    <t>瞄准镜</t>
  </si>
  <si>
    <t>每回合首次攻击命中被瞄准的目标时，造成的伤害+5点。瞄准时，能见度上升一个等级。</t>
  </si>
  <si>
    <t>震撼弹</t>
  </si>
  <si>
    <t>对中心8（距离1）范围内的所有单位施加【标记】，持续至下个回合结束。</t>
  </si>
  <si>
    <t>夜视镜</t>
  </si>
  <si>
    <t>瞄准时，能见度上升一个等级，且不会因缺少光照而导致能见度下降。</t>
  </si>
  <si>
    <t>电磁脉冲</t>
  </si>
  <si>
    <t>对中心20（距离2）范围内的所有机械单位施加【眩晕】，持续至下个回合结束。</t>
  </si>
  <si>
    <t>涂毒</t>
  </si>
  <si>
    <t>弩箭或暗器武器</t>
  </si>
  <si>
    <t>攻击命中并造成伤害时，额外造成3点毒性损伤。每次触发该效果时，消耗1源石锭。</t>
  </si>
  <si>
    <t>临时握把</t>
  </si>
  <si>
    <t>暗器武器</t>
  </si>
  <si>
    <t>可通过【切换武器】，将武器转变为造成物理伤害的近战武器。该武器可被视为依赖短兵技能的处决者武器。</t>
  </si>
  <si>
    <t>下挂刺刀</t>
  </si>
  <si>
    <t>射击武器</t>
  </si>
  <si>
    <t>可通过【切换武器】，将武器转变为造成物理伤害的近战武器。该武器可被视为依赖长兵技能的冲锋手武器。</t>
  </si>
  <si>
    <t>激光准直</t>
  </si>
  <si>
    <t>攻击你正前方的目标时，造成的伤害+5点。</t>
  </si>
  <si>
    <t>投射装置</t>
  </si>
  <si>
    <t>你可以将【投掷物品】的可用范围替换为你的武器攻击范围。</t>
  </si>
  <si>
    <t>架设模式</t>
  </si>
  <si>
    <r>
      <rPr>
        <sz val="11"/>
        <color rgb="FF000000"/>
        <rFont val="微软雅黑"/>
        <charset val="134"/>
      </rPr>
      <t>提供主动动作【架设】：消耗快速行动，将该武器从背包中移除，在自身所在战术格生成地形单位“射击点”。</t>
    </r>
    <r>
      <rPr>
        <sz val="11"/>
        <color rgb="FF000000"/>
        <rFont val="微软雅黑"/>
        <charset val="134"/>
      </rPr>
      <t xml:space="preserve">
</t>
    </r>
    <r>
      <rPr>
        <sz val="11"/>
        <color rgb="FF000000"/>
        <rFont val="微软雅黑"/>
        <charset val="134"/>
      </rPr>
      <t>“射击点”：具有1生命值，所在战术格内有单位时无法被攻击。角色处在该战术格内时，视为持有某把骰面更高一级的射击武器，且能释放【收回】。被摧毁时，将该武器的故障版本收回背包，在本场战斗中无法再作为武器使用。</t>
    </r>
    <r>
      <rPr>
        <sz val="11"/>
        <color rgb="FF000000"/>
        <rFont val="微软雅黑"/>
        <charset val="134"/>
      </rPr>
      <t xml:space="preserve">
</t>
    </r>
    <r>
      <rPr>
        <sz val="11"/>
        <color rgb="FF000000"/>
        <rFont val="微软雅黑"/>
        <charset val="134"/>
      </rPr>
      <t>【收回】：消耗快速行动，将射击点撤除，其对应的射击武器收回背包。</t>
    </r>
  </si>
  <si>
    <t>单发再装填组件</t>
  </si>
  <si>
    <t>铳械</t>
  </si>
  <si>
    <t>具有4点弹容量上限，弹容量大于0时才能攻击。攻击时，消耗1弹容量并获得1移动位。</t>
  </si>
  <si>
    <t>提供主动动作【再装填】：消耗快速行动，将弹容量补充到上限。</t>
  </si>
  <si>
    <t>连发再装填组件</t>
  </si>
  <si>
    <t>具有6点弹容量上限，弹容量大于0时才能攻击。攻击时，消耗1弹容量并获得1移动位。</t>
  </si>
  <si>
    <t>提供主动动作【再装填】：消耗主要行动，将弹容量补充到上限。</t>
  </si>
  <si>
    <t>扩容弹匣</t>
  </si>
  <si>
    <t>具有弹容量的武器</t>
  </si>
  <si>
    <t>弹容量上限+50%</t>
  </si>
  <si>
    <t>法杖加固设计</t>
  </si>
  <si>
    <t>施法媒介</t>
  </si>
  <si>
    <t>可通过【切换武器】，将武器转变为造成物理伤害的近战武器。该武器可被视为依赖钝器技能的尖兵武器。</t>
  </si>
  <si>
    <t>法术储存单元I/II/III</t>
  </si>
  <si>
    <r>
      <rPr>
        <sz val="11"/>
        <color rgb="FF000000"/>
        <rFont val="微软雅黑"/>
        <charset val="134"/>
      </rPr>
      <t>选择一种至多为精英化阶段0/0/1的源石技艺，将其储存在施术单元内，至多储存1/2/2次。</t>
    </r>
    <r>
      <rPr>
        <sz val="11"/>
        <color rgb="FF000000"/>
        <rFont val="微软雅黑"/>
        <charset val="134"/>
      </rPr>
      <t xml:space="preserve">
</t>
    </r>
    <r>
      <rPr>
        <sz val="11"/>
        <color rgb="FF000000"/>
        <rFont val="微软雅黑"/>
        <charset val="134"/>
      </rPr>
      <t>你能在战斗中释放该技艺（SP和行动正常消耗），随后将其消耗。在每次长休时，若符合条件，你可以补充已消耗的源石技艺。</t>
    </r>
  </si>
  <si>
    <t>10/15/20</t>
  </si>
  <si>
    <t>法杖扩展单元</t>
  </si>
  <si>
    <t>将中坚术士的攻击范围与该武器当前的攻击范围相加（求并集）以作为该武器的新攻击范围。</t>
  </si>
  <si>
    <t>术法分析单元</t>
  </si>
  <si>
    <t>你可以立即勘察出至多5立方米范围内的源石技艺反应或残留，并知晓源石技艺类型，该单元在释放一次后失效，长休后恢复。</t>
  </si>
  <si>
    <t>浮游环绕单元</t>
  </si>
  <si>
    <t>你的施术单元不需要握在手中依然可以运行，这通常表现为环绕或漂浮在你周围。你的施术单元不再拥有重量负担。</t>
  </si>
  <si>
    <t>术能发射器</t>
  </si>
  <si>
    <t>你的施术单元武器可以使用【瞄准】。攻击检定时，分别检定施术与射击，取较低值作为检定结果。</t>
  </si>
  <si>
    <t>夜视头盔</t>
  </si>
  <si>
    <t>防具</t>
  </si>
  <si>
    <t>你的角色不会因缺少光照而导致能见度下降。</t>
  </si>
  <si>
    <t>隐蔽防具</t>
  </si>
  <si>
    <t>你将防具隐藏在了常规服饰之下。</t>
  </si>
  <si>
    <t>稳固化</t>
  </si>
  <si>
    <t>防具设有配重或稳固装置，使得穿戴者重量等级+1。</t>
  </si>
  <si>
    <t>战术绑带</t>
  </si>
  <si>
    <t>角色可携带的最大投掷物与消耗品数量+1</t>
  </si>
  <si>
    <t>源石防护</t>
  </si>
  <si>
    <t>免疫低/高/极端浓度的源石环境。</t>
  </si>
  <si>
    <t>10/20/30</t>
  </si>
  <si>
    <t>扫描雷达</t>
  </si>
  <si>
    <t>提供主动动作【电子侦测】：清除中心20（距离2）范围内的所有单位的隐匿与迷彩。每场战斗限一次。</t>
  </si>
  <si>
    <t>异铁防护插板</t>
  </si>
  <si>
    <t>战斗开始时，获得10点临时HP。每进入一个新的精英化阶段，临时HP的上限+5
如果这些临时HP被消耗，则需要在战斗开始前重新填装价值1源石锭的耗材以将其补充至上限。</t>
  </si>
  <si>
    <t>捕鳞蓑</t>
  </si>
  <si>
    <t>轻甲或中甲</t>
  </si>
  <si>
    <t>结束回合时，若本回合未进行攻击，且不处在敌方单位的攻击视野中时，获得【迷彩】，直到你下次攻击。</t>
  </si>
  <si>
    <t>幻影生成装置</t>
  </si>
  <si>
    <r>
      <rPr>
        <sz val="11"/>
        <color rgb="FF000000"/>
        <rFont val="微软雅黑"/>
        <charset val="134"/>
      </rPr>
      <t>首次受到伤害时，在角色所在战术格生成地形单位“幻影”。你获得【魅影】，持续至“幻影”被摧毁。</t>
    </r>
    <r>
      <rPr>
        <sz val="11"/>
        <color rgb="FF000000"/>
        <rFont val="微软雅黑"/>
        <charset val="134"/>
      </rPr>
      <t xml:space="preserve">
</t>
    </r>
    <r>
      <rPr>
        <sz val="11"/>
        <color rgb="FF000000"/>
        <rFont val="微软雅黑"/>
        <charset val="134"/>
      </rPr>
      <t>“幻影”：固定具有3点无法恢复的生命值和【魅影】。战斗轮结束时，受到1点真实伤害。</t>
    </r>
  </si>
  <si>
    <t>喷气背包</t>
  </si>
  <si>
    <t>中甲或重甲</t>
  </si>
  <si>
    <r>
      <rPr>
        <sz val="11"/>
        <color rgb="FF000000"/>
        <rFont val="微软雅黑"/>
        <charset val="134"/>
      </rPr>
      <t>提供主动动作【起飞！】：消耗主要行动，每场战斗限一次，获得【飞行】，持续至下个回合结束。</t>
    </r>
    <r>
      <rPr>
        <sz val="11"/>
        <color rgb="FF000000"/>
        <rFont val="微软雅黑"/>
        <charset val="134"/>
      </rPr>
      <t xml:space="preserve">
</t>
    </r>
    <r>
      <rPr>
        <sz val="11"/>
        <color rgb="FF000000"/>
        <rFont val="微软雅黑"/>
        <charset val="134"/>
      </rPr>
      <t>每场战斗前，为喷气背包填充价值1源石锭的燃料以激活该效果。</t>
    </r>
  </si>
  <si>
    <t>源岩缓冲填料</t>
  </si>
  <si>
    <t>重甲</t>
  </si>
  <si>
    <r>
      <rPr>
        <sz val="11"/>
        <color rgb="FF000000"/>
        <rFont val="微软雅黑"/>
        <charset val="134"/>
      </rPr>
      <t>战斗开始时，获得5点临时元素韧性。每进入一个新的精英化阶段，元素韧性的上限+2.</t>
    </r>
    <r>
      <rPr>
        <sz val="11"/>
        <color rgb="FF000000"/>
        <rFont val="微软雅黑"/>
        <charset val="134"/>
      </rPr>
      <t xml:space="preserve">
</t>
    </r>
    <r>
      <rPr>
        <sz val="11"/>
        <color rgb="FF000000"/>
        <rFont val="微软雅黑"/>
        <charset val="134"/>
      </rPr>
      <t>如果这些元素韧性被消耗，则需要在战斗开始前重新填装价值1源石锭的耗材以将元素韧性补充至上限。</t>
    </r>
  </si>
  <si>
    <t>部位</t>
  </si>
  <si>
    <t>症状描述</t>
  </si>
  <si>
    <t>症状修正</t>
  </si>
  <si>
    <t>发作效果</t>
  </si>
  <si>
    <t>头部</t>
  </si>
  <si>
    <t>嗜睡症</t>
  </si>
  <si>
    <t>受源石影响，角色将表现出难以克制的困倦欲睡与不非预期的日间入睡现象。在未能缓解睡意的情况下，角色可能会忽视周遭危险环境直接猝倒。</t>
  </si>
  <si>
    <r>
      <rPr>
        <sz val="11"/>
        <color theme="1"/>
        <rFont val="宋体"/>
        <charset val="134"/>
        <scheme val="minor"/>
      </rPr>
      <t>·</t>
    </r>
    <r>
      <rPr>
        <b/>
        <sz val="11"/>
        <color theme="1"/>
        <rFont val="宋体"/>
        <charset val="134"/>
        <scheme val="minor"/>
      </rPr>
      <t>精神意志</t>
    </r>
    <r>
      <rPr>
        <sz val="11"/>
        <color theme="1"/>
        <rFont val="宋体"/>
        <charset val="134"/>
        <scheme val="minor"/>
      </rPr>
      <t>-1
·获得</t>
    </r>
    <r>
      <rPr>
        <sz val="11"/>
        <color rgb="FF7030A0"/>
        <rFont val="宋体"/>
        <charset val="134"/>
        <scheme val="minor"/>
      </rPr>
      <t>“</t>
    </r>
    <r>
      <rPr>
        <b/>
        <sz val="11"/>
        <color rgb="FF7030A0"/>
        <rFont val="宋体"/>
        <charset val="134"/>
        <scheme val="minor"/>
      </rPr>
      <t>困顿</t>
    </r>
    <r>
      <rPr>
        <sz val="11"/>
        <color rgb="FF7030A0"/>
        <rFont val="宋体"/>
        <charset val="134"/>
        <scheme val="minor"/>
      </rPr>
      <t>”</t>
    </r>
    <r>
      <rPr>
        <sz val="11"/>
        <color theme="1"/>
        <rFont val="宋体"/>
        <charset val="134"/>
        <scheme val="minor"/>
      </rPr>
      <t>时，改为获得</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 xml:space="preserve">
·你处于</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状态并结束回合时，使自身SP恢复至初始值。
·获得【嗜睡】特质</t>
    </r>
  </si>
  <si>
    <t>猝倒</t>
  </si>
  <si>
    <r>
      <rPr>
        <sz val="11"/>
        <color theme="1"/>
        <rFont val="宋体"/>
        <charset val="134"/>
        <scheme val="minor"/>
      </rPr>
      <t>获得</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t>
    </r>
  </si>
  <si>
    <t>认知障碍</t>
  </si>
  <si>
    <t>受到源石的影响，角色的行为模式或者语言风格会发生不可控的转变，进而导致对自我认知的分裂或行为模式的失控。典型的症状包括人格分裂，或是听到其他不属于自己的声音等。</t>
  </si>
  <si>
    <r>
      <rPr>
        <sz val="11"/>
        <color theme="1"/>
        <rFont val="宋体"/>
        <charset val="134"/>
        <scheme val="minor"/>
      </rPr>
      <t>·</t>
    </r>
    <r>
      <rPr>
        <b/>
        <sz val="11"/>
        <color theme="1"/>
        <rFont val="宋体"/>
        <charset val="134"/>
        <scheme val="minor"/>
      </rPr>
      <t>精神意志</t>
    </r>
    <r>
      <rPr>
        <sz val="11"/>
        <color theme="1"/>
        <rFont val="宋体"/>
        <charset val="134"/>
        <scheme val="minor"/>
      </rPr>
      <t>-2。
·无法成长</t>
    </r>
    <r>
      <rPr>
        <b/>
        <sz val="11"/>
        <color rgb="FF7030A0"/>
        <rFont val="宋体"/>
        <charset val="134"/>
        <scheme val="minor"/>
      </rPr>
      <t>交涉</t>
    </r>
    <r>
      <rPr>
        <sz val="11"/>
        <color theme="1"/>
        <rFont val="宋体"/>
        <charset val="134"/>
        <scheme val="minor"/>
      </rPr>
      <t>相关技能
·获得【精神分裂】特质</t>
    </r>
  </si>
  <si>
    <t>精神崩溃</t>
  </si>
  <si>
    <r>
      <rPr>
        <sz val="11"/>
        <color theme="1"/>
        <rFont val="宋体"/>
        <charset val="134"/>
        <scheme val="minor"/>
      </rPr>
      <t>获得</t>
    </r>
    <r>
      <rPr>
        <sz val="11"/>
        <color rgb="FF7030A0"/>
        <rFont val="宋体"/>
        <charset val="134"/>
        <scheme val="minor"/>
      </rPr>
      <t>“</t>
    </r>
    <r>
      <rPr>
        <b/>
        <sz val="11"/>
        <color rgb="FF7030A0"/>
        <rFont val="宋体"/>
        <charset val="134"/>
        <scheme val="minor"/>
      </rPr>
      <t>眩晕</t>
    </r>
    <r>
      <rPr>
        <sz val="11"/>
        <color rgb="FF7030A0"/>
        <rFont val="宋体"/>
        <charset val="134"/>
        <scheme val="minor"/>
      </rPr>
      <t>”</t>
    </r>
    <r>
      <rPr>
        <sz val="11"/>
        <color theme="1"/>
        <rFont val="宋体"/>
        <charset val="134"/>
        <scheme val="minor"/>
      </rPr>
      <t>。下一个回合结束时，切换到另一个人格（若有）。</t>
    </r>
  </si>
  <si>
    <t>感官失灵</t>
  </si>
  <si>
    <t>源石损害了角色的感官生理功能，诸如眼，鼻、耳、咽喉等。在病情严重的情况下，角色的多个器官都可能受影响而失去功能。该症状的表现形式多样，在症状较轻时也可能表现为幻视、幻听、耳鸣等。</t>
  </si>
  <si>
    <r>
      <rPr>
        <sz val="11"/>
        <color theme="1"/>
        <rFont val="宋体"/>
        <charset val="134"/>
        <scheme val="minor"/>
      </rPr>
      <t>·</t>
    </r>
    <r>
      <rPr>
        <b/>
        <sz val="11"/>
        <color theme="1"/>
        <rFont val="宋体"/>
        <charset val="134"/>
        <scheme val="minor"/>
      </rPr>
      <t>反应机动</t>
    </r>
    <r>
      <rPr>
        <sz val="11"/>
        <color theme="1"/>
        <rFont val="宋体"/>
        <charset val="134"/>
        <scheme val="minor"/>
      </rPr>
      <t>-2，进行</t>
    </r>
    <r>
      <rPr>
        <b/>
        <sz val="11"/>
        <color theme="1"/>
        <rFont val="宋体"/>
        <charset val="134"/>
        <scheme val="minor"/>
      </rPr>
      <t>反应机动</t>
    </r>
    <r>
      <rPr>
        <sz val="11"/>
        <color theme="1"/>
        <rFont val="宋体"/>
        <charset val="134"/>
        <scheme val="minor"/>
      </rPr>
      <t>与</t>
    </r>
    <r>
      <rPr>
        <b/>
        <sz val="11"/>
        <color rgb="FF7030A0"/>
        <rFont val="宋体"/>
        <charset val="134"/>
        <scheme val="minor"/>
      </rPr>
      <t>洞察</t>
    </r>
    <r>
      <rPr>
        <sz val="11"/>
        <color theme="1"/>
        <rFont val="宋体"/>
        <charset val="134"/>
        <scheme val="minor"/>
      </rPr>
      <t>相关检定时获得一个惩罚骰
·</t>
    </r>
    <r>
      <rPr>
        <b/>
        <sz val="11"/>
        <color theme="1"/>
        <rFont val="宋体"/>
        <charset val="134"/>
        <scheme val="minor"/>
      </rPr>
      <t>精神意志</t>
    </r>
    <r>
      <rPr>
        <sz val="11"/>
        <color theme="1"/>
        <rFont val="宋体"/>
        <charset val="134"/>
        <scheme val="minor"/>
      </rPr>
      <t>+1，进行</t>
    </r>
    <r>
      <rPr>
        <b/>
        <sz val="11"/>
        <color theme="1"/>
        <rFont val="宋体"/>
        <charset val="134"/>
        <scheme val="minor"/>
      </rPr>
      <t>精神意志</t>
    </r>
    <r>
      <rPr>
        <sz val="11"/>
        <color theme="1"/>
        <rFont val="宋体"/>
        <charset val="134"/>
        <scheme val="minor"/>
      </rPr>
      <t>检定时获得一个奖励骰</t>
    </r>
  </si>
  <si>
    <t>感知紊乱</t>
  </si>
  <si>
    <t>下一次进行攻击时，随机指定目标。</t>
  </si>
  <si>
    <t>神经衰弱</t>
  </si>
  <si>
    <t>受源石对神经中枢的持续性刺激，角色表现出精神活力下降，工作效率下降，体力不足且需要频繁休息等症状，同时可能出现怕光、怕吵等心理性症状，且在入睡前和夜间症状加重，影响正常睡眠。</t>
  </si>
  <si>
    <r>
      <rPr>
        <sz val="11"/>
        <color theme="1"/>
        <rFont val="宋体"/>
        <charset val="134"/>
        <scheme val="minor"/>
      </rPr>
      <t>·</t>
    </r>
    <r>
      <rPr>
        <b/>
        <sz val="11"/>
        <color theme="1"/>
        <rFont val="宋体"/>
        <charset val="134"/>
        <scheme val="minor"/>
      </rPr>
      <t>精神意志</t>
    </r>
    <r>
      <rPr>
        <sz val="11"/>
        <color theme="1"/>
        <rFont val="宋体"/>
        <charset val="134"/>
        <scheme val="minor"/>
      </rPr>
      <t>-1，</t>
    </r>
    <r>
      <rPr>
        <b/>
        <sz val="11"/>
        <color theme="1"/>
        <rFont val="宋体"/>
        <charset val="134"/>
        <scheme val="minor"/>
      </rPr>
      <t>反应机动</t>
    </r>
    <r>
      <rPr>
        <sz val="11"/>
        <color theme="1"/>
        <rFont val="宋体"/>
        <charset val="134"/>
        <scheme val="minor"/>
      </rPr>
      <t>-1，进行</t>
    </r>
    <r>
      <rPr>
        <b/>
        <sz val="11"/>
        <color theme="1"/>
        <rFont val="宋体"/>
        <charset val="134"/>
        <scheme val="minor"/>
      </rPr>
      <t>精神意志</t>
    </r>
    <r>
      <rPr>
        <sz val="11"/>
        <color theme="1"/>
        <rFont val="宋体"/>
        <charset val="134"/>
        <scheme val="minor"/>
      </rPr>
      <t>检定时获得一个惩罚骰
·拥有</t>
    </r>
    <r>
      <rPr>
        <sz val="11"/>
        <color rgb="FF7030A0"/>
        <rFont val="宋体"/>
        <charset val="134"/>
        <scheme val="minor"/>
      </rPr>
      <t>“</t>
    </r>
    <r>
      <rPr>
        <b/>
        <sz val="11"/>
        <color rgb="FF7030A0"/>
        <rFont val="宋体"/>
        <charset val="134"/>
        <scheme val="minor"/>
      </rPr>
      <t>睡眠</t>
    </r>
    <r>
      <rPr>
        <sz val="11"/>
        <color rgb="FF7030A0"/>
        <rFont val="宋体"/>
        <charset val="134"/>
        <scheme val="minor"/>
      </rPr>
      <t>”</t>
    </r>
    <r>
      <rPr>
        <sz val="11"/>
        <color theme="1"/>
        <rFont val="宋体"/>
        <charset val="134"/>
        <scheme val="minor"/>
      </rPr>
      <t>状态抵抗
·长/短休时回复的SP-50%</t>
    </r>
  </si>
  <si>
    <t>思维僵化</t>
  </si>
  <si>
    <r>
      <rPr>
        <sz val="11"/>
        <color rgb="FF000000"/>
        <rFont val="宋体"/>
        <charset val="134"/>
      </rPr>
      <t>获得</t>
    </r>
    <r>
      <rPr>
        <sz val="11"/>
        <color rgb="FF7030A0"/>
        <rFont val="宋体"/>
        <charset val="134"/>
      </rPr>
      <t>“</t>
    </r>
    <r>
      <rPr>
        <b/>
        <sz val="11"/>
        <color rgb="FF7030A0"/>
        <rFont val="宋体"/>
        <charset val="134"/>
      </rPr>
      <t>沉默</t>
    </r>
    <r>
      <rPr>
        <sz val="11"/>
        <color rgb="FF7030A0"/>
        <rFont val="宋体"/>
        <charset val="134"/>
      </rPr>
      <t>”</t>
    </r>
    <r>
      <rPr>
        <sz val="11"/>
        <color rgb="FF000000"/>
        <rFont val="宋体"/>
        <charset val="134"/>
      </rPr>
      <t>、元素韧性降低至1并受到1点凋亡损伤。</t>
    </r>
  </si>
  <si>
    <t>躯干</t>
  </si>
  <si>
    <t>肌肉僵化</t>
  </si>
  <si>
    <t>源石侵蚀了角色的肌体，角色在进行剧烈运动时难以施力，在持续性运动时更难维持动作稳定性，甚至可能因大幅度动作引起肌肉僵死而对自身造成伤害。</t>
  </si>
  <si>
    <r>
      <rPr>
        <sz val="11"/>
        <color theme="1"/>
        <rFont val="宋体"/>
        <charset val="134"/>
        <scheme val="minor"/>
      </rPr>
      <t>·</t>
    </r>
    <r>
      <rPr>
        <b/>
        <sz val="11"/>
        <color theme="1"/>
        <rFont val="宋体"/>
        <charset val="134"/>
        <scheme val="minor"/>
      </rPr>
      <t>生理耐受</t>
    </r>
    <r>
      <rPr>
        <sz val="11"/>
        <color theme="1"/>
        <rFont val="宋体"/>
        <charset val="134"/>
        <scheme val="minor"/>
      </rPr>
      <t>-1，</t>
    </r>
    <r>
      <rPr>
        <b/>
        <sz val="11"/>
        <color theme="1"/>
        <rFont val="宋体"/>
        <charset val="134"/>
        <scheme val="minor"/>
      </rPr>
      <t>物理强度</t>
    </r>
    <r>
      <rPr>
        <sz val="11"/>
        <color theme="1"/>
        <rFont val="宋体"/>
        <charset val="134"/>
        <scheme val="minor"/>
      </rPr>
      <t>-1
·每次长休限一次，消耗</t>
    </r>
    <r>
      <rPr>
        <b/>
        <sz val="11"/>
        <color theme="1"/>
        <rFont val="宋体"/>
        <charset val="134"/>
        <scheme val="minor"/>
      </rPr>
      <t>耐力</t>
    </r>
    <r>
      <rPr>
        <sz val="11"/>
        <color theme="1"/>
        <rFont val="宋体"/>
        <charset val="134"/>
        <scheme val="minor"/>
      </rPr>
      <t>时，可改为消耗Xd4生命值。X=角色等级/2</t>
    </r>
  </si>
  <si>
    <t>组织僵死</t>
  </si>
  <si>
    <r>
      <rPr>
        <sz val="11"/>
        <color theme="1"/>
        <rFont val="宋体"/>
        <charset val="134"/>
        <scheme val="minor"/>
      </rPr>
      <t>被视为拥有</t>
    </r>
    <r>
      <rPr>
        <sz val="11"/>
        <color rgb="FF7030A0"/>
        <rFont val="宋体"/>
        <charset val="134"/>
        <scheme val="minor"/>
      </rPr>
      <t>“</t>
    </r>
    <r>
      <rPr>
        <b/>
        <sz val="11"/>
        <color rgb="FF7030A0"/>
        <rFont val="宋体"/>
        <charset val="134"/>
        <scheme val="minor"/>
      </rPr>
      <t>脆弱X</t>
    </r>
    <r>
      <rPr>
        <sz val="11"/>
        <color rgb="FF7030A0"/>
        <rFont val="宋体"/>
        <charset val="134"/>
        <scheme val="minor"/>
      </rPr>
      <t>”</t>
    </r>
    <r>
      <rPr>
        <sz val="11"/>
        <color theme="1"/>
        <rFont val="宋体"/>
        <charset val="134"/>
        <scheme val="minor"/>
      </rPr>
      <t>，持续至自身的下一个回合结束。X=角色等级。</t>
    </r>
  </si>
  <si>
    <t>躯壳结晶</t>
  </si>
  <si>
    <t>源石在角色的体表凝结出一层壳体，令角色的动作受到影响。这层外壳令角色的抗击打能力更强，但同时也使得体表伤口的自愈速度大大减慢，需要更长的时间来弥合。</t>
  </si>
  <si>
    <r>
      <rPr>
        <sz val="11"/>
        <color theme="1"/>
        <rFont val="宋体"/>
        <charset val="134"/>
        <scheme val="minor"/>
      </rPr>
      <t>·</t>
    </r>
    <r>
      <rPr>
        <b/>
        <sz val="11"/>
        <color theme="1"/>
        <rFont val="宋体"/>
        <charset val="134"/>
        <scheme val="minor"/>
      </rPr>
      <t>个人魅力</t>
    </r>
    <r>
      <rPr>
        <sz val="11"/>
        <color theme="1"/>
        <rFont val="宋体"/>
        <charset val="134"/>
        <scheme val="minor"/>
      </rPr>
      <t>-2，</t>
    </r>
    <r>
      <rPr>
        <b/>
        <sz val="11"/>
        <color theme="1"/>
        <rFont val="宋体"/>
        <charset val="134"/>
        <scheme val="minor"/>
      </rPr>
      <t>反应机动</t>
    </r>
    <r>
      <rPr>
        <sz val="11"/>
        <color theme="1"/>
        <rFont val="宋体"/>
        <charset val="134"/>
        <scheme val="minor"/>
      </rPr>
      <t>-1
·</t>
    </r>
    <r>
      <rPr>
        <sz val="11"/>
        <rFont val="宋体"/>
        <charset val="134"/>
        <scheme val="minor"/>
      </rPr>
      <t>被视为拥有</t>
    </r>
    <r>
      <rPr>
        <sz val="11"/>
        <color rgb="FF7030A0"/>
        <rFont val="宋体"/>
        <charset val="134"/>
        <scheme val="minor"/>
      </rPr>
      <t>“</t>
    </r>
    <r>
      <rPr>
        <b/>
        <sz val="11"/>
        <color rgb="FF7030A0"/>
        <rFont val="宋体"/>
        <charset val="134"/>
        <scheme val="minor"/>
      </rPr>
      <t>庇护</t>
    </r>
    <r>
      <rPr>
        <sz val="11"/>
        <color rgb="FF7030A0"/>
        <rFont val="宋体"/>
        <charset val="134"/>
        <scheme val="minor"/>
      </rPr>
      <t>”</t>
    </r>
    <r>
      <rPr>
        <sz val="11"/>
        <color theme="1"/>
        <rFont val="宋体"/>
        <charset val="134"/>
        <scheme val="minor"/>
      </rPr>
      <t xml:space="preserve">
·生命值上限-20%，长/短休时回复的生命值-50%</t>
    </r>
  </si>
  <si>
    <t>脆性晶体</t>
  </si>
  <si>
    <t>使自身的基础物理抗性与基础法术抗性降低为50%，持续至自身的下个回合结束。</t>
  </si>
  <si>
    <t>结晶躯壳</t>
  </si>
  <si>
    <t>代谢失调</t>
  </si>
  <si>
    <t>源石影响了角色的主要器官运作，这使得角色的新陈代谢被病态的加速了。这虽然使得角色更容易兴奋，但对他的持续耐力造成了严重的负面影响。</t>
  </si>
  <si>
    <r>
      <rPr>
        <sz val="11"/>
        <color theme="1"/>
        <rFont val="宋体"/>
        <charset val="134"/>
        <scheme val="minor"/>
      </rPr>
      <t>·均衡体重-10kg，负重-20kg
·SP上限-20%，</t>
    </r>
    <r>
      <rPr>
        <b/>
        <sz val="11"/>
        <color theme="1"/>
        <rFont val="宋体"/>
        <charset val="134"/>
        <scheme val="minor"/>
      </rPr>
      <t>生理耐受</t>
    </r>
    <r>
      <rPr>
        <sz val="11"/>
        <color theme="1"/>
        <rFont val="宋体"/>
        <charset val="134"/>
        <scheme val="minor"/>
      </rPr>
      <t>-1，</t>
    </r>
    <r>
      <rPr>
        <b/>
        <sz val="11"/>
        <color theme="1"/>
        <rFont val="宋体"/>
        <charset val="134"/>
        <scheme val="minor"/>
      </rPr>
      <t>耐力</t>
    </r>
    <r>
      <rPr>
        <sz val="11"/>
        <color theme="1"/>
        <rFont val="宋体"/>
        <charset val="134"/>
        <scheme val="minor"/>
      </rPr>
      <t>上限-1
·</t>
    </r>
    <r>
      <rPr>
        <b/>
        <sz val="11"/>
        <color theme="1"/>
        <rFont val="宋体"/>
        <charset val="134"/>
        <scheme val="minor"/>
      </rPr>
      <t>移动力</t>
    </r>
    <r>
      <rPr>
        <sz val="11"/>
        <color theme="1"/>
        <rFont val="宋体"/>
        <charset val="134"/>
        <scheme val="minor"/>
      </rPr>
      <t>+1，</t>
    </r>
    <r>
      <rPr>
        <b/>
        <sz val="11"/>
        <color theme="1"/>
        <rFont val="宋体"/>
        <charset val="134"/>
        <scheme val="minor"/>
      </rPr>
      <t>反应机动</t>
    </r>
    <r>
      <rPr>
        <sz val="11"/>
        <color theme="1"/>
        <rFont val="宋体"/>
        <charset val="134"/>
        <scheme val="minor"/>
      </rPr>
      <t>+1，战斗开始时，获得</t>
    </r>
    <r>
      <rPr>
        <sz val="11"/>
        <color rgb="FF7030A0"/>
        <rFont val="宋体"/>
        <charset val="134"/>
        <scheme val="minor"/>
      </rPr>
      <t>“</t>
    </r>
    <r>
      <rPr>
        <b/>
        <sz val="11"/>
        <color rgb="FF7030A0"/>
        <rFont val="宋体"/>
        <charset val="134"/>
        <scheme val="minor"/>
      </rPr>
      <t>迅捷</t>
    </r>
    <r>
      <rPr>
        <sz val="11"/>
        <color rgb="FF7030A0"/>
        <rFont val="宋体"/>
        <charset val="134"/>
        <scheme val="minor"/>
      </rPr>
      <t>”</t>
    </r>
  </si>
  <si>
    <t>过度呼吸</t>
  </si>
  <si>
    <r>
      <rPr>
        <sz val="11"/>
        <color theme="1"/>
        <rFont val="宋体"/>
        <charset val="134"/>
        <scheme val="minor"/>
      </rPr>
      <t>获得</t>
    </r>
    <r>
      <rPr>
        <sz val="11"/>
        <color rgb="FF7030A0"/>
        <rFont val="宋体"/>
        <charset val="134"/>
        <scheme val="minor"/>
      </rPr>
      <t>“</t>
    </r>
    <r>
      <rPr>
        <b/>
        <sz val="11"/>
        <color rgb="FF7030A0"/>
        <rFont val="宋体"/>
        <charset val="134"/>
        <scheme val="minor"/>
      </rPr>
      <t>迅捷</t>
    </r>
    <r>
      <rPr>
        <sz val="11"/>
        <color rgb="FF7030A0"/>
        <rFont val="宋体"/>
        <charset val="134"/>
        <scheme val="minor"/>
      </rPr>
      <t>”</t>
    </r>
    <r>
      <rPr>
        <sz val="11"/>
        <color theme="1"/>
        <rFont val="宋体"/>
        <charset val="134"/>
        <scheme val="minor"/>
      </rPr>
      <t>、</t>
    </r>
    <r>
      <rPr>
        <sz val="11"/>
        <color rgb="FF7030A0"/>
        <rFont val="宋体"/>
        <charset val="134"/>
        <scheme val="minor"/>
      </rPr>
      <t>“</t>
    </r>
    <r>
      <rPr>
        <b/>
        <sz val="11"/>
        <color rgb="FF7030A0"/>
        <rFont val="宋体"/>
        <charset val="134"/>
        <scheme val="minor"/>
      </rPr>
      <t>易伤</t>
    </r>
    <r>
      <rPr>
        <sz val="11"/>
        <color rgb="FF7030A0"/>
        <rFont val="宋体"/>
        <charset val="134"/>
        <scheme val="minor"/>
      </rPr>
      <t>”</t>
    </r>
    <r>
      <rPr>
        <sz val="11"/>
        <rFont val="宋体"/>
        <charset val="134"/>
        <scheme val="minor"/>
      </rPr>
      <t>、</t>
    </r>
    <r>
      <rPr>
        <sz val="11"/>
        <color rgb="FF7030A0"/>
        <rFont val="宋体"/>
        <charset val="134"/>
        <scheme val="minor"/>
      </rPr>
      <t>“</t>
    </r>
    <r>
      <rPr>
        <b/>
        <sz val="11"/>
        <color rgb="FF7030A0"/>
        <rFont val="宋体"/>
        <charset val="134"/>
        <scheme val="minor"/>
      </rPr>
      <t>停顿</t>
    </r>
    <r>
      <rPr>
        <sz val="11"/>
        <color rgb="FF7030A0"/>
        <rFont val="宋体"/>
        <charset val="134"/>
        <scheme val="minor"/>
      </rPr>
      <t>”</t>
    </r>
    <r>
      <rPr>
        <sz val="11"/>
        <rFont val="宋体"/>
        <charset val="134"/>
        <scheme val="minor"/>
      </rPr>
      <t>。</t>
    </r>
  </si>
  <si>
    <t>组织萎缩</t>
  </si>
  <si>
    <t>源石使角色的身体组织萎缩弱化，降低了角色的生理承受能力与抗击打能力。</t>
  </si>
  <si>
    <r>
      <rPr>
        <sz val="11"/>
        <color theme="1"/>
        <rFont val="宋体"/>
        <charset val="134"/>
        <scheme val="minor"/>
      </rPr>
      <t>·</t>
    </r>
    <r>
      <rPr>
        <b/>
        <sz val="11"/>
        <color theme="1"/>
        <rFont val="宋体"/>
        <charset val="134"/>
        <scheme val="minor"/>
      </rPr>
      <t>生理耐受</t>
    </r>
    <r>
      <rPr>
        <sz val="11"/>
        <color theme="1"/>
        <rFont val="宋体"/>
        <charset val="134"/>
        <scheme val="minor"/>
      </rPr>
      <t>-2，生命值上限-20%</t>
    </r>
  </si>
  <si>
    <t>急性出血</t>
  </si>
  <si>
    <r>
      <rPr>
        <sz val="11"/>
        <color theme="1"/>
        <rFont val="宋体"/>
        <charset val="134"/>
        <scheme val="minor"/>
      </rPr>
      <t>获得</t>
    </r>
    <r>
      <rPr>
        <sz val="11"/>
        <color rgb="FF7030A0"/>
        <rFont val="宋体"/>
        <charset val="134"/>
        <scheme val="minor"/>
      </rPr>
      <t>“</t>
    </r>
    <r>
      <rPr>
        <b/>
        <sz val="11"/>
        <color rgb="FF7030A0"/>
        <rFont val="宋体"/>
        <charset val="134"/>
        <scheme val="minor"/>
      </rPr>
      <t>流血</t>
    </r>
    <r>
      <rPr>
        <sz val="11"/>
        <color rgb="FF7030A0"/>
        <rFont val="宋体"/>
        <charset val="134"/>
        <scheme val="minor"/>
      </rPr>
      <t>”</t>
    </r>
    <r>
      <rPr>
        <sz val="11"/>
        <color theme="1"/>
        <rFont val="宋体"/>
        <charset val="134"/>
        <scheme val="minor"/>
      </rPr>
      <t>、</t>
    </r>
    <r>
      <rPr>
        <sz val="11"/>
        <color rgb="FF7030A0"/>
        <rFont val="宋体"/>
        <charset val="134"/>
        <scheme val="minor"/>
      </rPr>
      <t>“</t>
    </r>
    <r>
      <rPr>
        <b/>
        <sz val="11"/>
        <color rgb="FF7030A0"/>
        <rFont val="宋体"/>
        <charset val="134"/>
        <scheme val="minor"/>
      </rPr>
      <t>禁疗</t>
    </r>
    <r>
      <rPr>
        <sz val="11"/>
        <color rgb="FF7030A0"/>
        <rFont val="宋体"/>
        <charset val="134"/>
        <scheme val="minor"/>
      </rPr>
      <t>”</t>
    </r>
    <r>
      <rPr>
        <sz val="11"/>
        <color theme="1"/>
        <rFont val="宋体"/>
        <charset val="134"/>
        <scheme val="minor"/>
      </rPr>
      <t>。</t>
    </r>
  </si>
  <si>
    <t>肢体</t>
  </si>
  <si>
    <t>肢体晶化</t>
  </si>
  <si>
    <t>源石取代了原本的身体结构，堆积在角色的肢体上，使其难以自如的操控肢体。但这些特殊的晶化结构也令角色在进行动作时更难以被外界因素所影响。</t>
  </si>
  <si>
    <r>
      <rPr>
        <sz val="11"/>
        <color rgb="FF000000"/>
        <rFont val="宋体"/>
        <charset val="134"/>
      </rPr>
      <t>·</t>
    </r>
    <r>
      <rPr>
        <b/>
        <sz val="11"/>
        <color rgb="FF000000"/>
        <rFont val="宋体"/>
        <charset val="134"/>
      </rPr>
      <t>移动力</t>
    </r>
    <r>
      <rPr>
        <sz val="11"/>
        <color rgb="FF000000"/>
        <rFont val="宋体"/>
        <charset val="134"/>
      </rPr>
      <t>-1，</t>
    </r>
    <r>
      <rPr>
        <b/>
        <sz val="11"/>
        <color rgb="FF000000"/>
        <rFont val="宋体"/>
        <charset val="134"/>
      </rPr>
      <t>重量</t>
    </r>
    <r>
      <rPr>
        <sz val="11"/>
        <color rgb="FF000000"/>
        <rFont val="宋体"/>
        <charset val="134"/>
      </rPr>
      <t>+1
·战斗开始时，获得</t>
    </r>
    <r>
      <rPr>
        <sz val="11"/>
        <color rgb="FF7030A0"/>
        <rFont val="宋体"/>
        <charset val="134"/>
      </rPr>
      <t>“</t>
    </r>
    <r>
      <rPr>
        <b/>
        <sz val="11"/>
        <color rgb="FF7030A0"/>
        <rFont val="宋体"/>
        <charset val="134"/>
      </rPr>
      <t>迟缓</t>
    </r>
    <r>
      <rPr>
        <sz val="11"/>
        <color rgb="FF7030A0"/>
        <rFont val="宋体"/>
        <charset val="134"/>
      </rPr>
      <t xml:space="preserve">”
</t>
    </r>
    <r>
      <rPr>
        <sz val="11"/>
        <color rgb="FF000000"/>
        <rFont val="宋体"/>
        <charset val="134"/>
      </rPr>
      <t>·进行</t>
    </r>
    <r>
      <rPr>
        <b/>
        <sz val="11"/>
        <color rgb="FF7030A0"/>
        <rFont val="宋体"/>
        <charset val="134"/>
      </rPr>
      <t>闪避</t>
    </r>
    <r>
      <rPr>
        <sz val="11"/>
        <color rgb="FF000000"/>
        <rFont val="宋体"/>
        <charset val="134"/>
      </rPr>
      <t>时，获得一个惩罚骰
·拥有</t>
    </r>
    <r>
      <rPr>
        <sz val="11"/>
        <color rgb="FF7030A0"/>
        <rFont val="宋体"/>
        <charset val="134"/>
      </rPr>
      <t>“</t>
    </r>
    <r>
      <rPr>
        <b/>
        <sz val="11"/>
        <color rgb="FF7030A0"/>
        <rFont val="宋体"/>
        <charset val="134"/>
      </rPr>
      <t>停顿</t>
    </r>
    <r>
      <rPr>
        <sz val="11"/>
        <color rgb="FF7030A0"/>
        <rFont val="宋体"/>
        <charset val="134"/>
      </rPr>
      <t>”</t>
    </r>
    <r>
      <rPr>
        <sz val="11"/>
        <color rgb="FF000000"/>
        <rFont val="宋体"/>
        <charset val="134"/>
      </rPr>
      <t>状态抵抗</t>
    </r>
  </si>
  <si>
    <t>肢体麻木</t>
  </si>
  <si>
    <r>
      <rPr>
        <sz val="11"/>
        <color theme="1"/>
        <rFont val="宋体"/>
        <charset val="134"/>
        <scheme val="minor"/>
      </rPr>
      <t>下一个回合开始时，</t>
    </r>
    <r>
      <rPr>
        <b/>
        <sz val="11"/>
        <color theme="1"/>
        <rFont val="宋体"/>
        <charset val="134"/>
        <scheme val="minor"/>
      </rPr>
      <t>主要行动</t>
    </r>
    <r>
      <rPr>
        <sz val="11"/>
        <color theme="1"/>
        <rFont val="宋体"/>
        <charset val="134"/>
        <scheme val="minor"/>
      </rPr>
      <t>-1。</t>
    </r>
  </si>
  <si>
    <t>肢体畸变</t>
  </si>
  <si>
    <t>源石改变了角色原有的生理结构，令肢体产生了明显的异化，这使得角色拥有极度明显地、一般情况下无法隐藏的感染特征。这可能会使得角色在进行攻击时能够造成更大的破坏，但同时也让他的攻击动作幅度更大，更加笨重。</t>
  </si>
  <si>
    <r>
      <rPr>
        <sz val="11"/>
        <color theme="1"/>
        <rFont val="宋体"/>
        <charset val="134"/>
        <scheme val="minor"/>
      </rPr>
      <t>·</t>
    </r>
    <r>
      <rPr>
        <b/>
        <sz val="11"/>
        <color theme="1"/>
        <rFont val="宋体"/>
        <charset val="134"/>
        <scheme val="minor"/>
      </rPr>
      <t>个人魅力</t>
    </r>
    <r>
      <rPr>
        <sz val="11"/>
        <color theme="1"/>
        <rFont val="宋体"/>
        <charset val="134"/>
        <scheme val="minor"/>
      </rPr>
      <t xml:space="preserve">-2
</t>
    </r>
    <r>
      <rPr>
        <sz val="11"/>
        <rFont val="宋体"/>
        <charset val="134"/>
        <scheme val="minor"/>
      </rPr>
      <t>·进行近战攻击时</t>
    </r>
    <r>
      <rPr>
        <sz val="11"/>
        <color theme="1"/>
        <rFont val="宋体"/>
        <charset val="134"/>
        <scheme val="minor"/>
      </rPr>
      <t>，自身被视为拥有</t>
    </r>
    <r>
      <rPr>
        <sz val="11"/>
        <color rgb="FF7030A0"/>
        <rFont val="宋体"/>
        <charset val="134"/>
        <scheme val="minor"/>
      </rPr>
      <t>“</t>
    </r>
    <r>
      <rPr>
        <b/>
        <sz val="11"/>
        <color rgb="FF7030A0"/>
        <rFont val="宋体"/>
        <charset val="134"/>
        <scheme val="minor"/>
      </rPr>
      <t>骰面升级</t>
    </r>
    <r>
      <rPr>
        <sz val="11"/>
        <color rgb="FF7030A0"/>
        <rFont val="宋体"/>
        <charset val="134"/>
        <scheme val="minor"/>
      </rPr>
      <t>”</t>
    </r>
    <r>
      <rPr>
        <sz val="11"/>
        <color theme="1"/>
        <rFont val="宋体"/>
        <charset val="134"/>
        <scheme val="minor"/>
      </rPr>
      <t>，目标被视为拥有</t>
    </r>
    <r>
      <rPr>
        <sz val="11"/>
        <color rgb="FF7030A0"/>
        <rFont val="宋体"/>
        <charset val="134"/>
        <scheme val="minor"/>
      </rPr>
      <t>“</t>
    </r>
    <r>
      <rPr>
        <b/>
        <sz val="11"/>
        <color rgb="FF7030A0"/>
        <rFont val="宋体"/>
        <charset val="134"/>
        <scheme val="minor"/>
      </rPr>
      <t>魅影</t>
    </r>
    <r>
      <rPr>
        <sz val="11"/>
        <color rgb="FF7030A0"/>
        <rFont val="宋体"/>
        <charset val="134"/>
        <scheme val="minor"/>
      </rPr>
      <t xml:space="preserve">”
</t>
    </r>
    <r>
      <rPr>
        <sz val="11"/>
        <rFont val="宋体"/>
        <charset val="134"/>
        <scheme val="minor"/>
      </rPr>
      <t>·可选择获得【武装肢体】特质</t>
    </r>
  </si>
  <si>
    <t>剧烈疼痛</t>
  </si>
  <si>
    <t>无法攻击，持续至下个回合结束。</t>
  </si>
  <si>
    <t>源石影响了角色的运动神经传导，令角色的协调出现障碍。主要的表现形式为行动不稳、易摔倒，举止笨拙缓慢，难以完成精密动作等。</t>
  </si>
  <si>
    <r>
      <rPr>
        <sz val="11"/>
        <color theme="1"/>
        <rFont val="宋体"/>
        <charset val="134"/>
        <scheme val="minor"/>
      </rPr>
      <t>·</t>
    </r>
    <r>
      <rPr>
        <b/>
        <sz val="11"/>
        <color theme="1"/>
        <rFont val="宋体"/>
        <charset val="134"/>
        <scheme val="minor"/>
      </rPr>
      <t>反应机动</t>
    </r>
    <r>
      <rPr>
        <sz val="11"/>
        <color theme="1"/>
        <rFont val="宋体"/>
        <charset val="134"/>
        <scheme val="minor"/>
      </rPr>
      <t>-1
·无法成长</t>
    </r>
    <r>
      <rPr>
        <b/>
        <sz val="11"/>
        <color rgb="FF7030A0"/>
        <rFont val="宋体"/>
        <charset val="134"/>
        <scheme val="minor"/>
      </rPr>
      <t>灵巧</t>
    </r>
    <r>
      <rPr>
        <sz val="11"/>
        <rFont val="宋体"/>
        <charset val="134"/>
        <scheme val="minor"/>
      </rPr>
      <t>相关</t>
    </r>
    <r>
      <rPr>
        <sz val="11"/>
        <color theme="1"/>
        <rFont val="宋体"/>
        <charset val="134"/>
        <scheme val="minor"/>
      </rPr>
      <t>技能</t>
    </r>
  </si>
  <si>
    <t>专注失调</t>
  </si>
  <si>
    <r>
      <rPr>
        <sz val="11"/>
        <color theme="1"/>
        <rFont val="宋体"/>
        <charset val="134"/>
        <scheme val="minor"/>
      </rPr>
      <t>无法进行</t>
    </r>
    <r>
      <rPr>
        <b/>
        <sz val="11"/>
        <color rgb="FF7030A0"/>
        <rFont val="宋体"/>
        <charset val="134"/>
        <scheme val="minor"/>
      </rPr>
      <t>反应动作</t>
    </r>
    <r>
      <rPr>
        <sz val="11"/>
        <color theme="1"/>
        <rFont val="宋体"/>
        <charset val="134"/>
        <scheme val="minor"/>
      </rPr>
      <t>，持续至自身的下一个回合结束。</t>
    </r>
  </si>
  <si>
    <t>肌体无力</t>
  </si>
  <si>
    <t>源石弱化了角色的肢体出力能力，令角色的行动更为软弱，难以完成高强度运动。</t>
  </si>
  <si>
    <r>
      <rPr>
        <sz val="11"/>
        <color theme="1"/>
        <rFont val="宋体"/>
        <charset val="134"/>
        <scheme val="minor"/>
      </rPr>
      <t>·</t>
    </r>
    <r>
      <rPr>
        <b/>
        <sz val="11"/>
        <color theme="1"/>
        <rFont val="宋体"/>
        <charset val="134"/>
        <scheme val="minor"/>
      </rPr>
      <t>生理耐受</t>
    </r>
    <r>
      <rPr>
        <sz val="11"/>
        <color theme="1"/>
        <rFont val="宋体"/>
        <charset val="134"/>
        <scheme val="minor"/>
      </rPr>
      <t>-1，</t>
    </r>
    <r>
      <rPr>
        <b/>
        <sz val="11"/>
        <color theme="1"/>
        <rFont val="宋体"/>
        <charset val="134"/>
        <scheme val="minor"/>
      </rPr>
      <t>物理强度</t>
    </r>
    <r>
      <rPr>
        <sz val="11"/>
        <color theme="1"/>
        <rFont val="宋体"/>
        <charset val="134"/>
        <scheme val="minor"/>
      </rPr>
      <t>-1，</t>
    </r>
    <r>
      <rPr>
        <b/>
        <sz val="11"/>
        <color theme="1"/>
        <rFont val="宋体"/>
        <charset val="134"/>
        <scheme val="minor"/>
      </rPr>
      <t>移动力</t>
    </r>
    <r>
      <rPr>
        <sz val="11"/>
        <color theme="1"/>
        <rFont val="宋体"/>
        <charset val="134"/>
        <scheme val="minor"/>
      </rPr>
      <t>-1</t>
    </r>
  </si>
  <si>
    <t>动作失衡</t>
  </si>
  <si>
    <r>
      <rPr>
        <sz val="11"/>
        <color rgb="FF000000"/>
        <rFont val="宋体"/>
        <charset val="134"/>
      </rPr>
      <t>获得</t>
    </r>
    <r>
      <rPr>
        <sz val="11"/>
        <color rgb="FF7030A0"/>
        <rFont val="宋体"/>
        <charset val="134"/>
      </rPr>
      <t>“</t>
    </r>
    <r>
      <rPr>
        <b/>
        <sz val="11"/>
        <color rgb="FF7030A0"/>
        <rFont val="宋体"/>
        <charset val="134"/>
      </rPr>
      <t>束缚</t>
    </r>
    <r>
      <rPr>
        <sz val="11"/>
        <color rgb="FF7030A0"/>
        <rFont val="宋体"/>
        <charset val="134"/>
      </rPr>
      <t>”。</t>
    </r>
  </si>
  <si>
    <t>特殊</t>
  </si>
  <si>
    <t>术能失控</t>
  </si>
  <si>
    <t>受源石影响，角色表现出了更为优秀的源石技艺适应性，但这也使得其在施术时更加难以控制自如，无法稳定的控制法术的表现，甚至在日常中也可能会不自主的对周遭环境产生影响。</t>
  </si>
  <si>
    <r>
      <rPr>
        <sz val="11"/>
        <color theme="1"/>
        <rFont val="宋体"/>
        <charset val="134"/>
        <scheme val="minor"/>
      </rPr>
      <t>·</t>
    </r>
    <r>
      <rPr>
        <b/>
        <sz val="11"/>
        <color theme="1"/>
        <rFont val="宋体"/>
        <charset val="134"/>
        <scheme val="minor"/>
      </rPr>
      <t>源石技艺适应性</t>
    </r>
    <r>
      <rPr>
        <sz val="11"/>
        <color theme="1"/>
        <rFont val="宋体"/>
        <charset val="134"/>
        <scheme val="minor"/>
      </rPr>
      <t>+2，进行</t>
    </r>
    <r>
      <rPr>
        <b/>
        <sz val="11"/>
        <color rgb="FF7030A0"/>
        <rFont val="宋体"/>
        <charset val="134"/>
        <scheme val="minor"/>
      </rPr>
      <t>施术</t>
    </r>
    <r>
      <rPr>
        <sz val="11"/>
        <color theme="1"/>
        <rFont val="宋体"/>
        <charset val="134"/>
        <scheme val="minor"/>
      </rPr>
      <t>时获得一个奖励骰
·进行</t>
    </r>
    <r>
      <rPr>
        <b/>
        <sz val="11"/>
        <color rgb="FF7030A0"/>
        <rFont val="宋体"/>
        <charset val="134"/>
        <scheme val="minor"/>
      </rPr>
      <t>施术</t>
    </r>
    <r>
      <rPr>
        <sz val="11"/>
        <color theme="1"/>
        <rFont val="宋体"/>
        <charset val="134"/>
        <scheme val="minor"/>
      </rPr>
      <t>时，SP消耗-20%。无法通过短休恢复SP
·每次成功的</t>
    </r>
    <r>
      <rPr>
        <b/>
        <sz val="11"/>
        <color rgb="FF7030A0"/>
        <rFont val="宋体"/>
        <charset val="134"/>
        <scheme val="minor"/>
      </rPr>
      <t>施术</t>
    </r>
    <r>
      <rPr>
        <sz val="11"/>
        <color theme="1"/>
        <rFont val="宋体"/>
        <charset val="134"/>
        <scheme val="minor"/>
      </rPr>
      <t>都会使自身增加1感染值
·进行</t>
    </r>
    <r>
      <rPr>
        <b/>
        <sz val="11"/>
        <color rgb="FF7030A0"/>
        <rFont val="宋体"/>
        <charset val="134"/>
        <scheme val="minor"/>
      </rPr>
      <t>施术</t>
    </r>
    <r>
      <rPr>
        <sz val="11"/>
        <color theme="1"/>
        <rFont val="宋体"/>
        <charset val="134"/>
        <scheme val="minor"/>
      </rPr>
      <t>且检定失败时，该源石技艺的目标改为距离你最近的单位/距离你最近的单位所在格
·</t>
    </r>
    <r>
      <rPr>
        <b/>
        <sz val="11"/>
        <color rgb="FF7030A0"/>
        <rFont val="宋体"/>
        <charset val="134"/>
        <scheme val="minor"/>
      </rPr>
      <t>施术</t>
    </r>
    <r>
      <rPr>
        <sz val="11"/>
        <color theme="1"/>
        <rFont val="宋体"/>
        <charset val="134"/>
        <scheme val="minor"/>
      </rPr>
      <t>时，若该源石技艺目标限定为敌方单位/友方单位，改为所有单位
·获得【法术外显】特质</t>
    </r>
  </si>
  <si>
    <t>法术过载</t>
  </si>
  <si>
    <r>
      <rPr>
        <sz val="11"/>
        <color theme="1"/>
        <rFont val="宋体"/>
        <charset val="134"/>
        <scheme val="minor"/>
      </rPr>
      <t>以自身为目标，进行一次</t>
    </r>
    <r>
      <rPr>
        <b/>
        <sz val="11"/>
        <color rgb="FF7030A0"/>
        <rFont val="宋体"/>
        <charset val="134"/>
      </rPr>
      <t>法术攻击</t>
    </r>
    <r>
      <rPr>
        <sz val="11"/>
        <color theme="1"/>
        <rFont val="宋体"/>
        <charset val="134"/>
        <scheme val="minor"/>
      </rPr>
      <t>。</t>
    </r>
  </si>
  <si>
    <t>异常发育</t>
  </si>
  <si>
    <t>源石影响了角色的生理发育进程，视角色个体特异性与种族差异，该特质的表现也十分多样。常见如角色停止发育，成长阶段停滞在某一个年龄段而不再成长，以及部分种族与个体所特有的尾部增生、光环偏移、角质突变等。</t>
  </si>
  <si>
    <r>
      <rPr>
        <sz val="11"/>
        <color theme="1"/>
        <rFont val="宋体"/>
        <charset val="134"/>
        <scheme val="minor"/>
      </rPr>
      <t>·</t>
    </r>
    <r>
      <rPr>
        <b/>
        <sz val="11"/>
        <color theme="1"/>
        <rFont val="宋体"/>
        <charset val="134"/>
        <scheme val="minor"/>
      </rPr>
      <t>生理耐受</t>
    </r>
    <r>
      <rPr>
        <sz val="11"/>
        <color theme="1"/>
        <rFont val="宋体"/>
        <charset val="134"/>
        <scheme val="minor"/>
      </rPr>
      <t>-1
·该感染症状可以存在额外的属性修正，由SN与PL在获得时共同讨论并决定</t>
    </r>
  </si>
  <si>
    <t>局部坏死</t>
  </si>
  <si>
    <t>元素韧性降低至1，并受到1点组织损伤。</t>
  </si>
  <si>
    <t>造血障碍</t>
  </si>
  <si>
    <t>源石深入骨髓，影响了角色的造血能力与血细胞活性。角色的伤口难以自愈，在体表出现破坏性创口后将持续流血。</t>
  </si>
  <si>
    <r>
      <rPr>
        <sz val="11"/>
        <color theme="1"/>
        <rFont val="宋体"/>
        <charset val="134"/>
        <scheme val="minor"/>
      </rPr>
      <t>·</t>
    </r>
    <r>
      <rPr>
        <b/>
        <sz val="11"/>
        <color theme="1"/>
        <rFont val="宋体"/>
        <charset val="134"/>
        <scheme val="minor"/>
      </rPr>
      <t>生理耐受</t>
    </r>
    <r>
      <rPr>
        <sz val="11"/>
        <color theme="1"/>
        <rFont val="宋体"/>
        <charset val="134"/>
        <scheme val="minor"/>
      </rPr>
      <t>-1
·每回合开始时，若自身生命值不等于生命值上限，使自身受到1d4组织损伤</t>
    </r>
  </si>
  <si>
    <t>抵抗愈合</t>
  </si>
  <si>
    <r>
      <rPr>
        <sz val="11"/>
        <color theme="1"/>
        <rFont val="宋体"/>
        <charset val="134"/>
        <scheme val="minor"/>
      </rPr>
      <t>被视为拥有</t>
    </r>
    <r>
      <rPr>
        <sz val="11"/>
        <color rgb="FF7030A0"/>
        <rFont val="宋体"/>
        <charset val="134"/>
        <scheme val="minor"/>
      </rPr>
      <t>“</t>
    </r>
    <r>
      <rPr>
        <b/>
        <sz val="11"/>
        <color rgb="FF7030A0"/>
        <rFont val="宋体"/>
        <charset val="134"/>
        <scheme val="minor"/>
      </rPr>
      <t>禁疗</t>
    </r>
    <r>
      <rPr>
        <sz val="11"/>
        <color rgb="FF7030A0"/>
        <rFont val="宋体"/>
        <charset val="134"/>
        <scheme val="minor"/>
      </rPr>
      <t>”</t>
    </r>
    <r>
      <rPr>
        <sz val="11"/>
        <color theme="1"/>
        <rFont val="宋体"/>
        <charset val="134"/>
        <scheme val="minor"/>
      </rPr>
      <t>，持续至自身的下一个回合结束。</t>
    </r>
  </si>
  <si>
    <t>免疫缺陷</t>
  </si>
  <si>
    <t>源石破坏了角色的免疫系统，使其获得了免疫能力缺陷的症状。因免疫能力的缺失，角色更易受到外界环境的影响，不管是促进愈合的法术，还是破坏活性的攻击。</t>
  </si>
  <si>
    <r>
      <rPr>
        <sz val="11"/>
        <color theme="1"/>
        <rFont val="宋体"/>
        <charset val="134"/>
        <scheme val="minor"/>
      </rPr>
      <t>·</t>
    </r>
    <r>
      <rPr>
        <b/>
        <sz val="11"/>
        <color theme="1"/>
        <rFont val="宋体"/>
        <charset val="134"/>
        <scheme val="minor"/>
      </rPr>
      <t>元素韧性</t>
    </r>
    <r>
      <rPr>
        <sz val="11"/>
        <color theme="1"/>
        <rFont val="宋体"/>
        <charset val="134"/>
        <scheme val="minor"/>
      </rPr>
      <t>上限-3，</t>
    </r>
    <r>
      <rPr>
        <b/>
        <sz val="11"/>
        <color theme="1"/>
        <rFont val="宋体"/>
        <charset val="134"/>
        <scheme val="minor"/>
      </rPr>
      <t>生理耐受</t>
    </r>
    <r>
      <rPr>
        <sz val="11"/>
        <color theme="1"/>
        <rFont val="宋体"/>
        <charset val="134"/>
        <scheme val="minor"/>
      </rPr>
      <t>-1
·触发元素损伤爆发效果后，获得</t>
    </r>
    <r>
      <rPr>
        <sz val="11"/>
        <color rgb="FF7030A0"/>
        <rFont val="宋体"/>
        <charset val="134"/>
        <scheme val="minor"/>
      </rPr>
      <t>“</t>
    </r>
    <r>
      <rPr>
        <b/>
        <sz val="11"/>
        <color rgb="FF7030A0"/>
        <rFont val="宋体"/>
        <charset val="134"/>
        <scheme val="minor"/>
      </rPr>
      <t>亲和</t>
    </r>
    <r>
      <rPr>
        <sz val="11"/>
        <color rgb="FF7030A0"/>
        <rFont val="宋体"/>
        <charset val="134"/>
        <scheme val="minor"/>
      </rPr>
      <t>”</t>
    </r>
  </si>
  <si>
    <t>排异反应</t>
  </si>
  <si>
    <r>
      <rPr>
        <sz val="11"/>
        <color theme="1"/>
        <rFont val="宋体"/>
        <charset val="134"/>
        <scheme val="minor"/>
      </rPr>
      <t>使自身的</t>
    </r>
    <r>
      <rPr>
        <b/>
        <sz val="11"/>
        <rFont val="宋体"/>
        <charset val="134"/>
        <scheme val="minor"/>
      </rPr>
      <t>元素韧性</t>
    </r>
    <r>
      <rPr>
        <sz val="11"/>
        <color theme="1"/>
        <rFont val="宋体"/>
        <charset val="134"/>
        <scheme val="minor"/>
      </rPr>
      <t>变为1。</t>
    </r>
  </si>
  <si>
    <t>早期感染阻断疗程</t>
  </si>
  <si>
    <t>深度感染阻断疗程</t>
  </si>
  <si>
    <t>结晶活性衰减疗程</t>
  </si>
  <si>
    <t>结晶活性抑制疗程</t>
  </si>
  <si>
    <t>特质点</t>
  </si>
  <si>
    <t>战斗技能</t>
  </si>
  <si>
    <t>非战斗技能</t>
  </si>
  <si>
    <t>体重</t>
  </si>
  <si>
    <t>适应性</t>
  </si>
  <si>
    <t>察觉</t>
  </si>
  <si>
    <t>等级</t>
  </si>
  <si>
    <t>生命值上限</t>
  </si>
  <si>
    <t>快捷录入栏</t>
  </si>
  <si>
    <t>战斗数据</t>
  </si>
  <si>
    <t>技力上限</t>
  </si>
  <si>
    <t>耐力</t>
  </si>
  <si>
    <t>附录</t>
  </si>
  <si>
    <t>HP</t>
  </si>
  <si>
    <t>SP</t>
  </si>
  <si>
    <t>APP</t>
  </si>
  <si>
    <t>物抗</t>
  </si>
  <si>
    <t>法抗</t>
  </si>
  <si>
    <t>速度</t>
  </si>
  <si>
    <t>体质</t>
  </si>
  <si>
    <t>灵感</t>
  </si>
  <si>
    <t>意志</t>
  </si>
  <si>
    <t>魅力</t>
  </si>
  <si>
    <t>2025.12.31</t>
  </si>
  <si>
    <t>阿云：</t>
  </si>
  <si>
    <t>1.特质表变为半自动填卡，区分特质与修正因子</t>
  </si>
  <si>
    <r>
      <rPr>
        <sz val="11"/>
        <color theme="1"/>
        <rFont val="宋体"/>
        <charset val="134"/>
        <scheme val="minor"/>
      </rPr>
      <t>2.新增"</t>
    </r>
    <r>
      <rPr>
        <i/>
        <sz val="11"/>
        <color theme="1"/>
        <rFont val="宋体"/>
        <charset val="134"/>
        <scheme val="minor"/>
      </rPr>
      <t>次要特质表</t>
    </r>
    <r>
      <rPr>
        <sz val="11"/>
        <color theme="1"/>
        <rFont val="宋体"/>
        <charset val="134"/>
        <scheme val="minor"/>
      </rPr>
      <t>"工作表方便查询，内容包括：特质种类、特质名称、特质描述、特质效果、点数花费</t>
    </r>
  </si>
  <si>
    <t>3.主卡开启工作表保护，需要手动填写的部分已设置为允许编辑区域</t>
  </si>
  <si>
    <t>4.主卡战斗副属性基础值由手动填写改为自动计入总值，选择对应的战斗副属性后其基础值自动+1</t>
  </si>
  <si>
    <t>5.主卡技能表新增自动检测加点上限，超出上限后会弹出提示</t>
  </si>
  <si>
    <r>
      <rPr>
        <sz val="11"/>
        <color theme="1"/>
        <rFont val="宋体"/>
        <charset val="134"/>
        <scheme val="minor"/>
      </rPr>
      <t>6.新增"</t>
    </r>
    <r>
      <rPr>
        <i/>
        <sz val="11"/>
        <color theme="1"/>
        <rFont val="宋体"/>
        <charset val="134"/>
        <scheme val="minor"/>
      </rPr>
      <t>更新日志</t>
    </r>
    <r>
      <rPr>
        <sz val="11"/>
        <color theme="1"/>
        <rFont val="宋体"/>
        <charset val="134"/>
        <scheme val="minor"/>
      </rPr>
      <t>"工作表</t>
    </r>
  </si>
  <si>
    <t>7.其他格式及兼容性调整</t>
  </si>
  <si>
    <t>2026.1.1</t>
  </si>
  <si>
    <t>1.主卡新增"成长表"区域，统计角色升级后需要手动分配的成长点</t>
  </si>
  <si>
    <t>2.主卡基础属性区域旁添加"可分配成长点"区域，调换基础属性区域中"成长"与"修正"栏的位置，方便进行属性点成长分配</t>
  </si>
  <si>
    <t>3.主卡技能表自动计算成长点</t>
  </si>
  <si>
    <t>4.特质表自动计入成长获得的特质点</t>
  </si>
  <si>
    <t>5.主卡的武器配件、防具配件、消耗品、投掷物填写自动化</t>
  </si>
  <si>
    <t>6.将特质表每部分的特质栏数增加到10栏</t>
  </si>
  <si>
    <t>7.增加了部分注释</t>
  </si>
  <si>
    <t>卡特斯（兔）</t>
  </si>
  <si>
    <t>技能名称</t>
  </si>
  <si>
    <t>技能效果</t>
  </si>
  <si>
    <t>特质描述1</t>
  </si>
  <si>
    <t>特质效果1</t>
  </si>
  <si>
    <t>特质消耗1</t>
  </si>
  <si>
    <t>特质描述2</t>
  </si>
  <si>
    <t>特质效果2</t>
  </si>
  <si>
    <t>特质消耗2</t>
  </si>
  <si>
    <t>特质描述3</t>
  </si>
  <si>
    <t>特质效果3</t>
  </si>
  <si>
    <t>特质消耗3</t>
  </si>
  <si>
    <t>特质描述4</t>
  </si>
  <si>
    <t>特质效果4</t>
  </si>
  <si>
    <t>特质消耗4</t>
  </si>
  <si>
    <t>特质描述5</t>
  </si>
  <si>
    <t>特质效果5</t>
  </si>
  <si>
    <t>特质消耗5</t>
  </si>
  <si>
    <t>特质描述6</t>
  </si>
  <si>
    <t>特质效果6</t>
  </si>
  <si>
    <t>特质消耗6</t>
  </si>
  <si>
    <t>特质描述7</t>
  </si>
  <si>
    <t>特质效果7</t>
  </si>
  <si>
    <t>特质消耗7</t>
  </si>
  <si>
    <t>特质描述8</t>
  </si>
  <si>
    <t>特质效果8</t>
  </si>
  <si>
    <t>特质消耗8</t>
  </si>
  <si>
    <t>特质描述9</t>
  </si>
  <si>
    <t>特质效果9</t>
  </si>
  <si>
    <t>特质消耗9</t>
  </si>
  <si>
    <t>特质描述10</t>
  </si>
  <si>
    <t>特质效果10</t>
  </si>
  <si>
    <t>特质消耗10</t>
  </si>
  <si>
    <t>特质描述11</t>
  </si>
  <si>
    <t>特质效果11</t>
  </si>
  <si>
    <t>特质消耗11</t>
  </si>
  <si>
    <t>特质描述12</t>
  </si>
  <si>
    <t>特质效果12</t>
  </si>
  <si>
    <t>特质消耗12</t>
  </si>
  <si>
    <t>特质描述13</t>
  </si>
  <si>
    <t>特质效果13</t>
  </si>
  <si>
    <t>特质消耗13</t>
  </si>
  <si>
    <t>特质描述14</t>
  </si>
  <si>
    <t>特质效果14</t>
  </si>
  <si>
    <t>特质消耗14</t>
  </si>
  <si>
    <t>特质描述15</t>
  </si>
  <si>
    <t>特质效果15</t>
  </si>
  <si>
    <t>特质消耗15</t>
  </si>
  <si>
    <t>特质描述16</t>
  </si>
  <si>
    <t>特质效果16</t>
  </si>
  <si>
    <t>特质消耗16</t>
  </si>
  <si>
    <t>特质描述17</t>
  </si>
  <si>
    <t>特质效果17</t>
  </si>
  <si>
    <t>特质消耗17</t>
  </si>
  <si>
    <t>特质描述18</t>
  </si>
  <si>
    <t>特质效果18</t>
  </si>
  <si>
    <t>特质消耗18</t>
  </si>
  <si>
    <t>特质描述19</t>
  </si>
  <si>
    <t>特质效果19</t>
  </si>
  <si>
    <t>特质消耗19</t>
  </si>
  <si>
    <t>特质描述20</t>
  </si>
  <si>
    <t>特质效果20</t>
  </si>
  <si>
    <t>特质消耗20</t>
  </si>
  <si>
    <t>特质描述21</t>
  </si>
  <si>
    <t>特质效果21</t>
  </si>
  <si>
    <t>特质消耗21</t>
  </si>
  <si>
    <t>特质描述22</t>
  </si>
  <si>
    <t>特质效果22</t>
  </si>
  <si>
    <t>特质消耗22</t>
  </si>
  <si>
    <t>特质描述23</t>
  </si>
  <si>
    <t>特质效果23</t>
  </si>
  <si>
    <t>特质消耗23</t>
  </si>
  <si>
    <t>特质描述24</t>
  </si>
  <si>
    <t>特质效果24</t>
  </si>
  <si>
    <t>特质消耗24</t>
  </si>
  <si>
    <t>特质描述25</t>
  </si>
  <si>
    <t>特质效果25</t>
  </si>
  <si>
    <t>特质消耗25</t>
  </si>
  <si>
    <t>特质描述26</t>
  </si>
  <si>
    <t>特质效果26</t>
  </si>
  <si>
    <t>特质消耗26</t>
  </si>
  <si>
    <t>特质描述27</t>
  </si>
  <si>
    <t>特质效果27</t>
  </si>
  <si>
    <t>特质消耗27</t>
  </si>
  <si>
    <t>特质描述28</t>
  </si>
  <si>
    <t>特质效果28</t>
  </si>
  <si>
    <t>特质消耗28</t>
  </si>
  <si>
    <t>特质描述29</t>
  </si>
  <si>
    <t>特质效果29</t>
  </si>
  <si>
    <t>特质消耗29</t>
  </si>
  <si>
    <t>特质描述30</t>
  </si>
  <si>
    <t>特质效果30</t>
  </si>
  <si>
    <t>特质消耗30</t>
  </si>
  <si>
    <t>特质描述31</t>
  </si>
  <si>
    <t>特质效果31</t>
  </si>
  <si>
    <t>特质消耗31</t>
  </si>
  <si>
    <t>特质描述32</t>
  </si>
  <si>
    <t>特质效果32</t>
  </si>
  <si>
    <t>特质消耗32</t>
  </si>
  <si>
    <t>特质描述33</t>
  </si>
  <si>
    <t>特质效果33</t>
  </si>
  <si>
    <t>特质消耗33</t>
  </si>
  <si>
    <t>特质描述34</t>
  </si>
  <si>
    <t>特质效果34</t>
  </si>
  <si>
    <t>特质消耗34</t>
  </si>
  <si>
    <t>特质描述35</t>
  </si>
  <si>
    <t>特质效果35</t>
  </si>
  <si>
    <t>特质消耗35</t>
  </si>
  <si>
    <t>特质描述36</t>
  </si>
  <si>
    <t>特质效果36</t>
  </si>
  <si>
    <t>特质消耗36</t>
  </si>
  <si>
    <t>特质描述37</t>
  </si>
  <si>
    <t>特质效果37</t>
  </si>
  <si>
    <t>特质消耗37</t>
  </si>
  <si>
    <t>特质描述38</t>
  </si>
  <si>
    <t>特质效果38</t>
  </si>
  <si>
    <t>特质消耗38</t>
  </si>
  <si>
    <t>特质描述39</t>
  </si>
  <si>
    <t>特质效果39</t>
  </si>
  <si>
    <t>特质消耗39</t>
  </si>
  <si>
    <t>特质描述40</t>
  </si>
  <si>
    <t>特质效果40</t>
  </si>
  <si>
    <t>特质消耗40</t>
  </si>
  <si>
    <t>特质描述41</t>
  </si>
  <si>
    <t>特质效果41</t>
  </si>
  <si>
    <t>特质消耗41</t>
  </si>
  <si>
    <t>特质描述42</t>
  </si>
  <si>
    <t>特质效果42</t>
  </si>
  <si>
    <t>特质消耗42</t>
  </si>
  <si>
    <t>特质描述43</t>
  </si>
  <si>
    <t>特质效果43</t>
  </si>
  <si>
    <t>特质消耗43</t>
  </si>
  <si>
    <t>特质描述44</t>
  </si>
  <si>
    <t>特质效果44</t>
  </si>
  <si>
    <t>特质消耗44</t>
  </si>
  <si>
    <t>特质描述45</t>
  </si>
  <si>
    <t>特质效果45</t>
  </si>
  <si>
    <t>特质消耗45</t>
  </si>
  <si>
    <t>特质描述46</t>
  </si>
  <si>
    <t>特质效果46</t>
  </si>
  <si>
    <t>特质消耗46</t>
  </si>
  <si>
    <t>特质描述47</t>
  </si>
  <si>
    <t>特质效果47</t>
  </si>
  <si>
    <t>特质消耗47</t>
  </si>
  <si>
    <t>特质描述48</t>
  </si>
  <si>
    <t>特质效果48</t>
  </si>
  <si>
    <t>特质消耗48</t>
  </si>
  <si>
    <t>特质描述49</t>
  </si>
  <si>
    <t>特质效果49</t>
  </si>
  <si>
    <t>特质消耗49</t>
  </si>
  <si>
    <t>特质描述50</t>
  </si>
  <si>
    <t>特质效果50</t>
  </si>
  <si>
    <t>特质消耗50</t>
  </si>
  <si>
    <t>特质描述51</t>
  </si>
  <si>
    <t>特质效果51</t>
  </si>
  <si>
    <t>特质消耗51</t>
  </si>
  <si>
    <t>特质描述52</t>
  </si>
  <si>
    <t>特质效果52</t>
  </si>
  <si>
    <t>特质消耗52</t>
  </si>
  <si>
    <t>特质描述53</t>
  </si>
  <si>
    <t>特质效果53</t>
  </si>
  <si>
    <t>特质消耗53</t>
  </si>
  <si>
    <t>特质描述54</t>
  </si>
  <si>
    <t>特质效果54</t>
  </si>
  <si>
    <t>特质消耗54</t>
  </si>
  <si>
    <t>特质描述55</t>
  </si>
  <si>
    <t>特质效果55</t>
  </si>
  <si>
    <t>特质消耗55</t>
  </si>
  <si>
    <t>特质描述56</t>
  </si>
  <si>
    <t>特质效果56</t>
  </si>
  <si>
    <t>特质消耗56</t>
  </si>
  <si>
    <t>特质描述57</t>
  </si>
  <si>
    <t>特质效果57</t>
  </si>
  <si>
    <t>特质消耗57</t>
  </si>
  <si>
    <t>特质描述58</t>
  </si>
  <si>
    <t>特质效果58</t>
  </si>
  <si>
    <t>特质消耗58</t>
  </si>
  <si>
    <t>特质描述59</t>
  </si>
  <si>
    <t>特质效果59</t>
  </si>
  <si>
    <t>特质消耗59</t>
  </si>
  <si>
    <t>特质描述60</t>
  </si>
  <si>
    <t>特质效果60</t>
  </si>
  <si>
    <t>特质消耗60</t>
  </si>
  <si>
    <t>特质描述61</t>
  </si>
  <si>
    <t>特质效果61</t>
  </si>
  <si>
    <t>特质消耗61</t>
  </si>
  <si>
    <t>特质描述62</t>
  </si>
  <si>
    <t>特质效果62</t>
  </si>
  <si>
    <t>特质消耗62</t>
  </si>
  <si>
    <t>特质描述63</t>
  </si>
  <si>
    <t>特质效果63</t>
  </si>
  <si>
    <t>特质消耗63</t>
  </si>
  <si>
    <t>特质描述64</t>
  </si>
  <si>
    <t>特质效果64</t>
  </si>
  <si>
    <t>特质消耗64</t>
  </si>
  <si>
    <t>特质描述65</t>
  </si>
  <si>
    <t>特质效果65</t>
  </si>
  <si>
    <t>特质消耗65</t>
  </si>
  <si>
    <t>特质描述66</t>
  </si>
  <si>
    <t>特质效果66</t>
  </si>
  <si>
    <t>特质消耗66</t>
  </si>
  <si>
    <t>实际上描述了角色在躯体上的各种缺陷，而不仅是各种疾病。这主要包括先天疾病、后天残疾、生理缺陷、伤口或疤痕等。</t>
  </si>
  <si>
    <t>特质描述67</t>
  </si>
  <si>
    <t>特质效果67</t>
  </si>
  <si>
    <t>特质消耗67</t>
  </si>
  <si>
    <t>特质描述68</t>
  </si>
  <si>
    <t>特质效果68</t>
  </si>
  <si>
    <t>特质消耗68</t>
  </si>
  <si>
    <t>特质描述69</t>
  </si>
  <si>
    <t>特质效果69</t>
  </si>
  <si>
    <t>特质消耗69</t>
  </si>
  <si>
    <t>特质描述70</t>
  </si>
  <si>
    <t>特质效果70</t>
  </si>
  <si>
    <t>特质消耗70</t>
  </si>
  <si>
    <t>特质描述71</t>
  </si>
  <si>
    <t>特质效果71</t>
  </si>
  <si>
    <t>特质消耗71</t>
  </si>
  <si>
    <t>特质描述72</t>
  </si>
  <si>
    <t>特质效果72</t>
  </si>
  <si>
    <t>特质消耗72</t>
  </si>
  <si>
    <t>特质描述73</t>
  </si>
  <si>
    <t>特质效果73</t>
  </si>
  <si>
    <t>特质消耗73</t>
  </si>
  <si>
    <t>特质描述74</t>
  </si>
  <si>
    <t>特质效果74</t>
  </si>
  <si>
    <t>特质消耗74</t>
  </si>
  <si>
    <t>特质描述75</t>
  </si>
  <si>
    <t>特质效果75</t>
  </si>
  <si>
    <t>特质消耗75</t>
  </si>
  <si>
    <t>特质描述76</t>
  </si>
  <si>
    <t>特质效果76</t>
  </si>
  <si>
    <t>特质消耗76</t>
  </si>
  <si>
    <t>特质描述77</t>
  </si>
  <si>
    <t>特质效果77</t>
  </si>
  <si>
    <t>特质消耗77</t>
  </si>
  <si>
    <t>特质描述78</t>
  </si>
  <si>
    <t>特质效果78</t>
  </si>
  <si>
    <t>特质消耗78</t>
  </si>
  <si>
    <t>特质描述79</t>
  </si>
  <si>
    <t>特质效果79</t>
  </si>
  <si>
    <t>特质消耗79</t>
  </si>
  <si>
    <t>特质描述80</t>
  </si>
  <si>
    <t>特质效果80</t>
  </si>
  <si>
    <t>特质消耗80</t>
  </si>
  <si>
    <t>特质描述81</t>
  </si>
  <si>
    <t>特质效果81</t>
  </si>
  <si>
    <t>特质消耗81</t>
  </si>
  <si>
    <t>特质描述82</t>
  </si>
  <si>
    <t>特质效果82</t>
  </si>
  <si>
    <t>特质消耗82</t>
  </si>
  <si>
    <t>特质描述83</t>
  </si>
  <si>
    <t>特质效果83</t>
  </si>
  <si>
    <t>特质消耗83</t>
  </si>
  <si>
    <t>特质描述84</t>
  </si>
  <si>
    <t>特质效果84</t>
  </si>
  <si>
    <t>特质消耗84</t>
  </si>
  <si>
    <t>特质描述85</t>
  </si>
  <si>
    <t>特质效果85</t>
  </si>
  <si>
    <t>特质消耗85</t>
  </si>
  <si>
    <t>特质描述86</t>
  </si>
  <si>
    <t>特质效果86</t>
  </si>
  <si>
    <t>特质消耗86</t>
  </si>
  <si>
    <t>特质描述87</t>
  </si>
  <si>
    <t>特质效果87</t>
  </si>
  <si>
    <t>特质消耗87</t>
  </si>
  <si>
    <t>特质描述88</t>
  </si>
  <si>
    <t>特质效果88</t>
  </si>
  <si>
    <t>特质消耗88</t>
  </si>
  <si>
    <t>特质描述89</t>
  </si>
  <si>
    <t>特质效果89</t>
  </si>
  <si>
    <t>特质消耗89</t>
  </si>
  <si>
    <t>特质描述90</t>
  </si>
  <si>
    <t>特质效果90</t>
  </si>
  <si>
    <t>特质消耗90</t>
  </si>
  <si>
    <t>特质描述91</t>
  </si>
  <si>
    <t>特质效果91</t>
  </si>
  <si>
    <t>特质消耗91</t>
  </si>
  <si>
    <t>特质描述92</t>
  </si>
  <si>
    <t>特质效果92</t>
  </si>
  <si>
    <t>特质消耗92</t>
  </si>
  <si>
    <t>特质描述93</t>
  </si>
  <si>
    <t>特质效果93</t>
  </si>
  <si>
    <t>特质消耗93</t>
  </si>
  <si>
    <t>特质描述94</t>
  </si>
  <si>
    <t>特质效果94</t>
  </si>
  <si>
    <t>特质消耗94</t>
  </si>
  <si>
    <t>特质描述95</t>
  </si>
  <si>
    <t>特质效果95</t>
  </si>
  <si>
    <t>特质消耗95</t>
  </si>
  <si>
    <t>特质描述96</t>
  </si>
  <si>
    <t>特质效果96</t>
  </si>
  <si>
    <t>特质消耗96</t>
  </si>
  <si>
    <t>特质描述97</t>
  </si>
  <si>
    <t>特质效果97</t>
  </si>
  <si>
    <t>特质消耗97</t>
  </si>
  <si>
    <t>特质描述98</t>
  </si>
  <si>
    <t>特质效果98</t>
  </si>
  <si>
    <t>特质消耗98</t>
  </si>
  <si>
    <t>特质描述99</t>
  </si>
  <si>
    <t>特质效果99</t>
  </si>
  <si>
    <t>特质消耗99</t>
  </si>
  <si>
    <t>特质描述100</t>
  </si>
  <si>
    <t>特质效果100</t>
  </si>
  <si>
    <t>特质消耗100</t>
  </si>
  <si>
    <t>特质描述101</t>
  </si>
  <si>
    <t>特质效果101</t>
  </si>
  <si>
    <t>特质消耗101</t>
  </si>
  <si>
    <t>特质描述102</t>
  </si>
  <si>
    <t>特质效果102</t>
  </si>
  <si>
    <t>特质消耗102</t>
  </si>
  <si>
    <t>特质描述103</t>
  </si>
  <si>
    <t>特质效果103</t>
  </si>
  <si>
    <t>特质消耗103</t>
  </si>
  <si>
    <t>特质描述104</t>
  </si>
  <si>
    <t>特质效果104</t>
  </si>
  <si>
    <t>特质消耗104</t>
  </si>
  <si>
    <t>特质描述105</t>
  </si>
  <si>
    <t>特质效果105</t>
  </si>
  <si>
    <t>特质消耗105</t>
  </si>
  <si>
    <t>特质描述106</t>
  </si>
  <si>
    <t>特质效果106</t>
  </si>
  <si>
    <t>特质消耗106</t>
  </si>
  <si>
    <t>特质描述107</t>
  </si>
  <si>
    <t>特质效果107</t>
  </si>
  <si>
    <t>特质消耗107</t>
  </si>
  <si>
    <t>特质描述108</t>
  </si>
  <si>
    <t>特质效果108</t>
  </si>
  <si>
    <t>特质消耗108</t>
  </si>
  <si>
    <t>特质描述109</t>
  </si>
  <si>
    <t>特质效果109</t>
  </si>
  <si>
    <t>特质消耗109</t>
  </si>
  <si>
    <t>特质描述110</t>
  </si>
  <si>
    <t>特质效果110</t>
  </si>
  <si>
    <t>特质消耗110</t>
  </si>
  <si>
    <t>特质描述111</t>
  </si>
  <si>
    <t>特质效果111</t>
  </si>
  <si>
    <t>特质消耗111</t>
  </si>
  <si>
    <t>特质描述112</t>
  </si>
  <si>
    <t>特质效果112</t>
  </si>
  <si>
    <t>特质消耗112</t>
  </si>
  <si>
    <t>特质描述113</t>
  </si>
  <si>
    <t>特质效果113</t>
  </si>
  <si>
    <t>特质消耗113</t>
  </si>
  <si>
    <t>特质描述114</t>
  </si>
  <si>
    <t>特质效果114</t>
  </si>
  <si>
    <t>特质消耗114</t>
  </si>
  <si>
    <t>特质描述115</t>
  </si>
  <si>
    <t>特质效果115</t>
  </si>
  <si>
    <t>特质消耗115</t>
  </si>
  <si>
    <t>特质描述116</t>
  </si>
  <si>
    <t>特质效果116</t>
  </si>
  <si>
    <t>特质消耗116</t>
  </si>
  <si>
    <t>特质描述117</t>
  </si>
  <si>
    <t>特质效果117</t>
  </si>
  <si>
    <t>特质消耗117</t>
  </si>
  <si>
    <t>特质描述118</t>
  </si>
  <si>
    <t>特质效果118</t>
  </si>
  <si>
    <t>特质消耗118</t>
  </si>
  <si>
    <t>特质描述119</t>
  </si>
  <si>
    <t>特质效果119</t>
  </si>
  <si>
    <t>特质消耗119</t>
  </si>
  <si>
    <t>特质描述120</t>
  </si>
  <si>
    <t>特质效果120</t>
  </si>
  <si>
    <t>特质消耗120</t>
  </si>
  <si>
    <t>特质描述121</t>
  </si>
  <si>
    <t>特质效果121</t>
  </si>
  <si>
    <t>特质消耗121</t>
  </si>
  <si>
    <t>特质描述122</t>
  </si>
  <si>
    <t>特质效果122</t>
  </si>
  <si>
    <t>特质消耗122</t>
  </si>
  <si>
    <t>特质描述123</t>
  </si>
  <si>
    <t>特质效果123</t>
  </si>
  <si>
    <t>特质消耗123</t>
  </si>
  <si>
    <t>特质描述124</t>
  </si>
  <si>
    <t>特质效果124</t>
  </si>
  <si>
    <t>特质消耗124</t>
  </si>
  <si>
    <t>特质描述125</t>
  </si>
  <si>
    <t>特质效果125</t>
  </si>
  <si>
    <t>特质消耗125</t>
  </si>
  <si>
    <t>特质描述126</t>
  </si>
  <si>
    <t>特质效果126</t>
  </si>
  <si>
    <t>特质消耗126</t>
  </si>
  <si>
    <t>特质描述127</t>
  </si>
  <si>
    <t>特质效果127</t>
  </si>
  <si>
    <t>特质消耗127</t>
  </si>
  <si>
    <t>特质描述128</t>
  </si>
  <si>
    <t>特质效果128</t>
  </si>
  <si>
    <t>特质消耗128</t>
  </si>
  <si>
    <t>特质描述129</t>
  </si>
  <si>
    <t>特质效果129</t>
  </si>
  <si>
    <t>特质消耗129</t>
  </si>
  <si>
    <t>特质描述130</t>
  </si>
  <si>
    <t>特质效果130</t>
  </si>
  <si>
    <t>特质消耗130</t>
  </si>
  <si>
    <t>特质描述131</t>
  </si>
  <si>
    <t>特质效果131</t>
  </si>
  <si>
    <t>特质消耗131</t>
  </si>
  <si>
    <t>特质描述132</t>
  </si>
  <si>
    <t>特质效果132</t>
  </si>
  <si>
    <t>特质消耗132</t>
  </si>
  <si>
    <t>特质描述133</t>
  </si>
  <si>
    <t>特质效果133</t>
  </si>
  <si>
    <t>特质消耗133</t>
  </si>
  <si>
    <t>特质描述134</t>
  </si>
  <si>
    <t>特质效果134</t>
  </si>
  <si>
    <t>特质消耗134</t>
  </si>
  <si>
    <t>特质描述135</t>
  </si>
  <si>
    <t>特质效果135</t>
  </si>
  <si>
    <t>特质消耗135</t>
  </si>
  <si>
    <t>特质描述136</t>
  </si>
  <si>
    <t>特质效果136</t>
  </si>
  <si>
    <t>特质消耗136</t>
  </si>
  <si>
    <t>特质描述137</t>
  </si>
  <si>
    <t>特质效果137</t>
  </si>
  <si>
    <t>特质消耗137</t>
  </si>
  <si>
    <t>特质描述138</t>
  </si>
  <si>
    <t>特质效果138</t>
  </si>
  <si>
    <t>特质消耗138</t>
  </si>
  <si>
    <t>特质描述139</t>
  </si>
  <si>
    <t>特质效果139</t>
  </si>
  <si>
    <t>特质消耗139</t>
  </si>
  <si>
    <t>特质描述140</t>
  </si>
  <si>
    <t>特质效果140</t>
  </si>
  <si>
    <t>特质消耗140</t>
  </si>
  <si>
    <t>特质描述141</t>
  </si>
  <si>
    <t>特质效果141</t>
  </si>
  <si>
    <t>特质消耗141</t>
  </si>
  <si>
    <t>特质描述142</t>
  </si>
  <si>
    <t>特质效果142</t>
  </si>
  <si>
    <t>特质消耗142</t>
  </si>
  <si>
    <t>特质描述143</t>
  </si>
  <si>
    <t>特质效果143</t>
  </si>
  <si>
    <t>特质消耗143</t>
  </si>
  <si>
    <t>特质描述144</t>
  </si>
  <si>
    <t>特质效果144</t>
  </si>
  <si>
    <t>特质消耗144</t>
  </si>
  <si>
    <t>特质描述145</t>
  </si>
  <si>
    <t>特质效果145</t>
  </si>
  <si>
    <t>特质消耗145</t>
  </si>
  <si>
    <t>特质描述146</t>
  </si>
  <si>
    <t>特质效果146</t>
  </si>
  <si>
    <t>特质消耗146</t>
  </si>
  <si>
    <t>特质描述147</t>
  </si>
  <si>
    <t>特质效果147</t>
  </si>
  <si>
    <t>特质消耗147</t>
  </si>
  <si>
    <t>特质描述148</t>
  </si>
  <si>
    <t>特质效果148</t>
  </si>
  <si>
    <t>特质消耗148</t>
  </si>
  <si>
    <t>特质描述149</t>
  </si>
  <si>
    <t>特质效果149</t>
  </si>
  <si>
    <t>特质消耗149</t>
  </si>
  <si>
    <t>特质描述150</t>
  </si>
  <si>
    <t>特质效果150</t>
  </si>
  <si>
    <t>特质消耗150</t>
  </si>
  <si>
    <t>特质描述151</t>
  </si>
  <si>
    <t>特质效果151</t>
  </si>
  <si>
    <t>特质消耗151</t>
  </si>
  <si>
    <t>特质描述152</t>
  </si>
  <si>
    <t>特质效果152</t>
  </si>
  <si>
    <t>特质消耗152</t>
  </si>
  <si>
    <t>特质描述153</t>
  </si>
  <si>
    <t>特质效果153</t>
  </si>
  <si>
    <t>特质消耗153</t>
  </si>
  <si>
    <t>特质描述154</t>
  </si>
  <si>
    <t>特质效果154</t>
  </si>
  <si>
    <t>特质消耗154</t>
  </si>
  <si>
    <t>特质描述155</t>
  </si>
  <si>
    <t>特质效果155</t>
  </si>
  <si>
    <t>特质消耗155</t>
  </si>
  <si>
    <t>特质描述156</t>
  </si>
  <si>
    <t>特质效果156</t>
  </si>
  <si>
    <t>特质消耗156</t>
  </si>
  <si>
    <t>特质描述157</t>
  </si>
  <si>
    <t>特质效果157</t>
  </si>
  <si>
    <t>特质消耗157</t>
  </si>
  <si>
    <t>特质描述158</t>
  </si>
  <si>
    <t>特质效果158</t>
  </si>
  <si>
    <t>特质消耗158</t>
  </si>
  <si>
    <t>特质描述159</t>
  </si>
  <si>
    <t>特质效果159</t>
  </si>
  <si>
    <t>特质消耗159</t>
  </si>
  <si>
    <t>特质描述160</t>
  </si>
  <si>
    <t>特质效果160</t>
  </si>
  <si>
    <t>特质消耗160</t>
  </si>
  <si>
    <t>特质描述161</t>
  </si>
  <si>
    <t>特质效果161</t>
  </si>
  <si>
    <t>特质消耗161</t>
  </si>
  <si>
    <t>特质描述162</t>
  </si>
  <si>
    <t>特质效果162</t>
  </si>
  <si>
    <t>特质消耗162</t>
  </si>
  <si>
    <t>特质描述163</t>
  </si>
  <si>
    <t>特质效果163</t>
  </si>
  <si>
    <t>特质消耗163</t>
  </si>
  <si>
    <t>特质描述164</t>
  </si>
  <si>
    <t>特质效果164</t>
  </si>
  <si>
    <t>特质消耗164</t>
  </si>
  <si>
    <t>特质描述165</t>
  </si>
  <si>
    <t>特质效果165</t>
  </si>
  <si>
    <t>特质消耗165</t>
  </si>
  <si>
    <t>特质描述166</t>
  </si>
  <si>
    <t>特质效果166</t>
  </si>
  <si>
    <t>特质消耗166</t>
  </si>
  <si>
    <t>特质描述167</t>
  </si>
  <si>
    <t>特质效果167</t>
  </si>
  <si>
    <t>特质消耗167</t>
  </si>
  <si>
    <t>特质描述168</t>
  </si>
  <si>
    <t>特质效果168</t>
  </si>
  <si>
    <t>特质消耗168</t>
  </si>
  <si>
    <t>特质描述169</t>
  </si>
  <si>
    <t>特质效果169</t>
  </si>
  <si>
    <t>特质消耗169</t>
  </si>
  <si>
    <t>特质描述170</t>
  </si>
  <si>
    <t>特质效果170</t>
  </si>
  <si>
    <t>特质消耗170</t>
  </si>
  <si>
    <t>特质描述171</t>
  </si>
  <si>
    <t>特质效果171</t>
  </si>
  <si>
    <t>特质消耗171</t>
  </si>
  <si>
    <t>特质描述172</t>
  </si>
  <si>
    <t>特质效果172</t>
  </si>
  <si>
    <t>特质消耗172</t>
  </si>
  <si>
    <t>战斗技能下拉</t>
  </si>
  <si>
    <t>是</t>
  </si>
  <si>
    <t>否</t>
  </si>
  <si>
    <t>☆</t>
  </si>
  <si>
    <t>✬</t>
  </si>
  <si>
    <t>数学</t>
  </si>
  <si>
    <t>物理学</t>
  </si>
  <si>
    <t>化学</t>
  </si>
  <si>
    <t>地质地理学</t>
  </si>
  <si>
    <t>生物学</t>
  </si>
  <si>
    <t>天灾学</t>
  </si>
  <si>
    <t>前期</t>
  </si>
  <si>
    <t>中期</t>
  </si>
  <si>
    <t>晚期</t>
  </si>
  <si>
    <t>√</t>
  </si>
  <si>
    <t>选择框</t>
  </si>
  <si>
    <t>非战斗技能下拉</t>
  </si>
  <si>
    <t>法术选择栏</t>
  </si>
  <si>
    <t>▼ 咒法化形</t>
  </si>
  <si>
    <t>原力</t>
  </si>
  <si>
    <t>光明</t>
  </si>
  <si>
    <t>暗影</t>
  </si>
  <si>
    <t>▼ 塑能转换</t>
  </si>
  <si>
    <t>火焰</t>
  </si>
  <si>
    <t>电能</t>
  </si>
  <si>
    <t>气流</t>
  </si>
  <si>
    <t>▼ 塑形重构</t>
  </si>
  <si>
    <t>控水</t>
  </si>
  <si>
    <t>土石</t>
  </si>
  <si>
    <t>冰霜</t>
  </si>
  <si>
    <t>▼ 生理变化</t>
  </si>
  <si>
    <t>植物</t>
  </si>
  <si>
    <t>恢复</t>
  </si>
  <si>
    <t>●传心感知</t>
  </si>
  <si>
    <t>防具技能</t>
  </si>
  <si>
    <t>精英化阶段图标</t>
  </si>
  <si>
    <t>模组</t>
  </si>
  <si>
    <t>请选择空行后，自行插入图片！</t>
  </si>
  <si>
    <t>增长</t>
  </si>
  <si>
    <t>总量</t>
  </si>
  <si>
    <t>角色等级-技艺点对应表</t>
  </si>
  <si>
    <t>均衡身高体重</t>
  </si>
  <si>
    <t>性别</t>
  </si>
  <si>
    <t>男性</t>
  </si>
  <si>
    <t>女性</t>
  </si>
  <si>
    <t>其他</t>
  </si>
  <si>
    <t>职业库</t>
  </si>
  <si>
    <t>尖兵</t>
  </si>
  <si>
    <t>战术家</t>
  </si>
  <si>
    <t>近卫</t>
  </si>
  <si>
    <t>剑豪</t>
  </si>
  <si>
    <t>强攻手</t>
  </si>
  <si>
    <t>无畏者</t>
  </si>
  <si>
    <t>武者</t>
  </si>
  <si>
    <t>术战者</t>
  </si>
  <si>
    <t>狙击</t>
  </si>
  <si>
    <t>炮手</t>
  </si>
  <si>
    <t>神射手</t>
  </si>
  <si>
    <t>速射手</t>
  </si>
  <si>
    <t>重装</t>
  </si>
  <si>
    <t>铁卫</t>
  </si>
  <si>
    <t>守护者</t>
  </si>
  <si>
    <t>医疗</t>
  </si>
  <si>
    <t>医师</t>
  </si>
  <si>
    <t>群愈师</t>
  </si>
  <si>
    <t>行医</t>
  </si>
  <si>
    <t>辅助</t>
  </si>
  <si>
    <t>吟游者</t>
  </si>
  <si>
    <t>护佑者</t>
  </si>
  <si>
    <t>巫役</t>
  </si>
  <si>
    <t>术师</t>
  </si>
  <si>
    <t>中坚术师</t>
  </si>
  <si>
    <t>扩散术师</t>
  </si>
  <si>
    <t>本源术师</t>
  </si>
  <si>
    <t>特种</t>
  </si>
  <si>
    <t>处决者</t>
  </si>
  <si>
    <t>怪杰</t>
  </si>
  <si>
    <t>非资质</t>
  </si>
  <si>
    <t>资质</t>
  </si>
  <si>
    <t>非选中</t>
  </si>
  <si>
    <t>选中</t>
  </si>
  <si>
    <t>特质类别</t>
  </si>
  <si>
    <t>躯体特质</t>
  </si>
  <si>
    <t>负面躯体特质</t>
  </si>
  <si>
    <t>精神特质</t>
  </si>
  <si>
    <t>负面精神特质</t>
  </si>
  <si>
    <t>力量基础值</t>
  </si>
  <si>
    <t>战术基础值</t>
  </si>
  <si>
    <t>敏捷基础值</t>
  </si>
  <si>
    <t>源石技艺理论基础值</t>
  </si>
  <si>
    <t>加点上限</t>
  </si>
  <si>
    <t>投掷手</t>
  </si>
  <si>
    <t>不屈者</t>
  </si>
  <si>
    <t>凝滞师</t>
  </si>
  <si>
    <t>伏击客</t>
  </si>
  <si>
    <t>VANGUARD</t>
  </si>
  <si>
    <t>GUARD</t>
  </si>
  <si>
    <t>SNIPER</t>
  </si>
  <si>
    <t>DEFENDER</t>
  </si>
  <si>
    <t>MEDIC</t>
  </si>
  <si>
    <t>SUPPORTER</t>
  </si>
  <si>
    <t>CASTER</t>
  </si>
  <si>
    <t>SPECIALIST</t>
  </si>
  <si>
    <t>攻城手</t>
  </si>
  <si>
    <t>决战者</t>
  </si>
  <si>
    <t>咒愈师</t>
  </si>
  <si>
    <t>削弱者</t>
  </si>
  <si>
    <t>傀儡师</t>
  </si>
  <si>
    <t>情报官</t>
  </si>
  <si>
    <t>收割者</t>
  </si>
  <si>
    <t>散射手</t>
  </si>
  <si>
    <t>哨戒铁卫</t>
  </si>
  <si>
    <t>疗养师</t>
  </si>
  <si>
    <t>召唤师</t>
  </si>
  <si>
    <t>秘术师</t>
  </si>
  <si>
    <t>教官</t>
  </si>
  <si>
    <t>轰击术师</t>
  </si>
  <si>
    <t>执旗手</t>
  </si>
  <si>
    <t>斗士</t>
  </si>
  <si>
    <t>要塞</t>
  </si>
  <si>
    <t>工匠</t>
  </si>
  <si>
    <t>链术师</t>
  </si>
  <si>
    <t>推击手</t>
  </si>
  <si>
    <t>链愈师</t>
  </si>
  <si>
    <t>阵法术师</t>
  </si>
  <si>
    <t>行商</t>
  </si>
  <si>
    <t>重射手</t>
  </si>
  <si>
    <t>驭法铁卫</t>
  </si>
  <si>
    <t>驭械术师</t>
  </si>
  <si>
    <t>钩索师</t>
  </si>
  <si>
    <t>猎手</t>
  </si>
  <si>
    <t>本源铁卫</t>
  </si>
  <si>
    <t>陷阱师</t>
  </si>
  <si>
    <t>解放者</t>
  </si>
  <si>
    <t>回环射手</t>
  </si>
  <si>
    <t>炼金师</t>
  </si>
  <si>
    <t>重剑手</t>
  </si>
  <si>
    <t>巡空者</t>
  </si>
  <si>
    <t>领主</t>
  </si>
  <si>
    <t>撼地者</t>
  </si>
  <si>
    <t>输出框</t>
  </si>
  <si>
    <t>角色等级</t>
  </si>
  <si>
    <t>基础HP</t>
  </si>
  <si>
    <t>成长HP</t>
  </si>
  <si>
    <t>抗性通识</t>
  </si>
  <si>
    <t>基础物抗</t>
  </si>
  <si>
    <t>成长物抗</t>
  </si>
  <si>
    <t>基础法抗</t>
  </si>
  <si>
    <t>成长法抗</t>
  </si>
  <si>
    <t>初始SP</t>
  </si>
  <si>
    <t>职业</t>
  </si>
  <si>
    <t>分支</t>
  </si>
  <si>
    <t>HP除数</t>
  </si>
  <si>
    <t>HP系数</t>
  </si>
  <si>
    <t>HP增数</t>
  </si>
  <si>
    <t>持盾系数</t>
  </si>
  <si>
    <t>护甲类型</t>
  </si>
  <si>
    <t>物抗常数</t>
  </si>
  <si>
    <t>物抗乘数</t>
  </si>
  <si>
    <t>法抗常数</t>
  </si>
  <si>
    <t>法抗乘数</t>
  </si>
  <si>
    <t>近远程</t>
  </si>
  <si>
    <t>武器适用</t>
  </si>
  <si>
    <t>生命加值</t>
  </si>
  <si>
    <t>物抗乘数修正</t>
  </si>
  <si>
    <t>法抗乘数修正</t>
  </si>
  <si>
    <t>SP回复方式</t>
  </si>
  <si>
    <t>中甲</t>
  </si>
  <si>
    <t>近战</t>
  </si>
  <si>
    <t>穿戴中甲，具有高生命值
擅长短时间内造成多次攻击的近战输出职业。</t>
  </si>
  <si>
    <t>伤害骰面为D6的近战物理武器
通常是各式轻快或双持刀剑。
能够在较近距离发动接二连三的物理攻击。</t>
  </si>
  <si>
    <t>高血量</t>
  </si>
  <si>
    <t>普通攻击或轻击命中后，回复2SP。
同一轮次内，至多以此法回复4SP。
每进入一个新的精英化阶段，该上限增加2点。</t>
  </si>
  <si>
    <t>穿戴中甲，具有高生命值
擅长对群体敌人造成伤害的近战输出职业
攻击会对攻击范围所有单位造成伤害。</t>
  </si>
  <si>
    <t>伤害骰面为D6的近战物理武器
通常是各类需要双手使用的长柄的沉重近战武器，如重斧、链锯和爆破锤。
能够在较近距离发动势大力沉的强悍物理攻击。</t>
  </si>
  <si>
    <t>你的回合结束时恢复1SP
每进入一个新的精英化阶段，额外恢复1SP
每回合的首次攻击每命中一个目标，就恢复1SP</t>
  </si>
  <si>
    <t>穿戴重甲，具有高生命值
擅长对单个目标造成大量伤害的近战输出职业。</t>
  </si>
  <si>
    <t>伤害骰面为D6的近战物理武器
通常是各式刀剑，也包括部分长兵
能够在较近距离发动兼具力量与速度的物理攻击比起其他武器，更注重使用者的躯体能力。</t>
  </si>
  <si>
    <t>你的回合结束时，恢复2SP
每进入一个新的精英化阶段，额外恢复1SP</t>
  </si>
  <si>
    <t>穿戴中甲，具有中生命值
能够在近距离造成可观的法术伤害的职业</t>
  </si>
  <si>
    <t>伤害骰面为D6的近战法术武器。术战者武器的依赖技能必然是施术类技能。
通常是各类能够同时起到施法媒介功能的近战武器，
例如带刃的法杖，或是由法术制成的刀剑
能够在近距离造成可观的法术伤害。</t>
  </si>
  <si>
    <t>中血量</t>
  </si>
  <si>
    <t>每回合结束时，回复2SP。
每进入一个新的精英化阶段，额外回复1SP</t>
  </si>
  <si>
    <t>穿戴中甲，具有高生命值
HP越低，输出能力越高的近战输出职业
同时，武者受到来自其他单位的治疗效果减半</t>
  </si>
  <si>
    <t>伤害骰面为D6的近战物理武器
通常是各类注重技巧的长刀。
能够在近距离发动有节奏的物理攻击。比起其他武器，更注重使用者的技巧和熟练度。</t>
  </si>
  <si>
    <t>每回合结束时，恢复1SP
同时，每有15点已损失HP，就额外恢复1SP，同一轮次内至多以此法回复5SP</t>
  </si>
  <si>
    <t>穿戴中甲，具有中生命值
擅长通过快速移动对敌人造成大量伤害的近战输出职业</t>
  </si>
  <si>
    <t>伤害骰面为D6的近战物理武器
通常是各类长柄武器，如长枪和戟。
能够在中等距离发动灵活的突刺，将移动与伤害合为一体。</t>
  </si>
  <si>
    <t>你的回合结束时，如果你本回合主动移动过至少3个战术格，获得4SP。
每进入一个新的阶段，获得的SP+1</t>
  </si>
  <si>
    <t>穿戴中甲，具有中生命值
擅长打断，控制关键敌人同时辅助友方角色的承伤职业</t>
  </si>
  <si>
    <t>伤害骰面为D4的近战物理武器
拥有防御技能，并且额外获得等同于防御技能值的物理抗性与法术抗性。
通常是各种灵活的单手武器，从刀剑到斧锤兼有。
使用者往往利用另一只手持握盾牌或调整平衡来抵御攻击，具有灵活的防御性能。</t>
  </si>
  <si>
    <t>你的回合结束时，获得2SP。
之后可以选择自身的最多1sp转移给另一个视野内的友方单位。每进入一个新的精英化阶段，额外获得1SP且转移上限+1</t>
  </si>
  <si>
    <t>轻甲</t>
  </si>
  <si>
    <t>远程</t>
  </si>
  <si>
    <t>穿戴轻甲，具有低生命值
擅长在范围内制造召唤物承受伤害，攻破阵线的职业</t>
  </si>
  <si>
    <t>伤害骰面为D6的远程物理武器
通常是灵活轻量的远程武器，从飞刀到弩箭皆有。
使用者往往需要利用轻便武器带来的优势，指挥召唤物协同作战。</t>
  </si>
  <si>
    <t>你的回合结束时，获得1SP，每进入一个新的精英化阶段，额外获得1SP。
如果【战术点】处在战术家的攻击范围内，额外获得1SP。</t>
  </si>
  <si>
    <t>穿戴轻甲，具有低生命值
擅长对群体敌人造成伤害的远程输出职业</t>
  </si>
  <si>
    <t>伤害骰面为D6的远程物理武器
通常是各种沉重的发射器，如重弩和榴弹炮。
能够在远距离进行火力支援，擅长破坏地形或对付成群的目标。</t>
  </si>
  <si>
    <t>低血量</t>
  </si>
  <si>
    <t>穿戴轻甲，具有低生命值
擅长远距离对关键敌人造成大量物理伤害的远程输出职业</t>
  </si>
  <si>
    <t>伤害骰面为D6的远程物理武器
通常是各种精度较高而发射频率较低的双手远程武器，如十字弩与长弓。
能够在极远距离对脆弱目标进行致命的打击。</t>
  </si>
  <si>
    <t>回合结束时，若本回合没有移动过，回复3SP。每进入一个新的精英化阶段，额外回复1SP</t>
  </si>
  <si>
    <t>穿戴轻甲，具有低生命值
擅长对敌人快速造成多次伤害的远程输出职业</t>
  </si>
  <si>
    <t>伤害骰面为D6的远程物理武器
通常是各种轻便灵活，在中近距离下火力充足的远程武器，如轻弩和短弓。
能够在中近距离发动接二连三的远程物理攻击，并灵活地与目标周旋。</t>
  </si>
  <si>
    <t>你的回合结束时，回复1SP。
攻击命中后，回复1SP。同一轮次内，至多以此法回复3/4/5点SP(精零/精一/精二)</t>
  </si>
  <si>
    <t>穿戴轻甲，具有中等生命值。
擅长恢复单体友方HP的治疗职业。</t>
  </si>
  <si>
    <t>伤害骰面为D4的远程法术武器
各种能够进行战术医疗工作的道具，如药品和用于施展恢复疗愈技艺的施法媒介。</t>
  </si>
  <si>
    <t>穿戴轻甲，具有中等生命值。
擅长对群体友方角色恢复HP的治疗职业</t>
  </si>
  <si>
    <t>伤害骰面为D4的远程法术武器
通常是用于施展大规模恢复疗愈技艺的施法媒介，并且相比于其他医疗职业，往往更加精密与沉重。</t>
  </si>
  <si>
    <t>穿戴轻甲，具有低生命值
擅长恢复友方角色HP和元素韧性的治疗职业</t>
  </si>
  <si>
    <t>伤害骰面为D4的远程法术武器
通常是用于施展灵活的恢复疗愈技艺的施法媒介，并且相比于其他医疗职业，往往更加轻便，擅长应对更加复杂的情况。</t>
  </si>
  <si>
    <t>你的回合结束时，恢复2SP；每进入一个新的精英化阶段，额外恢复1SP。
每当你为其他单位恢复元素韧性，则恢复1SP。</t>
  </si>
  <si>
    <t>擅长对范围内友方角色进行持续辅助和恢复的职业。</t>
  </si>
  <si>
    <t>通常来说是各类乐器或音乐设备，但也包括一些施法媒介。
相比于其他施法媒介，更看重使用者的支援能力。</t>
  </si>
  <si>
    <t>你的回合结束时，获得2SP。
每进入一个新的精英化阶段，获得的SP+1。</t>
  </si>
  <si>
    <t>穿戴轻甲，具有中生命值
擅长在治疗和输出双形态中切换以应对多变战场的职业</t>
  </si>
  <si>
    <t>伤害骰面为D6的远程法术武器
通常来说是各类轻便的施法媒介。
相比于其他施法媒介，更看重使用者利用法术来保护他人的能力。</t>
  </si>
  <si>
    <t>你的回合结束时，恢复1SP；每进入一个新的精英化阶段，额外恢复1SP。
每当你为其他单位施加一次【屏障】，则恢复1SP。</t>
  </si>
  <si>
    <t>穿戴轻甲，具有低生命值
擅长对敌人快速造成大量元素损伤的远程法术职业</t>
  </si>
  <si>
    <t>伤害骰面为D6的远程法术武器
通常来说是各类施法媒介，也包括一些音乐设备。
相比于其他施法媒介，更看重使用者利用法术造成元素损伤的能力。</t>
  </si>
  <si>
    <t>你的回合结束时，恢复1SP；每进入一个新的精英化阶段，额外恢复1SP。
每当你为其他单位造成一次元素损伤，则恢复1SP。</t>
  </si>
  <si>
    <t>穿戴重甲，具有高生命值
擅长以坚固的阵线保护队友的承伤职业</t>
  </si>
  <si>
    <t>伤害骰面为D4的近战物理武器
拥有防御技能，并且额外获得等同于防御技能值的物理抗性与法术抗性。
通常是各类的盾牌，以及用于辅助盾牌的轻便单手武器。
能够行之有效地抵挡物理伤害。</t>
  </si>
  <si>
    <t>你的回合结束时，回复1SP。每进入一个新的精英化阶段，额外回复1SP
受到攻击时，回复1SP</t>
  </si>
  <si>
    <t>穿戴重甲，具有高生命值
使用治疗能力维持生命值的承伤职业</t>
  </si>
  <si>
    <t>伤害骰面为D4的近战物理武器
拥有防御技能，并且额外获得等同于防御技能值的物理抗性与法师抗性。
通常是各类的盾牌，以及用于治疗的道具</t>
  </si>
  <si>
    <t>你的回合结束时，回复1SP。每进入一个新的精英化阶段，额外回复1SP。
受到或使用【治疗】时，回复1SP</t>
  </si>
  <si>
    <t>穿戴轻甲，具有高生命值
擅长对单体敌人造成法术伤害的远程输出职业</t>
  </si>
  <si>
    <t>伤害骰面为D6的远程法术武器
各类施法媒介。
相比于其他术师，更注重于对单个目标造成伤害。</t>
  </si>
  <si>
    <t>穿戴轻甲，具有高生命值
擅长对群体敌人造成大量法术伤害的远程输出职业</t>
  </si>
  <si>
    <t>伤害骰面为D6的远程法术武器
各类较为沉重与精密的施法媒介。
相比于其他术师，更注重于对成群的目标和地形造成伤害。</t>
  </si>
  <si>
    <t>穿戴轻甲，具有高生命值。
擅长对元素损伤爆发的敌人造成大量伤害的远程法术职业</t>
  </si>
  <si>
    <t>伤害骰面为D6的远程法术武器，
各类较为灵活与专业的施法媒介。
相比于其他术师，更注重于造成元素伤害，或者对元素损伤爆发的目标造成致命的伤害。</t>
  </si>
  <si>
    <t>擅长隐秘地突破阵线并寻求机会一击必杀的近战输出职业</t>
  </si>
  <si>
    <t>伤害骰面为D6的近战物理武器
各种轻便且致命的轻武器，如匕首与短刀剑。能够发挥出使用者的灵活身段，突进到脆弱的目标附近以造成爆发式的伤害。</t>
  </si>
  <si>
    <t>你的回合结束时，如果你处于【未察觉】状态，获得4SP；每进入一个新的阶段，获得的SP+1</t>
  </si>
  <si>
    <t>擅长同时对目标施加负面状态或伤害与正面状态的职业。</t>
  </si>
  <si>
    <t>伤害骰面为D4的远程物理武器
各种灵活多变的单手发射器。
能够在中近距离制造花样繁多的辅助效果，并造成补充性的物理伤害。</t>
  </si>
  <si>
    <t>每你的回合结束时，失去2HP，获得3SP；每进入一个新的阶段，失去的hp+4，获得的SP+1。</t>
  </si>
  <si>
    <t>Lv.1</t>
  </si>
  <si>
    <t>Lv.2</t>
  </si>
  <si>
    <t>Lv.3</t>
  </si>
  <si>
    <t>Lv.4</t>
  </si>
  <si>
    <t>Lv.5</t>
  </si>
  <si>
    <t>Lv.6</t>
  </si>
  <si>
    <t>Lv.7</t>
  </si>
  <si>
    <t>Lv.8</t>
  </si>
  <si>
    <t>Lv.9</t>
  </si>
  <si>
    <t>Lv.10</t>
  </si>
  <si>
    <t>Lv.11</t>
  </si>
  <si>
    <t>Lv.12</t>
  </si>
  <si>
    <t>Lv.13</t>
  </si>
  <si>
    <t>Lv.14</t>
  </si>
  <si>
    <t>Lv.15</t>
  </si>
  <si>
    <t>Lv.16</t>
  </si>
  <si>
    <t>Lv.17</t>
  </si>
  <si>
    <t>Lv.18</t>
  </si>
  <si>
    <t>Lv.19</t>
  </si>
  <si>
    <t>Lv.20</t>
  </si>
  <si>
    <t>角色天赋</t>
  </si>
  <si>
    <t>角色职业</t>
  </si>
  <si>
    <t>所有天赋</t>
  </si>
  <si>
    <t>当前天赋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</si>
</sst>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quot;主要&quot;"/>
    <numFmt numFmtId="178" formatCode="0&quot;快速&quot;"/>
    <numFmt numFmtId="179" formatCode="0&quot;SP&quot;"/>
    <numFmt numFmtId="180" formatCode="0&quot;耐力&quot;"/>
    <numFmt numFmtId="181" formatCode="0&quot;cm&quot;"/>
    <numFmt numFmtId="182" formatCode="0&quot;kg&quot;"/>
    <numFmt numFmtId="183" formatCode="0.00_ "/>
  </numFmts>
  <fonts count="199">
    <font>
      <sz val="11"/>
      <color theme="1"/>
      <name val="宋体"/>
      <charset val="134"/>
      <scheme val="minor"/>
    </font>
    <font>
      <b/>
      <sz val="18"/>
      <name val="宋体"/>
      <charset val="134"/>
      <scheme val="minor"/>
    </font>
    <font>
      <sz val="14"/>
      <color theme="1"/>
      <name val="宋体"/>
      <charset val="134"/>
      <scheme val="minor"/>
    </font>
    <font>
      <sz val="14"/>
      <color theme="1"/>
      <name val="宋体"/>
      <charset val="134"/>
    </font>
    <font>
      <b/>
      <sz val="18"/>
      <color theme="1"/>
      <name val="宋体"/>
      <charset val="134"/>
      <scheme val="minor"/>
    </font>
    <font>
      <sz val="16"/>
      <color theme="1"/>
      <name val="宋体"/>
      <charset val="134"/>
      <scheme val="minor"/>
    </font>
    <font>
      <sz val="11"/>
      <color rgb="FF000000"/>
      <name val="宋体"/>
      <charset val="134"/>
    </font>
    <font>
      <sz val="14"/>
      <color rgb="FF000000"/>
      <name val="宋体"/>
      <charset val="134"/>
    </font>
    <font>
      <sz val="11"/>
      <color theme="1"/>
      <name val="宋体"/>
      <charset val="134"/>
    </font>
    <font>
      <sz val="11"/>
      <color rgb="FF000000"/>
      <name val="等线"/>
      <charset val="134"/>
    </font>
    <font>
      <sz val="11"/>
      <name val="等线"/>
      <charset val="134"/>
    </font>
    <font>
      <b/>
      <sz val="16"/>
      <color rgb="FFFFFFFF"/>
      <name val="等线"/>
      <charset val="134"/>
    </font>
    <font>
      <sz val="8"/>
      <color rgb="FF000000"/>
      <name val="等线"/>
      <charset val="134"/>
    </font>
    <font>
      <sz val="11"/>
      <color rgb="FF000000"/>
      <name val="微软雅黑"/>
      <charset val="134"/>
    </font>
    <font>
      <sz val="11"/>
      <color theme="1"/>
      <name val="微软雅黑"/>
      <charset val="134"/>
    </font>
    <font>
      <b/>
      <sz val="11"/>
      <color theme="0"/>
      <name val="微软雅黑"/>
      <charset val="134"/>
    </font>
    <font>
      <b/>
      <sz val="11"/>
      <color theme="1"/>
      <name val="微软雅黑"/>
      <charset val="134"/>
    </font>
    <font>
      <sz val="11"/>
      <name val="宋体"/>
      <charset val="134"/>
      <scheme val="minor"/>
    </font>
    <font>
      <b/>
      <sz val="11"/>
      <color theme="1"/>
      <name val="宋体"/>
      <charset val="134"/>
      <scheme val="minor"/>
    </font>
    <font>
      <sz val="11"/>
      <color rgb="FFFFFFFF"/>
      <name val="宋体"/>
      <charset val="134"/>
      <scheme val="minor"/>
    </font>
    <font>
      <sz val="11"/>
      <name val="宋体"/>
      <charset val="134"/>
    </font>
    <font>
      <b/>
      <sz val="11"/>
      <color rgb="FFFFFFFF"/>
      <name val="微软雅黑"/>
      <charset val="134"/>
    </font>
    <font>
      <b/>
      <sz val="14"/>
      <color rgb="FF000000"/>
      <name val="宋体"/>
      <charset val="134"/>
    </font>
    <font>
      <b/>
      <sz val="16"/>
      <color theme="1"/>
      <name val="宋体"/>
      <charset val="134"/>
      <scheme val="minor"/>
    </font>
    <font>
      <b/>
      <sz val="12"/>
      <color rgb="FF000000"/>
      <name val="宋体"/>
      <charset val="134"/>
    </font>
    <font>
      <b/>
      <sz val="16"/>
      <color rgb="FF000000"/>
      <name val="宋体"/>
      <charset val="134"/>
    </font>
    <font>
      <b/>
      <sz val="11"/>
      <color rgb="FFFFFFFF"/>
      <name val="宋体"/>
      <charset val="134"/>
    </font>
    <font>
      <b/>
      <sz val="16"/>
      <color rgb="FF000000"/>
      <name val="宋体"/>
      <charset val="134"/>
      <scheme val="minor"/>
    </font>
    <font>
      <b/>
      <sz val="14"/>
      <color rgb="FF000000"/>
      <name val="宋体"/>
      <charset val="134"/>
      <scheme val="minor"/>
    </font>
    <font>
      <b/>
      <sz val="12"/>
      <color theme="1"/>
      <name val="宋体"/>
      <charset val="134"/>
      <scheme val="minor"/>
    </font>
    <font>
      <b/>
      <sz val="14"/>
      <color theme="1"/>
      <name val="宋体"/>
      <charset val="134"/>
      <scheme val="minor"/>
    </font>
    <font>
      <b/>
      <sz val="11"/>
      <color theme="0"/>
      <name val="宋体"/>
      <charset val="134"/>
      <scheme val="minor"/>
    </font>
    <font>
      <b/>
      <sz val="14"/>
      <color theme="0"/>
      <name val="等线"/>
      <charset val="134"/>
    </font>
    <font>
      <b/>
      <sz val="14"/>
      <name val="等线"/>
      <charset val="134"/>
    </font>
    <font>
      <b/>
      <sz val="11"/>
      <color rgb="FF000000"/>
      <name val="微软雅黑"/>
      <charset val="134"/>
    </font>
    <font>
      <b/>
      <sz val="12"/>
      <color rgb="FF000000"/>
      <name val="Times New Roman"/>
      <charset val="134"/>
    </font>
    <font>
      <b/>
      <sz val="14"/>
      <color rgb="FF000000"/>
      <name val="Times New Roman"/>
      <charset val="134"/>
    </font>
    <font>
      <b/>
      <sz val="11"/>
      <color rgb="FFFFFFFF"/>
      <name val="思源黑体 Heavy"/>
      <charset val="134"/>
    </font>
    <font>
      <b/>
      <sz val="11"/>
      <color rgb="FFFFFFFF"/>
      <name val="思源黑体"/>
      <charset val="134"/>
    </font>
    <font>
      <b/>
      <sz val="11"/>
      <color rgb="FF000000"/>
      <name val="思源黑体"/>
      <charset val="134"/>
    </font>
    <font>
      <b/>
      <sz val="11"/>
      <color rgb="FF000000"/>
      <name val="Times New Roman"/>
      <charset val="134"/>
    </font>
    <font>
      <b/>
      <sz val="12"/>
      <color theme="0"/>
      <name val="微软雅黑"/>
      <charset val="134"/>
    </font>
    <font>
      <sz val="11"/>
      <color rgb="FF000000"/>
      <name val="宋体"/>
      <charset val="134"/>
      <scheme val="minor"/>
    </font>
    <font>
      <sz val="11"/>
      <color rgb="FF000000"/>
      <name val="Times New Roman"/>
      <charset val="134"/>
    </font>
    <font>
      <b/>
      <sz val="10"/>
      <color rgb="FF000000"/>
      <name val="微软雅黑"/>
      <charset val="134"/>
    </font>
    <font>
      <sz val="11"/>
      <color theme="1"/>
      <name val="Times New Roman"/>
      <charset val="134"/>
    </font>
    <font>
      <b/>
      <sz val="8"/>
      <color rgb="FFFFFFFF"/>
      <name val="微软雅黑"/>
      <charset val="134"/>
    </font>
    <font>
      <b/>
      <sz val="10.5"/>
      <color rgb="FFFFFFFF"/>
      <name val="微软雅黑"/>
      <charset val="134"/>
    </font>
    <font>
      <b/>
      <sz val="12"/>
      <color rgb="FF000000"/>
      <name val="微软雅黑"/>
      <charset val="134"/>
    </font>
    <font>
      <b/>
      <sz val="10.5"/>
      <color rgb="FF000000"/>
      <name val="微软雅黑"/>
      <charset val="134"/>
    </font>
    <font>
      <b/>
      <sz val="11"/>
      <color theme="9" tint="-0.5"/>
      <name val="微软雅黑"/>
      <charset val="134"/>
    </font>
    <font>
      <b/>
      <sz val="11"/>
      <color theme="6" tint="-0.5"/>
      <name val="微软雅黑"/>
      <charset val="134"/>
    </font>
    <font>
      <b/>
      <sz val="11"/>
      <color rgb="FFC00000"/>
      <name val="微软雅黑"/>
      <charset val="134"/>
    </font>
    <font>
      <b/>
      <sz val="10.5"/>
      <color rgb="FFC00000"/>
      <name val="微软雅黑"/>
      <charset val="134"/>
    </font>
    <font>
      <b/>
      <sz val="11"/>
      <color rgb="FF840C18"/>
      <name val="微软雅黑"/>
      <charset val="134"/>
    </font>
    <font>
      <b/>
      <sz val="10.5"/>
      <color rgb="FF840C18"/>
      <name val="微软雅黑"/>
      <charset val="134"/>
    </font>
    <font>
      <b/>
      <sz val="36"/>
      <color theme="0"/>
      <name val="华文中宋"/>
      <charset val="134"/>
    </font>
    <font>
      <b/>
      <sz val="20"/>
      <color theme="0"/>
      <name val="Times New Roman"/>
      <charset val="134"/>
    </font>
    <font>
      <b/>
      <sz val="22"/>
      <color theme="0"/>
      <name val="Times New Roman"/>
      <charset val="134"/>
    </font>
    <font>
      <b/>
      <sz val="20"/>
      <color theme="0" tint="-0.15"/>
      <name val="微软雅黑"/>
      <charset val="134"/>
    </font>
    <font>
      <b/>
      <sz val="14"/>
      <name val="微软雅黑"/>
      <charset val="134"/>
    </font>
    <font>
      <b/>
      <sz val="14"/>
      <color rgb="FF000000"/>
      <name val="微软雅黑"/>
      <charset val="134"/>
    </font>
    <font>
      <sz val="14"/>
      <name val="微软雅黑"/>
      <charset val="134"/>
    </font>
    <font>
      <b/>
      <sz val="14"/>
      <color theme="0" tint="-0.15"/>
      <name val="微软雅黑"/>
      <charset val="134"/>
    </font>
    <font>
      <b/>
      <sz val="10"/>
      <color theme="0" tint="-0.15"/>
      <name val="微软雅黑"/>
      <charset val="134"/>
    </font>
    <font>
      <sz val="12"/>
      <name val="微软雅黑"/>
      <charset val="134"/>
    </font>
    <font>
      <b/>
      <sz val="16"/>
      <color theme="1"/>
      <name val="微软雅黑"/>
      <charset val="134"/>
    </font>
    <font>
      <b/>
      <sz val="12"/>
      <color rgb="FFD9D9D9"/>
      <name val="微软雅黑"/>
      <charset val="134"/>
    </font>
    <font>
      <b/>
      <sz val="12"/>
      <color theme="0" tint="-0.15"/>
      <name val="微软雅黑"/>
      <charset val="134"/>
    </font>
    <font>
      <b/>
      <sz val="11"/>
      <color theme="0" tint="-0.15"/>
      <name val="微软雅黑"/>
      <charset val="134"/>
    </font>
    <font>
      <sz val="12"/>
      <color rgb="FF000000"/>
      <name val="微软雅黑"/>
      <charset val="134"/>
    </font>
    <font>
      <sz val="11"/>
      <color theme="1" tint="0.5"/>
      <name val="微软雅黑"/>
      <charset val="134"/>
    </font>
    <font>
      <sz val="12"/>
      <color theme="1"/>
      <name val="Times New Roman"/>
      <charset val="134"/>
    </font>
    <font>
      <b/>
      <sz val="9"/>
      <color theme="1"/>
      <name val="思源黑体 Heavy"/>
      <charset val="134"/>
    </font>
    <font>
      <b/>
      <sz val="14"/>
      <color theme="0"/>
      <name val="微软雅黑"/>
      <charset val="134"/>
    </font>
    <font>
      <b/>
      <sz val="10"/>
      <color rgb="FF000000"/>
      <name val="宋体"/>
      <charset val="134"/>
      <scheme val="minor"/>
    </font>
    <font>
      <sz val="9"/>
      <color rgb="FF000000"/>
      <name val="宋体"/>
      <charset val="134"/>
    </font>
    <font>
      <b/>
      <sz val="16"/>
      <color theme="1"/>
      <name val="Times New Roman"/>
      <charset val="134"/>
    </font>
    <font>
      <b/>
      <sz val="10"/>
      <color rgb="FF000000"/>
      <name val="宋体"/>
      <charset val="134"/>
    </font>
    <font>
      <b/>
      <sz val="14"/>
      <color rgb="FFFFFFFF"/>
      <name val="微软雅黑"/>
      <charset val="134"/>
    </font>
    <font>
      <b/>
      <sz val="10"/>
      <color rgb="FF000000"/>
      <name val="Times New Roman"/>
      <charset val="134"/>
    </font>
    <font>
      <b/>
      <sz val="10"/>
      <color rgb="FFFF0000"/>
      <name val="Times New Roman"/>
      <charset val="134"/>
    </font>
    <font>
      <b/>
      <sz val="10"/>
      <name val="Times New Roman"/>
      <charset val="134"/>
    </font>
    <font>
      <b/>
      <sz val="9"/>
      <color rgb="FFFFFFFF"/>
      <name val="微软雅黑"/>
      <charset val="134"/>
    </font>
    <font>
      <sz val="9"/>
      <color theme="0" tint="-0.15"/>
      <name val="微软雅黑"/>
      <charset val="134"/>
    </font>
    <font>
      <sz val="9"/>
      <color theme="1"/>
      <name val="微软雅黑"/>
      <charset val="134"/>
    </font>
    <font>
      <b/>
      <sz val="11"/>
      <name val="微软雅黑"/>
      <charset val="134"/>
    </font>
    <font>
      <b/>
      <sz val="9"/>
      <color theme="0"/>
      <name val="微软雅黑"/>
      <charset val="134"/>
    </font>
    <font>
      <b/>
      <sz val="8"/>
      <color theme="0"/>
      <name val="微软雅黑"/>
      <charset val="134"/>
    </font>
    <font>
      <b/>
      <sz val="9"/>
      <color theme="1"/>
      <name val="微软雅黑"/>
      <charset val="134"/>
    </font>
    <font>
      <b/>
      <sz val="9"/>
      <color rgb="FF494529"/>
      <name val="微软雅黑"/>
      <charset val="134"/>
    </font>
    <font>
      <sz val="10"/>
      <color theme="1"/>
      <name val="微软雅黑"/>
      <charset val="134"/>
    </font>
    <font>
      <b/>
      <sz val="9"/>
      <color rgb="FF000000"/>
      <name val="Times New Roman"/>
      <charset val="134"/>
    </font>
    <font>
      <b/>
      <sz val="28"/>
      <color theme="0"/>
      <name val="Lato"/>
      <charset val="134"/>
    </font>
    <font>
      <b/>
      <sz val="9"/>
      <color theme="9" tint="-0.5"/>
      <name val="微软雅黑"/>
      <charset val="134"/>
    </font>
    <font>
      <b/>
      <sz val="10"/>
      <color theme="9" tint="-0.5"/>
      <name val="Times New Roman"/>
      <charset val="134"/>
    </font>
    <font>
      <sz val="10"/>
      <color theme="9" tint="-0.5"/>
      <name val="微软雅黑"/>
      <charset val="134"/>
    </font>
    <font>
      <b/>
      <sz val="9"/>
      <color theme="5" tint="-0.5"/>
      <name val="微软雅黑"/>
      <charset val="134"/>
    </font>
    <font>
      <b/>
      <sz val="10"/>
      <color theme="5" tint="-0.5"/>
      <name val="Times New Roman"/>
      <charset val="134"/>
    </font>
    <font>
      <sz val="10"/>
      <color theme="5" tint="-0.5"/>
      <name val="微软雅黑"/>
      <charset val="134"/>
    </font>
    <font>
      <b/>
      <sz val="9"/>
      <color theme="6" tint="-0.5"/>
      <name val="微软雅黑"/>
      <charset val="134"/>
    </font>
    <font>
      <b/>
      <sz val="10"/>
      <color theme="6" tint="-0.5"/>
      <name val="Times New Roman"/>
      <charset val="134"/>
    </font>
    <font>
      <sz val="10"/>
      <color theme="6" tint="-0.5"/>
      <name val="微软雅黑"/>
      <charset val="134"/>
    </font>
    <font>
      <b/>
      <sz val="9"/>
      <color theme="8" tint="-0.5"/>
      <name val="微软雅黑"/>
      <charset val="134"/>
    </font>
    <font>
      <b/>
      <sz val="10"/>
      <color theme="8" tint="-0.5"/>
      <name val="Times New Roman"/>
      <charset val="134"/>
    </font>
    <font>
      <sz val="10"/>
      <color theme="8" tint="-0.5"/>
      <name val="微软雅黑"/>
      <charset val="134"/>
    </font>
    <font>
      <b/>
      <sz val="12"/>
      <color theme="1" tint="0.349986266670736"/>
      <name val="Times New Roman"/>
      <charset val="134"/>
    </font>
    <font>
      <b/>
      <sz val="9"/>
      <color theme="4" tint="-0.5"/>
      <name val="微软雅黑"/>
      <charset val="134"/>
    </font>
    <font>
      <b/>
      <sz val="10"/>
      <color theme="4" tint="-0.5"/>
      <name val="Times New Roman"/>
      <charset val="134"/>
    </font>
    <font>
      <sz val="10"/>
      <color theme="4" tint="-0.5"/>
      <name val="微软雅黑"/>
      <charset val="134"/>
    </font>
    <font>
      <b/>
      <sz val="26"/>
      <color theme="0"/>
      <name val="华文中宋"/>
      <charset val="134"/>
    </font>
    <font>
      <sz val="26"/>
      <color theme="0"/>
      <name val="华文中宋"/>
      <charset val="134"/>
    </font>
    <font>
      <b/>
      <sz val="12"/>
      <color theme="0"/>
      <name val="Times New Roman"/>
      <charset val="134"/>
    </font>
    <font>
      <b/>
      <sz val="11"/>
      <color theme="1" tint="0.349986266670736"/>
      <name val="Times New Roman"/>
      <charset val="134"/>
    </font>
    <font>
      <b/>
      <sz val="9"/>
      <color theme="1"/>
      <name val="Times New Roman"/>
      <charset val="134"/>
    </font>
    <font>
      <sz val="6"/>
      <color theme="0" tint="-0.35"/>
      <name val="微软雅黑"/>
      <charset val="134"/>
    </font>
    <font>
      <b/>
      <sz val="9"/>
      <color theme="7" tint="-0.5"/>
      <name val="微软雅黑"/>
      <charset val="134"/>
    </font>
    <font>
      <b/>
      <sz val="10"/>
      <color theme="7" tint="-0.5"/>
      <name val="Times New Roman"/>
      <charset val="134"/>
    </font>
    <font>
      <sz val="10"/>
      <color theme="7" tint="-0.5"/>
      <name val="微软雅黑"/>
      <charset val="134"/>
    </font>
    <font>
      <b/>
      <sz val="9"/>
      <color theme="7" tint="-0.5"/>
      <name val="Times New Roman"/>
      <charset val="134"/>
    </font>
    <font>
      <b/>
      <sz val="16"/>
      <color theme="0"/>
      <name val="Times New Roman"/>
      <charset val="134"/>
    </font>
    <font>
      <sz val="16"/>
      <color theme="1"/>
      <name val="微软雅黑"/>
      <charset val="134"/>
    </font>
    <font>
      <sz val="8"/>
      <color rgb="FFA6A6A6"/>
      <name val="微软雅黑"/>
      <charset val="134"/>
    </font>
    <font>
      <sz val="8"/>
      <color theme="1" tint="0.35"/>
      <name val="微软雅黑"/>
      <charset val="134"/>
    </font>
    <font>
      <sz val="8"/>
      <color theme="1" tint="0.35"/>
      <name val="Times New Roman"/>
      <charset val="134"/>
    </font>
    <font>
      <b/>
      <sz val="10"/>
      <color theme="0"/>
      <name val="微软雅黑"/>
      <charset val="134"/>
    </font>
    <font>
      <sz val="8"/>
      <color theme="1"/>
      <name val="华文中宋"/>
      <charset val="134"/>
    </font>
    <font>
      <b/>
      <sz val="8"/>
      <color rgb="FF000000"/>
      <name val="Times New Roman"/>
      <charset val="134"/>
    </font>
    <font>
      <b/>
      <sz val="8"/>
      <color rgb="FF000000"/>
      <name val="微软雅黑"/>
      <charset val="134"/>
    </font>
    <font>
      <b/>
      <sz val="9"/>
      <color rgb="FF000000"/>
      <name val="微软雅黑"/>
      <charset val="134"/>
    </font>
    <font>
      <b/>
      <sz val="10"/>
      <color rgb="FFD1D1D1"/>
      <name val="微软雅黑"/>
      <charset val="134"/>
    </font>
    <font>
      <b/>
      <sz val="12"/>
      <color rgb="FFD1D1D1"/>
      <name val="微软雅黑"/>
      <charset val="134"/>
    </font>
    <font>
      <b/>
      <sz val="12"/>
      <color rgb="FF595959"/>
      <name val="微软雅黑"/>
      <charset val="134"/>
    </font>
    <font>
      <b/>
      <sz val="8"/>
      <color theme="1"/>
      <name val="微软雅黑"/>
      <charset val="134"/>
    </font>
    <font>
      <b/>
      <sz val="10"/>
      <color rgb="FFBFBFBF"/>
      <name val="思源宋体"/>
      <charset val="134"/>
    </font>
    <font>
      <sz val="9"/>
      <color theme="0" tint="-0.349986266670736"/>
      <name val="微软雅黑"/>
      <charset val="134"/>
    </font>
    <font>
      <b/>
      <sz val="9"/>
      <color rgb="FFBFBFBF"/>
      <name val="思源宋体"/>
      <charset val="134"/>
    </font>
    <font>
      <b/>
      <sz val="9"/>
      <color theme="0" tint="-0.14996795556505"/>
      <name val="微软雅黑"/>
      <charset val="134"/>
    </font>
    <font>
      <b/>
      <sz val="12"/>
      <color theme="6" tint="-0.5"/>
      <name val="Times New Roman"/>
      <charset val="134"/>
    </font>
    <font>
      <b/>
      <sz val="9"/>
      <color theme="6" tint="-0.5"/>
      <name val="Times New Roman"/>
      <charset val="134"/>
    </font>
    <font>
      <b/>
      <i/>
      <sz val="10"/>
      <color rgb="FFFFFFFF"/>
      <name val="微软雅黑"/>
      <charset val="134"/>
    </font>
    <font>
      <b/>
      <i/>
      <sz val="9"/>
      <color theme="0"/>
      <name val="微软雅黑"/>
      <charset val="134"/>
    </font>
    <font>
      <b/>
      <sz val="12"/>
      <color theme="5" tint="-0.5"/>
      <name val="Times New Roman"/>
      <charset val="134"/>
    </font>
    <font>
      <b/>
      <sz val="9"/>
      <color theme="5" tint="-0.5"/>
      <name val="Times New Roman"/>
      <charset val="134"/>
    </font>
    <font>
      <b/>
      <i/>
      <sz val="8"/>
      <color theme="0"/>
      <name val="微软雅黑"/>
      <charset val="134"/>
    </font>
    <font>
      <b/>
      <sz val="10"/>
      <color theme="1"/>
      <name val="Times New Roman"/>
      <charset val="134"/>
    </font>
    <font>
      <b/>
      <sz val="6"/>
      <color rgb="FFFFFFFF"/>
      <name val="微软雅黑"/>
      <charset val="134"/>
    </font>
    <font>
      <b/>
      <sz val="12"/>
      <color theme="4" tint="-0.5"/>
      <name val="Times New Roman"/>
      <charset val="134"/>
    </font>
    <font>
      <b/>
      <sz val="9"/>
      <color theme="4" tint="-0.5"/>
      <name val="Times New Roman"/>
      <charset val="134"/>
    </font>
    <font>
      <b/>
      <sz val="20"/>
      <name val="微软雅黑"/>
      <charset val="134"/>
    </font>
    <font>
      <b/>
      <sz val="9"/>
      <name val="微软雅黑"/>
      <charset val="134"/>
    </font>
    <font>
      <b/>
      <sz val="8"/>
      <name val="微软雅黑"/>
      <charset val="134"/>
    </font>
    <font>
      <b/>
      <sz val="10"/>
      <color theme="0"/>
      <name val="Times New Roman"/>
      <charset val="134"/>
    </font>
    <font>
      <sz val="10"/>
      <name val="微软雅黑"/>
      <charset val="134"/>
    </font>
    <font>
      <sz val="8"/>
      <color theme="1"/>
      <name val="微软雅黑"/>
      <charset val="134"/>
    </font>
    <font>
      <b/>
      <sz val="10"/>
      <color rgb="FFFFFFFF"/>
      <name val="微软雅黑"/>
      <charset val="134"/>
    </font>
    <font>
      <b/>
      <sz val="9"/>
      <color rgb="FF00B050"/>
      <name val="微软雅黑"/>
      <charset val="134"/>
    </font>
    <font>
      <b/>
      <sz val="9"/>
      <color theme="1"/>
      <name val="Arial"/>
      <charset val="134"/>
    </font>
    <font>
      <sz val="9"/>
      <color rgb="FF000000"/>
      <name val="微软雅黑"/>
      <charset val="134"/>
    </font>
    <font>
      <b/>
      <sz val="12"/>
      <color rgb="FFFFFFFF"/>
      <name val="微软雅黑"/>
      <charset val="134"/>
    </font>
    <font>
      <b/>
      <sz val="10"/>
      <color theme="1"/>
      <name val="微软雅黑"/>
      <charset val="134"/>
    </font>
    <font>
      <sz val="9"/>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7030A0"/>
      <name val="宋体"/>
      <charset val="134"/>
    </font>
    <font>
      <sz val="11"/>
      <color rgb="FF7030A0"/>
      <name val="宋体"/>
      <charset val="134"/>
      <scheme val="minor"/>
    </font>
    <font>
      <b/>
      <sz val="11"/>
      <color rgb="FF7030A0"/>
      <name val="宋体"/>
      <charset val="134"/>
      <scheme val="minor"/>
    </font>
    <font>
      <b/>
      <sz val="10.5"/>
      <color theme="1"/>
      <name val="微软雅黑"/>
      <charset val="134"/>
    </font>
    <font>
      <b/>
      <sz val="9"/>
      <color theme="8" tint="-0.5"/>
      <name val="Times New Roman"/>
      <charset val="134"/>
    </font>
    <font>
      <sz val="11"/>
      <color rgb="FF7030A0"/>
      <name val="宋体"/>
      <charset val="134"/>
    </font>
    <font>
      <b/>
      <sz val="11"/>
      <color theme="8" tint="-0.5"/>
      <name val="微软雅黑"/>
      <charset val="134"/>
    </font>
    <font>
      <b/>
      <i/>
      <sz val="11"/>
      <color theme="1"/>
      <name val="微软雅黑"/>
      <charset val="134"/>
    </font>
    <font>
      <i/>
      <sz val="11"/>
      <color theme="1"/>
      <name val="宋体"/>
      <charset val="134"/>
      <scheme val="minor"/>
    </font>
    <font>
      <sz val="11"/>
      <color rgb="FF000000"/>
      <name val="思源黑体"/>
      <charset val="134"/>
    </font>
    <font>
      <b/>
      <sz val="9"/>
      <color rgb="FF494529"/>
      <name val="Times New Roman"/>
      <charset val="134"/>
    </font>
    <font>
      <b/>
      <sz val="11"/>
      <name val="宋体"/>
      <charset val="134"/>
      <scheme val="minor"/>
    </font>
    <font>
      <b/>
      <sz val="11"/>
      <color rgb="FF000000"/>
      <name val="宋体"/>
      <charset val="134"/>
    </font>
    <font>
      <b/>
      <sz val="9"/>
      <color rgb="FF000000"/>
      <name val="宋体"/>
      <charset val="134"/>
    </font>
    <font>
      <b/>
      <i/>
      <sz val="11"/>
      <color rgb="FF000000"/>
      <name val="微软雅黑"/>
      <charset val="134"/>
    </font>
    <font>
      <b/>
      <sz val="9"/>
      <color theme="9" tint="-0.5"/>
      <name val="Times New Roman"/>
      <charset val="134"/>
    </font>
    <font>
      <b/>
      <sz val="11"/>
      <color theme="1"/>
      <name val="Arial"/>
      <charset val="134"/>
    </font>
    <font>
      <sz val="9"/>
      <name val="宋体"/>
      <charset val="134"/>
    </font>
  </fonts>
  <fills count="163">
    <fill>
      <patternFill patternType="none"/>
    </fill>
    <fill>
      <patternFill patternType="gray125"/>
    </fill>
    <fill>
      <patternFill patternType="solid">
        <fgColor rgb="FF808080"/>
        <bgColor indexed="64"/>
      </patternFill>
    </fill>
    <fill>
      <patternFill patternType="solid">
        <fgColor rgb="FFD1D1D1"/>
        <bgColor indexed="64"/>
      </patternFill>
    </fill>
    <fill>
      <patternFill patternType="solid">
        <fgColor theme="0"/>
        <bgColor indexed="64"/>
      </patternFill>
    </fill>
    <fill>
      <patternFill patternType="solid">
        <fgColor theme="1"/>
        <bgColor indexed="64"/>
      </patternFill>
    </fill>
    <fill>
      <patternFill patternType="solid">
        <fgColor theme="1" tint="0.349986266670736"/>
        <bgColor indexed="64"/>
      </patternFill>
    </fill>
    <fill>
      <patternFill patternType="solid">
        <fgColor rgb="FF7F7F7F"/>
        <bgColor indexed="64"/>
      </patternFill>
    </fill>
    <fill>
      <patternFill patternType="solid">
        <fgColor theme="4" tint="0.8"/>
        <bgColor indexed="64"/>
      </patternFill>
    </fill>
    <fill>
      <patternFill patternType="solid">
        <fgColor theme="7" tint="0.8"/>
        <bgColor indexed="64"/>
      </patternFill>
    </fill>
    <fill>
      <patternFill patternType="solid">
        <fgColor theme="8" tint="0.8"/>
        <bgColor indexed="64"/>
      </patternFill>
    </fill>
    <fill>
      <patternFill patternType="solid">
        <fgColor theme="4" tint="-0.5"/>
        <bgColor indexed="64"/>
      </patternFill>
    </fill>
    <fill>
      <patternFill patternType="solid">
        <fgColor theme="7" tint="-0.5"/>
        <bgColor indexed="64"/>
      </patternFill>
    </fill>
    <fill>
      <patternFill patternType="solid">
        <fgColor theme="8" tint="-0.5"/>
        <bgColor indexed="64"/>
      </patternFill>
    </fill>
    <fill>
      <patternFill patternType="solid">
        <fgColor rgb="FF595959"/>
        <bgColor indexed="64"/>
      </patternFill>
    </fill>
    <fill>
      <patternFill patternType="solid">
        <fgColor rgb="FFD9D9D9"/>
        <bgColor indexed="64"/>
      </patternFill>
    </fill>
    <fill>
      <patternFill patternType="solid">
        <fgColor rgb="FFD99795"/>
        <bgColor indexed="64"/>
      </patternFill>
    </fill>
    <fill>
      <patternFill patternType="solid">
        <fgColor rgb="FF92CDDC"/>
        <bgColor indexed="64"/>
      </patternFill>
    </fill>
    <fill>
      <patternFill patternType="solid">
        <fgColor rgb="FFFBC69A"/>
        <bgColor indexed="64"/>
      </patternFill>
    </fill>
    <fill>
      <patternFill patternType="solid">
        <fgColor rgb="FFBFBFBF"/>
        <bgColor indexed="64"/>
      </patternFill>
    </fill>
    <fill>
      <patternFill patternType="solid">
        <fgColor rgb="FFC2D69A"/>
        <bgColor indexed="64"/>
      </patternFill>
    </fill>
    <fill>
      <patternFill patternType="solid">
        <fgColor rgb="FFB1A0C7"/>
        <bgColor indexed="64"/>
      </patternFill>
    </fill>
    <fill>
      <patternFill patternType="solid">
        <fgColor rgb="FF95B3D7"/>
        <bgColor indexed="64"/>
      </patternFill>
    </fill>
    <fill>
      <patternFill patternType="solid">
        <fgColor rgb="FF7E7E7E"/>
        <bgColor indexed="64"/>
      </patternFill>
    </fill>
    <fill>
      <patternFill patternType="solid">
        <fgColor theme="0" tint="-0.15"/>
        <bgColor indexed="64"/>
      </patternFill>
    </fill>
    <fill>
      <patternFill patternType="solid">
        <fgColor rgb="FF000000"/>
        <bgColor indexed="64"/>
      </patternFill>
    </fill>
    <fill>
      <patternFill patternType="solid">
        <fgColor rgb="FFF2F2F2"/>
        <bgColor indexed="64"/>
      </patternFill>
    </fill>
    <fill>
      <patternFill patternType="solid">
        <fgColor rgb="FF3C5F21"/>
        <bgColor indexed="64"/>
      </patternFill>
    </fill>
    <fill>
      <patternFill patternType="solid">
        <fgColor rgb="FF861322"/>
        <bgColor indexed="64"/>
      </patternFill>
    </fill>
    <fill>
      <patternFill patternType="solid">
        <fgColor rgb="FFFADADE"/>
        <bgColor indexed="64"/>
      </patternFill>
    </fill>
    <fill>
      <patternFill patternType="solid">
        <fgColor rgb="FF757171"/>
        <bgColor indexed="64"/>
      </patternFill>
    </fill>
    <fill>
      <patternFill patternType="solid">
        <fgColor rgb="FF843E0B"/>
        <bgColor indexed="64"/>
      </patternFill>
    </fill>
    <fill>
      <patternFill patternType="solid">
        <fgColor rgb="FFFCE4D3"/>
        <bgColor indexed="64"/>
      </patternFill>
    </fill>
    <fill>
      <patternFill patternType="solid">
        <fgColor rgb="FF17605A"/>
        <bgColor indexed="64"/>
      </patternFill>
    </fill>
    <fill>
      <patternFill patternType="solid">
        <fgColor rgb="FFD2F4F2"/>
        <bgColor indexed="64"/>
      </patternFill>
    </fill>
    <fill>
      <patternFill patternType="solid">
        <fgColor rgb="FF1E366A"/>
        <bgColor indexed="64"/>
      </patternFill>
    </fill>
    <fill>
      <patternFill patternType="solid">
        <fgColor rgb="FFD9E1F4"/>
        <bgColor indexed="64"/>
      </patternFill>
    </fill>
    <fill>
      <patternFill patternType="solid">
        <fgColor theme="1" tint="0.5"/>
        <bgColor indexed="64"/>
      </patternFill>
    </fill>
    <fill>
      <patternFill patternType="solid">
        <fgColor theme="5" tint="-0.5"/>
        <bgColor indexed="64"/>
      </patternFill>
    </fill>
    <fill>
      <patternFill patternType="solid">
        <fgColor theme="5" tint="0.4"/>
        <bgColor indexed="64"/>
      </patternFill>
    </fill>
    <fill>
      <patternFill patternType="solid">
        <fgColor theme="5" tint="0.8"/>
        <bgColor indexed="64"/>
      </patternFill>
    </fill>
    <fill>
      <patternFill patternType="solid">
        <fgColor theme="6" tint="-0.5"/>
        <bgColor indexed="64"/>
      </patternFill>
    </fill>
    <fill>
      <patternFill patternType="solid">
        <fgColor theme="6" tint="0.4"/>
        <bgColor indexed="64"/>
      </patternFill>
    </fill>
    <fill>
      <patternFill patternType="solid">
        <fgColor theme="6" tint="0.8"/>
        <bgColor indexed="64"/>
      </patternFill>
    </fill>
    <fill>
      <patternFill patternType="solid">
        <fgColor theme="7" tint="-0.25"/>
        <bgColor indexed="64"/>
      </patternFill>
    </fill>
    <fill>
      <patternFill patternType="solid">
        <fgColor theme="7" tint="0.4"/>
        <bgColor indexed="64"/>
      </patternFill>
    </fill>
    <fill>
      <patternFill patternType="solid">
        <fgColor theme="2" tint="-0.5"/>
        <bgColor indexed="64"/>
      </patternFill>
    </fill>
    <fill>
      <patternFill patternType="solid">
        <fgColor theme="2" tint="-0.25"/>
        <bgColor indexed="64"/>
      </patternFill>
    </fill>
    <fill>
      <patternFill patternType="solid">
        <fgColor theme="2" tint="-0.1"/>
        <bgColor indexed="64"/>
      </patternFill>
    </fill>
    <fill>
      <patternFill patternType="solid">
        <fgColor theme="8" tint="-0.25"/>
        <bgColor indexed="64"/>
      </patternFill>
    </fill>
    <fill>
      <patternFill patternType="solid">
        <fgColor theme="8" tint="0.4"/>
        <bgColor indexed="64"/>
      </patternFill>
    </fill>
    <fill>
      <patternFill patternType="solid">
        <fgColor theme="5" tint="-0.25"/>
        <bgColor indexed="64"/>
      </patternFill>
    </fill>
    <fill>
      <patternFill patternType="solid">
        <fgColor theme="3" tint="-0.5"/>
        <bgColor indexed="64"/>
      </patternFill>
    </fill>
    <fill>
      <patternFill patternType="solid">
        <fgColor rgb="FF375623"/>
        <bgColor indexed="64"/>
      </patternFill>
    </fill>
    <fill>
      <patternFill patternType="solid">
        <fgColor rgb="FFC00000"/>
        <bgColor indexed="64"/>
      </patternFill>
    </fill>
    <fill>
      <patternFill patternType="solid">
        <fgColor theme="3" tint="0.8"/>
        <bgColor indexed="64"/>
      </patternFill>
    </fill>
    <fill>
      <patternFill patternType="solid">
        <fgColor rgb="FFE2EFDA"/>
        <bgColor indexed="64"/>
      </patternFill>
    </fill>
    <fill>
      <patternFill patternType="solid">
        <fgColor rgb="FFF3D0D0"/>
        <bgColor indexed="64"/>
      </patternFill>
    </fill>
    <fill>
      <patternFill patternType="solid">
        <fgColor rgb="FFBEBEBE"/>
        <bgColor indexed="64"/>
      </patternFill>
    </fill>
    <fill>
      <patternFill patternType="solid">
        <fgColor rgb="FFED7D31"/>
        <bgColor indexed="64"/>
      </patternFill>
    </fill>
    <fill>
      <patternFill patternType="solid">
        <fgColor rgb="FFFDF2EA"/>
        <bgColor indexed="64"/>
      </patternFill>
    </fill>
    <fill>
      <patternFill patternType="solid">
        <fgColor rgb="FFFFFFFF"/>
        <bgColor indexed="64"/>
      </patternFill>
    </fill>
    <fill>
      <patternFill patternType="solid">
        <fgColor theme="1" tint="0.35"/>
        <bgColor indexed="64"/>
      </patternFill>
    </fill>
    <fill>
      <patternFill patternType="solid">
        <fgColor theme="1" tint="0.25"/>
        <bgColor indexed="64"/>
      </patternFill>
    </fill>
    <fill>
      <patternFill patternType="solid">
        <fgColor theme="0" tint="-0.05"/>
        <bgColor indexed="64"/>
      </patternFill>
    </fill>
    <fill>
      <gradientFill degree="90">
        <stop position="0">
          <color theme="1" tint="0.35"/>
        </stop>
        <stop position="1">
          <color theme="0" tint="-0.15"/>
        </stop>
      </gradientFill>
    </fill>
    <fill>
      <gradientFill degree="90">
        <stop position="0">
          <color theme="0" tint="-0.15"/>
        </stop>
        <stop position="1">
          <color theme="1" tint="0.35"/>
        </stop>
      </gradientFill>
    </fill>
    <fill>
      <patternFill patternType="solid">
        <fgColor rgb="FFF2DCDB"/>
        <bgColor indexed="64"/>
      </patternFill>
    </fill>
    <fill>
      <patternFill patternType="solid">
        <fgColor rgb="FFC8C8C8"/>
        <bgColor indexed="64"/>
      </patternFill>
    </fill>
    <fill>
      <patternFill patternType="solid">
        <fgColor theme="5" tint="0.799951170384838"/>
        <bgColor indexed="64"/>
      </patternFill>
    </fill>
    <fill>
      <patternFill patternType="solid">
        <fgColor theme="6" tint="-0.25"/>
        <bgColor indexed="64"/>
      </patternFill>
    </fill>
    <fill>
      <patternFill patternType="solid">
        <fgColor rgb="FF963634"/>
        <bgColor indexed="64"/>
      </patternFill>
    </fill>
    <fill>
      <patternFill patternType="solid">
        <fgColor rgb="FFDA9694"/>
        <bgColor indexed="64"/>
      </patternFill>
    </fill>
    <fill>
      <patternFill patternType="solid">
        <fgColor rgb="FF60497A"/>
        <bgColor indexed="64"/>
      </patternFill>
    </fill>
    <fill>
      <patternFill patternType="solid">
        <fgColor theme="7" tint="0.799951170384838"/>
        <bgColor indexed="64"/>
      </patternFill>
    </fill>
    <fill>
      <patternFill patternType="solid">
        <fgColor theme="7" tint="0.6"/>
        <bgColor indexed="64"/>
      </patternFill>
    </fill>
    <fill>
      <patternFill patternType="solid">
        <fgColor rgb="FF31869B"/>
        <bgColor indexed="64"/>
      </patternFill>
    </fill>
    <fill>
      <patternFill patternType="solid">
        <fgColor rgb="FF215967"/>
        <bgColor indexed="64"/>
      </patternFill>
    </fill>
    <fill>
      <patternFill patternType="solid">
        <fgColor theme="8" tint="0.799951170384838"/>
        <bgColor indexed="64"/>
      </patternFill>
    </fill>
    <fill>
      <patternFill patternType="solid">
        <fgColor rgb="FFE26B0A"/>
        <bgColor indexed="64"/>
      </patternFill>
    </fill>
    <fill>
      <patternFill patternType="solid">
        <fgColor rgb="FFFABF8F"/>
        <bgColor indexed="64"/>
      </patternFill>
    </fill>
    <fill>
      <patternFill patternType="solid">
        <fgColor rgb="FF366092"/>
        <bgColor indexed="64"/>
      </patternFill>
    </fill>
    <fill>
      <patternFill patternType="solid">
        <fgColor rgb="FF76933C"/>
        <bgColor indexed="64"/>
      </patternFill>
    </fill>
    <fill>
      <patternFill patternType="solid">
        <fgColor rgb="FFC4D79B"/>
        <bgColor indexed="64"/>
      </patternFill>
    </fill>
    <fill>
      <patternFill patternType="solid">
        <fgColor theme="1"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9" tint="-0.25"/>
        <bgColor indexed="64"/>
      </patternFill>
    </fill>
    <fill>
      <patternFill patternType="solid">
        <fgColor theme="0" tint="-0.25"/>
        <bgColor indexed="64"/>
      </patternFill>
    </fill>
    <fill>
      <patternFill patternType="solid">
        <fgColor theme="1" tint="0.499984740745262"/>
        <bgColor indexed="64"/>
      </patternFill>
    </fill>
    <fill>
      <gradientFill degree="45">
        <stop position="0">
          <color theme="0" tint="-0.15"/>
        </stop>
        <stop position="1">
          <color theme="0" tint="-0.25"/>
        </stop>
      </gradientFill>
    </fill>
    <fill>
      <patternFill patternType="solid">
        <fgColor theme="6" tint="-0.249977111117893"/>
        <bgColor indexed="64"/>
      </patternFill>
    </fill>
    <fill>
      <patternFill patternType="solid">
        <fgColor theme="7" tint="-0.249977111117893"/>
        <bgColor indexed="64"/>
      </patternFill>
    </fill>
    <fill>
      <patternFill patternType="solid">
        <fgColor theme="9" tint="-0.249977111117893"/>
        <bgColor indexed="64"/>
      </patternFill>
    </fill>
    <fill>
      <gradientFill>
        <stop position="0">
          <color theme="0" tint="-0.15"/>
        </stop>
        <stop position="1">
          <color rgb="FF595959"/>
        </stop>
      </gradientFill>
    </fill>
    <fill>
      <patternFill patternType="solid">
        <fgColor theme="0" tint="-0.14996795556505"/>
        <bgColor indexed="64"/>
      </patternFill>
    </fill>
    <fill>
      <patternFill patternType="solid">
        <fgColor rgb="FF707070"/>
        <bgColor indexed="64"/>
      </patternFill>
    </fill>
    <fill>
      <gradientFill degree="45">
        <stop position="0">
          <color theme="0"/>
        </stop>
        <stop position="1">
          <color theme="5" tint="0.8"/>
        </stop>
      </gradientFill>
    </fill>
    <fill>
      <gradientFill degree="225">
        <stop position="0">
          <color theme="7" tint="0.8"/>
        </stop>
        <stop position="1">
          <color theme="0"/>
        </stop>
      </gradientFill>
    </fill>
    <fill>
      <gradientFill degree="225">
        <stop position="0">
          <color theme="8" tint="0.8"/>
        </stop>
        <stop position="1">
          <color theme="0"/>
        </stop>
      </gradientFill>
    </fill>
    <fill>
      <patternFill patternType="solid">
        <fgColor theme="5" tint="-0.499984740745262"/>
        <bgColor indexed="64"/>
      </patternFill>
    </fill>
    <fill>
      <patternFill patternType="solid">
        <fgColor rgb="FF632523"/>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9" tint="0.799951170384838"/>
        <bgColor indexed="64"/>
      </patternFill>
    </fill>
    <fill>
      <patternFill patternType="solid">
        <fgColor theme="4" tint="-0.25"/>
        <bgColor indexed="64"/>
      </patternFill>
    </fill>
    <fill>
      <patternFill patternType="solid">
        <fgColor theme="4" tint="0.799951170384838"/>
        <bgColor indexed="64"/>
      </patternFill>
    </fill>
    <fill>
      <patternFill patternType="solid">
        <fgColor theme="5" tint="0.399945066682943"/>
        <bgColor indexed="64"/>
      </patternFill>
    </fill>
    <fill>
      <patternFill patternType="solid">
        <fgColor theme="8" tint="0.399945066682943"/>
        <bgColor indexed="64"/>
      </patternFill>
    </fill>
    <fill>
      <patternFill patternType="solid">
        <fgColor theme="9" tint="0.399945066682943"/>
        <bgColor indexed="64"/>
      </patternFill>
    </fill>
    <fill>
      <patternFill patternType="solid">
        <fgColor theme="4" tint="0.4"/>
        <bgColor indexed="64"/>
      </patternFill>
    </fill>
    <fill>
      <patternFill patternType="solid">
        <fgColor theme="4" tint="0.399945066682943"/>
        <bgColor indexed="64"/>
      </patternFill>
    </fill>
    <fill>
      <patternFill patternType="solid">
        <fgColor rgb="FF404040"/>
        <bgColor indexed="64"/>
      </patternFill>
    </fill>
    <fill>
      <patternFill patternType="solid">
        <fgColor theme="6" tint="-0.499984740745262"/>
        <bgColor indexed="64"/>
      </patternFill>
    </fill>
    <fill>
      <patternFill patternType="solid">
        <fgColor theme="6" tint="0.799951170384838"/>
        <bgColor indexed="64"/>
      </patternFill>
    </fill>
    <fill>
      <patternFill patternType="solid">
        <fgColor theme="6" tint="0.399945066682943"/>
        <bgColor indexed="64"/>
      </patternFill>
    </fill>
    <fill>
      <patternFill patternType="solid">
        <fgColor theme="0" tint="-0.0499893185216834"/>
        <bgColor indexed="64"/>
      </patternFill>
    </fill>
    <fill>
      <patternFill patternType="solid">
        <fgColor theme="7" tint="-0.499984740745262"/>
        <bgColor indexed="64"/>
      </patternFill>
    </fill>
    <fill>
      <patternFill patternType="solid">
        <fgColor theme="7" tint="0.399945066682943"/>
        <bgColor indexed="64"/>
      </patternFill>
    </fill>
    <fill>
      <patternFill patternType="solid">
        <fgColor theme="0" tint="-0.249977111117893"/>
        <bgColor indexed="64"/>
      </patternFill>
    </fill>
    <fill>
      <gradientFill degree="45">
        <stop position="0">
          <color theme="0"/>
        </stop>
        <stop position="1">
          <color theme="0" tint="-0.15"/>
        </stop>
      </gradientFill>
    </fill>
    <fill>
      <patternFill patternType="solid">
        <fgColor theme="1" tint="0.14996795556505"/>
        <bgColor indexed="64"/>
      </patternFill>
    </fill>
    <fill>
      <gradientFill degree="45">
        <stop position="0">
          <color theme="0"/>
        </stop>
        <stop position="1">
          <color theme="8" tint="0.8"/>
        </stop>
      </gradientFill>
    </fill>
    <fill>
      <patternFill patternType="solid">
        <fgColor rgb="FF006450"/>
        <bgColor indexed="64"/>
      </patternFill>
    </fill>
    <fill>
      <patternFill patternType="solid">
        <fgColor rgb="FF008C70"/>
        <bgColor indexed="64"/>
      </patternFill>
    </fill>
    <fill>
      <patternFill patternType="solid">
        <fgColor rgb="FFB3DED5"/>
        <bgColor indexed="64"/>
      </patternFill>
    </fill>
    <fill>
      <patternFill patternType="solid">
        <fgColor theme="9" tint="-0.5"/>
        <bgColor indexed="64"/>
      </patternFill>
    </fill>
    <fill>
      <patternFill patternType="solid">
        <fgColor theme="9" tint="0.8"/>
        <bgColor indexed="64"/>
      </patternFill>
    </fill>
    <fill>
      <patternFill patternType="solid">
        <fgColor rgb="FF3F3F3F"/>
        <bgColor indexed="64"/>
      </patternFill>
    </fill>
    <fill>
      <gradientFill degree="45">
        <stop position="0">
          <color theme="0"/>
        </stop>
        <stop position="1">
          <color theme="0" tint="-0.25"/>
        </stop>
      </gradientFill>
    </fill>
    <fill>
      <gradientFill degree="45">
        <stop position="0">
          <color theme="0"/>
        </stop>
        <stop position="1">
          <color theme="7" tint="0.8"/>
        </stop>
      </gradient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7">
    <border>
      <left/>
      <right/>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dashed">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ck">
        <color auto="1"/>
      </left>
      <right/>
      <top/>
      <bottom/>
      <diagonal/>
    </border>
    <border>
      <left style="thick">
        <color auto="1"/>
      </left>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diagonal/>
    </border>
    <border>
      <left style="thin">
        <color rgb="FF000000"/>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right/>
      <top style="thin">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thin">
        <color rgb="FF000000"/>
      </top>
      <bottom/>
      <diagonal/>
    </border>
    <border>
      <left style="thick">
        <color auto="1"/>
      </left>
      <right style="thick">
        <color auto="1"/>
      </right>
      <top style="thick">
        <color auto="1"/>
      </top>
      <bottom style="thick">
        <color auto="1"/>
      </bottom>
      <diagonal/>
    </border>
    <border>
      <left/>
      <right style="thin">
        <color auto="1"/>
      </right>
      <top style="thick">
        <color auto="1"/>
      </top>
      <bottom style="thick">
        <color auto="1"/>
      </bottom>
      <diagonal/>
    </border>
    <border>
      <left style="thin">
        <color auto="1"/>
      </left>
      <right/>
      <top style="thick">
        <color auto="1"/>
      </top>
      <bottom style="thick">
        <color auto="1"/>
      </bottom>
      <diagonal/>
    </border>
    <border>
      <left style="thick">
        <color auto="1"/>
      </left>
      <right style="thick">
        <color auto="1"/>
      </right>
      <top/>
      <bottom style="thin">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ck">
        <color auto="1"/>
      </right>
      <top/>
      <bottom style="medium">
        <color auto="1"/>
      </bottom>
      <diagonal/>
    </border>
    <border>
      <left style="thick">
        <color auto="1"/>
      </left>
      <right style="thin">
        <color auto="1"/>
      </right>
      <top style="thick">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ck">
        <color auto="1"/>
      </right>
      <top style="medium">
        <color auto="1"/>
      </top>
      <bottom style="medium">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ck">
        <color auto="1"/>
      </bottom>
      <diagonal/>
    </border>
    <border>
      <left/>
      <right style="thin">
        <color auto="1"/>
      </right>
      <top style="medium">
        <color auto="1"/>
      </top>
      <bottom style="thick">
        <color auto="1"/>
      </bottom>
      <diagonal/>
    </border>
    <border>
      <left style="thin">
        <color auto="1"/>
      </left>
      <right style="thin">
        <color auto="1"/>
      </right>
      <top style="medium">
        <color auto="1"/>
      </top>
      <bottom style="thick">
        <color auto="1"/>
      </bottom>
      <diagonal/>
    </border>
    <border>
      <left style="thin">
        <color auto="1"/>
      </left>
      <right/>
      <top style="medium">
        <color auto="1"/>
      </top>
      <bottom style="thick">
        <color auto="1"/>
      </bottom>
      <diagonal/>
    </border>
    <border>
      <left style="thin">
        <color auto="1"/>
      </left>
      <right style="thick">
        <color auto="1"/>
      </right>
      <top style="medium">
        <color auto="1"/>
      </top>
      <bottom style="thick">
        <color auto="1"/>
      </bottom>
      <diagonal/>
    </border>
    <border>
      <left style="thick">
        <color auto="1"/>
      </left>
      <right style="thin">
        <color auto="1"/>
      </right>
      <top style="thin">
        <color auto="1"/>
      </top>
      <bottom style="thick">
        <color auto="1"/>
      </bottom>
      <diagonal/>
    </border>
    <border>
      <left style="medium">
        <color auto="1"/>
      </left>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medium">
        <color rgb="FF000000"/>
      </top>
      <bottom style="medium">
        <color rgb="FF000000"/>
      </bottom>
      <diagonal/>
    </border>
    <border>
      <left style="thick">
        <color rgb="FF000000"/>
      </left>
      <right style="medium">
        <color rgb="FF000000"/>
      </right>
      <top/>
      <bottom style="medium">
        <color rgb="FF000000"/>
      </bottom>
      <diagonal/>
    </border>
    <border>
      <left/>
      <right style="thick">
        <color rgb="FF000000"/>
      </right>
      <top/>
      <bottom style="medium">
        <color rgb="FF000000"/>
      </bottom>
      <diagonal/>
    </border>
    <border>
      <left style="thin">
        <color auto="1"/>
      </left>
      <right style="thin">
        <color auto="1"/>
      </right>
      <top style="thin">
        <color auto="1"/>
      </top>
      <bottom style="thin">
        <color rgb="FF000000"/>
      </bottom>
      <diagonal/>
    </border>
    <border>
      <left style="thin">
        <color auto="1"/>
      </left>
      <right/>
      <top style="thick">
        <color auto="1"/>
      </top>
      <bottom style="thin">
        <color auto="1"/>
      </bottom>
      <diagonal/>
    </border>
    <border>
      <left/>
      <right style="thin">
        <color auto="1"/>
      </right>
      <top style="thick">
        <color auto="1"/>
      </top>
      <bottom style="thin">
        <color auto="1"/>
      </bottom>
      <diagonal/>
    </border>
    <border>
      <left/>
      <right style="thin">
        <color auto="1"/>
      </right>
      <top style="thin">
        <color auto="1"/>
      </top>
      <bottom style="thick">
        <color auto="1"/>
      </bottom>
      <diagonal/>
    </border>
    <border>
      <left/>
      <right style="thick">
        <color auto="1"/>
      </right>
      <top/>
      <bottom/>
      <diagonal/>
    </border>
    <border>
      <left style="thin">
        <color rgb="FF000000"/>
      </left>
      <right/>
      <top style="thin">
        <color rgb="FF000000"/>
      </top>
      <bottom style="thick">
        <color rgb="FF000000"/>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bottom style="thin">
        <color auto="1"/>
      </bottom>
      <diagonal/>
    </border>
    <border>
      <left style="thick">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rgb="FF000000"/>
      </left>
      <right style="thin">
        <color rgb="FF000000"/>
      </right>
      <top style="thin">
        <color rgb="FF000000"/>
      </top>
      <bottom style="medium">
        <color rgb="FF000000"/>
      </bottom>
      <diagonal/>
    </border>
    <border>
      <left style="medium">
        <color rgb="FFED7D31"/>
      </left>
      <right style="medium">
        <color rgb="FFF7CAAC"/>
      </right>
      <top style="medium">
        <color rgb="FFED7D31"/>
      </top>
      <bottom style="medium">
        <color rgb="FFED7D31"/>
      </bottom>
      <diagonal/>
    </border>
    <border>
      <left/>
      <right/>
      <top style="medium">
        <color rgb="FFED7D31"/>
      </top>
      <bottom style="medium">
        <color rgb="FFED7D31"/>
      </bottom>
      <diagonal/>
    </border>
    <border>
      <left style="medium">
        <color rgb="FFED7D31"/>
      </left>
      <right style="medium">
        <color rgb="FFF7CAAC"/>
      </right>
      <top/>
      <bottom style="medium">
        <color rgb="FFF7CAAC"/>
      </bottom>
      <diagonal/>
    </border>
    <border>
      <left/>
      <right/>
      <top/>
      <bottom style="medium">
        <color rgb="FFF7CAAC"/>
      </bottom>
      <diagonal/>
    </border>
    <border>
      <left style="medium">
        <color theme="1"/>
      </left>
      <right/>
      <top style="medium">
        <color theme="1"/>
      </top>
      <bottom/>
      <diagonal/>
    </border>
    <border>
      <left/>
      <right/>
      <top style="medium">
        <color theme="1"/>
      </top>
      <bottom/>
      <diagonal/>
    </border>
    <border>
      <left style="medium">
        <color theme="1"/>
      </left>
      <right/>
      <top/>
      <bottom style="medium">
        <color theme="1"/>
      </bottom>
      <diagonal/>
    </border>
    <border>
      <left/>
      <right/>
      <top/>
      <bottom style="medium">
        <color theme="1"/>
      </bottom>
      <diagonal/>
    </border>
    <border>
      <left style="medium">
        <color theme="1"/>
      </left>
      <right/>
      <top/>
      <bottom/>
      <diagonal/>
    </border>
    <border>
      <left style="medium">
        <color theme="1"/>
      </left>
      <right/>
      <top style="medium">
        <color rgb="FF000000"/>
      </top>
      <bottom/>
      <diagonal/>
    </border>
    <border>
      <left style="medium">
        <color rgb="FFED7D31"/>
      </left>
      <right style="medium">
        <color rgb="FFF7CAAC"/>
      </right>
      <top/>
      <bottom style="medium">
        <color rgb="FFED7D31"/>
      </bottom>
      <diagonal/>
    </border>
    <border>
      <left/>
      <right/>
      <top/>
      <bottom style="medium">
        <color rgb="FFED7D3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style="thick">
        <color rgb="FF000000"/>
      </top>
      <bottom/>
      <diagonal/>
    </border>
    <border>
      <left style="thick">
        <color auto="1"/>
      </left>
      <right/>
      <top/>
      <bottom style="medium">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auto="1"/>
      </left>
      <right/>
      <top style="medium">
        <color rgb="FF000000"/>
      </top>
      <bottom/>
      <diagonal/>
    </border>
    <border>
      <left/>
      <right/>
      <top/>
      <bottom style="thick">
        <color rgb="FF000000"/>
      </bottom>
      <diagonal/>
    </border>
    <border>
      <left style="thick">
        <color auto="1"/>
      </left>
      <right/>
      <top/>
      <bottom style="thick">
        <color auto="1"/>
      </bottom>
      <diagonal/>
    </border>
    <border>
      <left style="medium">
        <color auto="1"/>
      </left>
      <right style="medium">
        <color rgb="FF000000"/>
      </right>
      <top style="medium">
        <color auto="1"/>
      </top>
      <bottom style="medium">
        <color rgb="FF000000"/>
      </bottom>
      <diagonal/>
    </border>
    <border>
      <left style="medium">
        <color rgb="FF000000"/>
      </left>
      <right/>
      <top style="medium">
        <color auto="1"/>
      </top>
      <bottom/>
      <diagonal/>
    </border>
    <border>
      <left/>
      <right style="medium">
        <color rgb="FF000000"/>
      </right>
      <top style="medium">
        <color auto="1"/>
      </top>
      <bottom/>
      <diagonal/>
    </border>
    <border>
      <left style="medium">
        <color rgb="FF000000"/>
      </left>
      <right style="medium">
        <color rgb="FF000000"/>
      </right>
      <top style="medium">
        <color auto="1"/>
      </top>
      <bottom style="medium">
        <color rgb="FF000000"/>
      </bottom>
      <diagonal/>
    </border>
    <border>
      <left style="medium">
        <color rgb="FF000000"/>
      </left>
      <right/>
      <top style="medium">
        <color auto="1"/>
      </top>
      <bottom style="medium">
        <color rgb="FF000000"/>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medium">
        <color rgb="FF000000"/>
      </right>
      <top style="medium">
        <color rgb="FF000000"/>
      </top>
      <bottom/>
      <diagonal/>
    </border>
    <border>
      <left style="thick">
        <color rgb="FF000000"/>
      </left>
      <right style="medium">
        <color rgb="FF000000"/>
      </right>
      <top style="medium">
        <color rgb="FF000000"/>
      </top>
      <bottom/>
      <diagonal/>
    </border>
    <border>
      <left style="medium">
        <color auto="1"/>
      </left>
      <right style="thin">
        <color rgb="FF000000"/>
      </right>
      <top style="thin">
        <color rgb="FF000000"/>
      </top>
      <bottom style="thin">
        <color rgb="FF000000"/>
      </bottom>
      <diagonal/>
    </border>
    <border>
      <left style="medium">
        <color auto="1"/>
      </left>
      <right style="medium">
        <color rgb="FF000000"/>
      </right>
      <top/>
      <bottom/>
      <diagonal/>
    </border>
    <border>
      <left style="thick">
        <color rgb="FF000000"/>
      </left>
      <right style="medium">
        <color rgb="FF000000"/>
      </right>
      <top/>
      <bottom/>
      <diagonal/>
    </border>
    <border>
      <left style="medium">
        <color auto="1"/>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medium">
        <color auto="1"/>
      </right>
      <top style="thin">
        <color rgb="FF000000"/>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right style="medium">
        <color auto="1"/>
      </right>
      <top/>
      <bottom/>
      <diagonal/>
    </border>
    <border>
      <left style="medium">
        <color auto="1"/>
      </left>
      <right style="thin">
        <color auto="1"/>
      </right>
      <top style="thin">
        <color auto="1"/>
      </top>
      <bottom style="thin">
        <color rgb="FF000000"/>
      </bottom>
      <diagonal/>
    </border>
    <border>
      <left style="thin">
        <color auto="1"/>
      </left>
      <right/>
      <top style="thin">
        <color rgb="FF000000"/>
      </top>
      <bottom style="thin">
        <color auto="1"/>
      </bottom>
      <diagonal/>
    </border>
    <border>
      <left/>
      <right/>
      <top/>
      <bottom style="medium">
        <color auto="1"/>
      </bottom>
      <diagonal/>
    </border>
    <border>
      <left style="thin">
        <color auto="1"/>
      </left>
      <right style="thin">
        <color auto="1"/>
      </right>
      <top style="thin">
        <color rgb="FF000000"/>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rgb="FF000000"/>
      </right>
      <top/>
      <bottom style="medium">
        <color rgb="FF000000"/>
      </bottom>
      <diagonal/>
    </border>
    <border>
      <left style="thin">
        <color auto="1"/>
      </left>
      <right style="thin">
        <color auto="1"/>
      </right>
      <top/>
      <bottom style="thin">
        <color rgb="FF000000"/>
      </bottom>
      <diagonal/>
    </border>
    <border>
      <left style="medium">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thin">
        <color rgb="FF000000"/>
      </bottom>
      <diagonal/>
    </border>
    <border>
      <left style="medium">
        <color auto="1"/>
      </left>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rgb="FF000000"/>
      </right>
      <top style="medium">
        <color rgb="FF000000"/>
      </top>
      <bottom style="medium">
        <color auto="1"/>
      </bottom>
      <diagonal/>
    </border>
    <border>
      <left style="medium">
        <color rgb="FF000000"/>
      </left>
      <right style="medium">
        <color rgb="FF000000"/>
      </right>
      <top style="medium">
        <color rgb="FF000000"/>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diagonal/>
    </border>
    <border>
      <left style="medium">
        <color auto="1"/>
      </left>
      <right style="thin">
        <color rgb="FF000000"/>
      </right>
      <top style="thin">
        <color rgb="FF000000"/>
      </top>
      <bottom style="medium">
        <color rgb="FF000000"/>
      </bottom>
      <diagonal/>
    </border>
    <border>
      <left style="thin">
        <color rgb="FF000000"/>
      </left>
      <right style="medium">
        <color auto="1"/>
      </right>
      <top style="thin">
        <color rgb="FF000000"/>
      </top>
      <bottom style="medium">
        <color rgb="FF000000"/>
      </bottom>
      <diagonal/>
    </border>
    <border>
      <left style="medium">
        <color auto="1"/>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auto="1"/>
      </right>
      <top style="medium">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top style="medium">
        <color auto="1"/>
      </top>
      <bottom/>
      <diagonal/>
    </border>
    <border>
      <left/>
      <right style="medium">
        <color auto="1"/>
      </right>
      <top style="medium">
        <color auto="1"/>
      </top>
      <bottom/>
      <diagonal/>
    </border>
    <border>
      <left style="thin">
        <color auto="1"/>
      </left>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medium">
        <color auto="1"/>
      </left>
      <right/>
      <top/>
      <bottom style="dashed">
        <color auto="1"/>
      </bottom>
      <diagonal/>
    </border>
    <border>
      <left/>
      <right/>
      <top/>
      <bottom style="dashed">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dashed">
        <color auto="1"/>
      </top>
      <bottom style="dashed">
        <color auto="1"/>
      </bottom>
      <diagonal/>
    </border>
    <border>
      <left/>
      <right/>
      <top style="dashed">
        <color auto="1"/>
      </top>
      <bottom style="dashed">
        <color auto="1"/>
      </bottom>
      <diagonal/>
    </border>
    <border>
      <left/>
      <right style="medium">
        <color auto="1"/>
      </right>
      <top style="dashed">
        <color auto="1"/>
      </top>
      <bottom style="dashed">
        <color auto="1"/>
      </bottom>
      <diagonal/>
    </border>
    <border>
      <left style="medium">
        <color auto="1"/>
      </left>
      <right/>
      <top/>
      <bottom style="medium">
        <color auto="1"/>
      </bottom>
      <diagonal/>
    </border>
    <border>
      <left style="thin">
        <color auto="1"/>
      </left>
      <right style="medium">
        <color auto="1"/>
      </right>
      <top/>
      <bottom style="medium">
        <color auto="1"/>
      </bottom>
      <diagonal/>
    </border>
    <border>
      <left/>
      <right style="medium">
        <color auto="1"/>
      </right>
      <top/>
      <bottom style="medium">
        <color auto="1"/>
      </bottom>
      <diagonal/>
    </border>
    <border>
      <left/>
      <right style="thick">
        <color auto="1"/>
      </right>
      <top/>
      <bottom style="medium">
        <color auto="1"/>
      </bottom>
      <diagonal/>
    </border>
    <border>
      <left/>
      <right style="thick">
        <color rgb="FF000000"/>
      </right>
      <top/>
      <bottom/>
      <diagonal/>
    </border>
    <border>
      <left style="thick">
        <color rgb="FF000000"/>
      </left>
      <right/>
      <top/>
      <bottom/>
      <diagonal/>
    </border>
    <border>
      <left style="thin">
        <color auto="1"/>
      </left>
      <right style="thick">
        <color auto="1"/>
      </right>
      <top style="thin">
        <color auto="1"/>
      </top>
      <bottom/>
      <diagonal/>
    </border>
    <border>
      <left/>
      <right style="thin">
        <color auto="1"/>
      </right>
      <top/>
      <bottom style="thick">
        <color auto="1"/>
      </bottom>
      <diagonal/>
    </border>
    <border>
      <left/>
      <right style="thick">
        <color auto="1"/>
      </right>
      <top/>
      <bottom style="thick">
        <color auto="1"/>
      </bottom>
      <diagonal/>
    </border>
    <border>
      <left/>
      <right/>
      <top/>
      <bottom style="thick">
        <color theme="1" tint="0.349986266670736"/>
      </bottom>
      <diagonal/>
    </border>
    <border>
      <left style="thick">
        <color theme="1" tint="0.349986266670736"/>
      </left>
      <right/>
      <top/>
      <bottom style="thick">
        <color theme="1" tint="0.349986266670736"/>
      </bottom>
      <diagonal/>
    </border>
    <border>
      <left style="thick">
        <color theme="1" tint="0.349986266670736"/>
      </left>
      <right style="thick">
        <color rgb="FF585858"/>
      </right>
      <top/>
      <bottom style="thick">
        <color theme="1" tint="0.349986266670736"/>
      </bottom>
      <diagonal/>
    </border>
    <border>
      <left style="thick">
        <color theme="1" tint="0.349986266670736"/>
      </left>
      <right/>
      <top style="thick">
        <color theme="1" tint="0.349986266670736"/>
      </top>
      <bottom/>
      <diagonal/>
    </border>
    <border>
      <left style="thick">
        <color theme="1" tint="0.349986266670736"/>
      </left>
      <right style="thick">
        <color theme="1" tint="0.349986266670736"/>
      </right>
      <top style="thick">
        <color theme="1" tint="0.349986266670736"/>
      </top>
      <bottom style="thick">
        <color theme="1" tint="0.349986266670736"/>
      </bottom>
      <diagonal/>
    </border>
    <border>
      <left/>
      <right/>
      <top style="thick">
        <color theme="1" tint="0.349986266670736"/>
      </top>
      <bottom style="thick">
        <color theme="1" tint="0.349986266670736"/>
      </bottom>
      <diagonal/>
    </border>
    <border>
      <left/>
      <right style="thick">
        <color theme="1" tint="0.349986266670736"/>
      </right>
      <top style="thick">
        <color theme="1" tint="0.349986266670736"/>
      </top>
      <bottom style="thick">
        <color theme="1" tint="0.349986266670736"/>
      </bottom>
      <diagonal/>
    </border>
    <border>
      <left/>
      <right style="thick">
        <color rgb="FF585858"/>
      </right>
      <top style="thick">
        <color theme="1" tint="0.349986266670736"/>
      </top>
      <bottom/>
      <diagonal/>
    </border>
    <border>
      <left/>
      <right/>
      <top/>
      <bottom style="thick">
        <color auto="1"/>
      </bottom>
      <diagonal/>
    </border>
    <border>
      <left style="thick">
        <color theme="1" tint="0.349986266670736"/>
      </left>
      <right/>
      <top/>
      <bottom/>
      <diagonal/>
    </border>
    <border>
      <left/>
      <right style="thick">
        <color rgb="FF585858"/>
      </right>
      <top/>
      <bottom/>
      <diagonal/>
    </border>
    <border>
      <left style="medium">
        <color auto="1"/>
      </left>
      <right/>
      <top style="dashed">
        <color auto="1"/>
      </top>
      <bottom style="medium">
        <color auto="1"/>
      </bottom>
      <diagonal/>
    </border>
    <border>
      <left/>
      <right/>
      <top style="dashed">
        <color auto="1"/>
      </top>
      <bottom style="medium">
        <color auto="1"/>
      </bottom>
      <diagonal/>
    </border>
    <border>
      <left/>
      <right style="medium">
        <color auto="1"/>
      </right>
      <top style="dashed">
        <color auto="1"/>
      </top>
      <bottom style="medium">
        <color auto="1"/>
      </bottom>
      <diagonal/>
    </border>
    <border>
      <left/>
      <right style="thick">
        <color rgb="FF585858"/>
      </right>
      <top/>
      <bottom style="thick">
        <color theme="1" tint="0.349986266670736"/>
      </bottom>
      <diagonal/>
    </border>
    <border>
      <left style="thick">
        <color theme="1" tint="0.349986266670736"/>
      </left>
      <right/>
      <top style="thick">
        <color theme="1" tint="0.349986266670736"/>
      </top>
      <bottom style="thick">
        <color theme="1" tint="0.349986266670736"/>
      </bottom>
      <diagonal/>
    </border>
    <border>
      <left style="thick">
        <color auto="1"/>
      </left>
      <right/>
      <top style="medium">
        <color auto="1"/>
      </top>
      <bottom style="medium">
        <color auto="1"/>
      </bottom>
      <diagonal/>
    </border>
    <border>
      <left/>
      <right style="thick">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ck">
        <color theme="1"/>
      </left>
      <right/>
      <top style="thick">
        <color theme="1"/>
      </top>
      <bottom/>
      <diagonal/>
    </border>
    <border>
      <left/>
      <right/>
      <top style="thick">
        <color theme="1"/>
      </top>
      <bottom/>
      <diagonal/>
    </border>
    <border>
      <left style="thick">
        <color auto="1"/>
      </left>
      <right/>
      <top style="thick">
        <color theme="1"/>
      </top>
      <bottom/>
      <diagonal/>
    </border>
    <border>
      <left style="medium">
        <color auto="1"/>
      </left>
      <right/>
      <top style="thick">
        <color theme="1"/>
      </top>
      <bottom/>
      <diagonal/>
    </border>
    <border>
      <left/>
      <right style="thick">
        <color theme="1"/>
      </right>
      <top style="thick">
        <color theme="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ck">
        <color theme="1"/>
      </left>
      <right/>
      <top/>
      <bottom/>
      <diagonal/>
    </border>
    <border>
      <left style="thin">
        <color rgb="FF585858"/>
      </left>
      <right/>
      <top style="thin">
        <color rgb="FF585858"/>
      </top>
      <bottom/>
      <diagonal/>
    </border>
    <border>
      <left/>
      <right style="thin">
        <color rgb="FF585858"/>
      </right>
      <top style="thin">
        <color rgb="FF585858"/>
      </top>
      <bottom/>
      <diagonal/>
    </border>
    <border>
      <left/>
      <right style="thick">
        <color theme="1"/>
      </right>
      <top/>
      <bottom/>
      <diagonal/>
    </border>
    <border>
      <left style="thick">
        <color auto="1"/>
      </left>
      <right style="thin">
        <color auto="1"/>
      </right>
      <top/>
      <bottom style="thin">
        <color auto="1"/>
      </bottom>
      <diagonal/>
    </border>
    <border>
      <left style="thin">
        <color auto="1"/>
      </left>
      <right style="thick">
        <color auto="1"/>
      </right>
      <top style="medium">
        <color auto="1"/>
      </top>
      <bottom style="thin">
        <color auto="1"/>
      </bottom>
      <diagonal/>
    </border>
    <border>
      <left style="thin">
        <color rgb="FF585858"/>
      </left>
      <right/>
      <top/>
      <bottom/>
      <diagonal/>
    </border>
    <border>
      <left/>
      <right style="thin">
        <color rgb="FF585858"/>
      </right>
      <top/>
      <bottom/>
      <diagonal/>
    </border>
    <border>
      <left style="thin">
        <color rgb="FF585858"/>
      </left>
      <right/>
      <top/>
      <bottom style="thin">
        <color rgb="FF585858"/>
      </bottom>
      <diagonal/>
    </border>
    <border>
      <left/>
      <right style="thin">
        <color rgb="FF585858"/>
      </right>
      <top/>
      <bottom style="thin">
        <color rgb="FF585858"/>
      </bottom>
      <diagonal/>
    </border>
    <border>
      <left/>
      <right/>
      <top/>
      <bottom style="thick">
        <color rgb="FFA6A6A6"/>
      </bottom>
      <diagonal/>
    </border>
    <border>
      <left style="thick">
        <color auto="1"/>
      </left>
      <right/>
      <top/>
      <bottom style="medium">
        <color auto="1"/>
      </bottom>
      <diagonal/>
    </border>
    <border>
      <left/>
      <right style="thick">
        <color theme="1"/>
      </right>
      <top/>
      <bottom style="medium">
        <color auto="1"/>
      </bottom>
      <diagonal/>
    </border>
    <border>
      <left style="thick">
        <color auto="1"/>
      </left>
      <right style="thin">
        <color auto="1"/>
      </right>
      <top style="thin">
        <color auto="1"/>
      </top>
      <bottom/>
      <diagonal/>
    </border>
    <border>
      <left style="medium">
        <color auto="1"/>
      </left>
      <right style="thin">
        <color auto="1"/>
      </right>
      <top style="thin">
        <color auto="1"/>
      </top>
      <bottom/>
      <diagonal/>
    </border>
    <border>
      <left style="thick">
        <color auto="1"/>
      </left>
      <right/>
      <top style="medium">
        <color auto="1"/>
      </top>
      <bottom/>
      <diagonal/>
    </border>
    <border>
      <left/>
      <right/>
      <top style="medium">
        <color auto="1"/>
      </top>
      <bottom style="thin">
        <color auto="1"/>
      </bottom>
      <diagonal/>
    </border>
    <border>
      <left/>
      <right style="thick">
        <color auto="1"/>
      </right>
      <top style="medium">
        <color auto="1"/>
      </top>
      <bottom style="thin">
        <color auto="1"/>
      </bottom>
      <diagonal/>
    </border>
    <border>
      <left/>
      <right style="dotted">
        <color rgb="FF000000"/>
      </right>
      <top/>
      <bottom/>
      <diagonal/>
    </border>
    <border>
      <left style="dotted">
        <color rgb="FF000000"/>
      </left>
      <right/>
      <top/>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right/>
      <top style="thick">
        <color rgb="FFA6A6A6"/>
      </top>
      <bottom/>
      <diagonal/>
    </border>
    <border>
      <left style="medium">
        <color rgb="FF000000"/>
      </left>
      <right/>
      <top/>
      <bottom style="dotted">
        <color rgb="FF000000"/>
      </bottom>
      <diagonal/>
    </border>
    <border>
      <left/>
      <right style="dotted">
        <color rgb="FF000000"/>
      </right>
      <top/>
      <bottom style="dotted">
        <color rgb="FF000000"/>
      </bottom>
      <diagonal/>
    </border>
    <border>
      <left style="dotted">
        <color rgb="FF000000"/>
      </left>
      <right/>
      <top/>
      <bottom style="dotted">
        <color rgb="FF000000"/>
      </bottom>
      <diagonal/>
    </border>
    <border>
      <left/>
      <right/>
      <top/>
      <bottom style="dotted">
        <color rgb="FF000000"/>
      </bottom>
      <diagonal/>
    </border>
    <border>
      <left style="dotted">
        <color rgb="FF000000"/>
      </left>
      <right/>
      <top style="dotted">
        <color rgb="FF000000"/>
      </top>
      <bottom/>
      <diagonal/>
    </border>
    <border>
      <left/>
      <right/>
      <top style="dotted">
        <color rgb="FF000000"/>
      </top>
      <bottom/>
      <diagonal/>
    </border>
    <border>
      <left/>
      <right style="thick">
        <color auto="1"/>
      </right>
      <top style="medium">
        <color auto="1"/>
      </top>
      <bottom/>
      <diagonal/>
    </border>
    <border>
      <left style="thick">
        <color auto="1"/>
      </left>
      <right/>
      <top style="medium">
        <color auto="1"/>
      </top>
      <bottom style="thin">
        <color auto="1"/>
      </bottom>
      <diagonal/>
    </border>
    <border>
      <left style="thin">
        <color auto="1"/>
      </left>
      <right/>
      <top style="medium">
        <color auto="1"/>
      </top>
      <bottom/>
      <diagonal/>
    </border>
    <border>
      <left style="thin">
        <color auto="1"/>
      </left>
      <right/>
      <top style="medium">
        <color rgb="FF000000"/>
      </top>
      <bottom style="thin">
        <color rgb="FF000000"/>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style="thin">
        <color auto="1"/>
      </left>
      <right/>
      <top style="medium">
        <color auto="1"/>
      </top>
      <bottom style="thin">
        <color rgb="FF000000"/>
      </bottom>
      <diagonal/>
    </border>
    <border>
      <left/>
      <right style="medium">
        <color auto="1"/>
      </right>
      <top style="medium">
        <color auto="1"/>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ck">
        <color auto="1"/>
      </right>
      <top style="medium">
        <color rgb="FF000000"/>
      </top>
      <bottom style="thin">
        <color rgb="FF000000"/>
      </bottom>
      <diagonal/>
    </border>
    <border>
      <left style="thin">
        <color rgb="FF000000"/>
      </left>
      <right/>
      <top style="thin">
        <color rgb="FF000000"/>
      </top>
      <bottom style="thin">
        <color rgb="FF000000"/>
      </bottom>
      <diagonal/>
    </border>
    <border>
      <left style="medium">
        <color auto="1"/>
      </left>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style="thick">
        <color auto="1"/>
      </right>
      <top style="thin">
        <color rgb="FF000000"/>
      </top>
      <bottom style="thin">
        <color rgb="FF000000"/>
      </bottom>
      <diagonal/>
    </border>
    <border>
      <left style="thick">
        <color theme="1" tint="0.349986266670736"/>
      </left>
      <right style="thick">
        <color theme="1" tint="0.349986266670736"/>
      </right>
      <top style="thick">
        <color theme="1" tint="0.349986266670736"/>
      </top>
      <bottom style="thick">
        <color rgb="FFA6A6A6"/>
      </bottom>
      <diagonal/>
    </border>
    <border>
      <left/>
      <right/>
      <top style="thick">
        <color theme="1" tint="0.349986266670736"/>
      </top>
      <bottom style="thick">
        <color rgb="FFA6A6A6"/>
      </bottom>
      <diagonal/>
    </border>
    <border>
      <left style="thick">
        <color theme="1"/>
      </left>
      <right/>
      <top style="medium">
        <color rgb="FF000000"/>
      </top>
      <bottom/>
      <diagonal/>
    </border>
    <border>
      <left style="thin">
        <color rgb="FF000000"/>
      </left>
      <right style="thick">
        <color auto="1"/>
      </right>
      <top style="thin">
        <color rgb="FF000000"/>
      </top>
      <bottom/>
      <diagonal/>
    </border>
    <border>
      <left style="thick">
        <color theme="1"/>
      </left>
      <right/>
      <top/>
      <bottom style="thick">
        <color theme="1"/>
      </bottom>
      <diagonal/>
    </border>
    <border>
      <left/>
      <right/>
      <top/>
      <bottom style="thick">
        <color theme="1"/>
      </bottom>
      <diagonal/>
    </border>
    <border>
      <left style="medium">
        <color rgb="FF000000"/>
      </left>
      <right/>
      <top style="thin">
        <color rgb="FF000000"/>
      </top>
      <bottom style="thick">
        <color theme="1"/>
      </bottom>
      <diagonal/>
    </border>
    <border>
      <left/>
      <right style="thin">
        <color rgb="FF000000"/>
      </right>
      <top style="thin">
        <color rgb="FF000000"/>
      </top>
      <bottom style="thick">
        <color theme="1"/>
      </bottom>
      <diagonal/>
    </border>
    <border>
      <left style="thin">
        <color rgb="FF000000"/>
      </left>
      <right style="thin">
        <color rgb="FF000000"/>
      </right>
      <top style="thin">
        <color rgb="FF000000"/>
      </top>
      <bottom style="thick">
        <color theme="1"/>
      </bottom>
      <diagonal/>
    </border>
    <border>
      <left style="thin">
        <color rgb="FF000000"/>
      </left>
      <right/>
      <top style="thin">
        <color rgb="FF000000"/>
      </top>
      <bottom style="thick">
        <color theme="1"/>
      </bottom>
      <diagonal/>
    </border>
    <border>
      <left style="thick">
        <color rgb="FF000000"/>
      </left>
      <right/>
      <top/>
      <bottom style="thick">
        <color theme="1"/>
      </bottom>
      <diagonal/>
    </border>
    <border>
      <left style="medium">
        <color rgb="FF000000"/>
      </left>
      <right/>
      <top/>
      <bottom style="thick">
        <color theme="1"/>
      </bottom>
      <diagonal/>
    </border>
    <border>
      <left/>
      <right style="dotted">
        <color rgb="FF000000"/>
      </right>
      <top/>
      <bottom style="thick">
        <color theme="1"/>
      </bottom>
      <diagonal/>
    </border>
    <border>
      <left style="dotted">
        <color rgb="FF000000"/>
      </left>
      <right/>
      <top/>
      <bottom style="thick">
        <color theme="1"/>
      </bottom>
      <diagonal/>
    </border>
    <border>
      <left/>
      <right style="thick">
        <color theme="1"/>
      </right>
      <top/>
      <bottom style="thick">
        <color theme="1"/>
      </bottom>
      <diagonal/>
    </border>
    <border>
      <left style="thick">
        <color auto="1"/>
      </left>
      <right/>
      <top style="thin">
        <color auto="1"/>
      </top>
      <bottom style="medium">
        <color rgb="FF000000"/>
      </bottom>
      <diagonal/>
    </border>
    <border>
      <left/>
      <right/>
      <top style="thin">
        <color auto="1"/>
      </top>
      <bottom style="medium">
        <color rgb="FF000000"/>
      </bottom>
      <diagonal/>
    </border>
    <border>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top style="thin">
        <color auto="1"/>
      </top>
      <bottom style="medium">
        <color rgb="FF000000"/>
      </bottom>
      <diagonal/>
    </border>
    <border>
      <left style="thin">
        <color auto="1"/>
      </left>
      <right/>
      <top/>
      <bottom style="thin">
        <color rgb="FF000000"/>
      </bottom>
      <diagonal/>
    </border>
    <border>
      <left/>
      <right style="dashed">
        <color theme="1"/>
      </right>
      <top/>
      <bottom style="dashed">
        <color theme="1"/>
      </bottom>
      <diagonal/>
    </border>
    <border>
      <left style="dashed">
        <color theme="1"/>
      </left>
      <right style="dashed">
        <color theme="1"/>
      </right>
      <top/>
      <bottom style="dashed">
        <color theme="1"/>
      </bottom>
      <diagonal/>
    </border>
    <border>
      <left style="dashed">
        <color theme="1"/>
      </left>
      <right style="thick">
        <color theme="1"/>
      </right>
      <top/>
      <bottom style="dashed">
        <color theme="1"/>
      </bottom>
      <diagonal/>
    </border>
    <border>
      <left style="thick">
        <color auto="1"/>
      </left>
      <right/>
      <top/>
      <bottom style="thin">
        <color rgb="FF000000"/>
      </bottom>
      <diagonal/>
    </border>
    <border>
      <left/>
      <right style="dashed">
        <color theme="1"/>
      </right>
      <top style="dashed">
        <color theme="1"/>
      </top>
      <bottom style="dashed">
        <color theme="1"/>
      </bottom>
      <diagonal/>
    </border>
    <border>
      <left style="dashed">
        <color theme="1"/>
      </left>
      <right style="dashed">
        <color theme="1"/>
      </right>
      <top style="dashed">
        <color theme="1"/>
      </top>
      <bottom style="dashed">
        <color theme="1"/>
      </bottom>
      <diagonal/>
    </border>
    <border>
      <left style="dashed">
        <color theme="1"/>
      </left>
      <right style="thick">
        <color theme="1"/>
      </right>
      <top style="dashed">
        <color theme="1"/>
      </top>
      <bottom style="dashed">
        <color theme="1"/>
      </bottom>
      <diagonal/>
    </border>
    <border>
      <left style="thick">
        <color auto="1"/>
      </left>
      <right/>
      <top style="thin">
        <color rgb="FF000000"/>
      </top>
      <bottom style="thin">
        <color rgb="FF000000"/>
      </bottom>
      <diagonal/>
    </border>
    <border>
      <left style="medium">
        <color auto="1"/>
      </left>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style="thin">
        <color auto="1"/>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right style="dashed">
        <color theme="1"/>
      </right>
      <top style="dashed">
        <color theme="1"/>
      </top>
      <bottom/>
      <diagonal/>
    </border>
    <border>
      <left style="dashed">
        <color theme="1"/>
      </left>
      <right style="dashed">
        <color theme="1"/>
      </right>
      <top style="dashed">
        <color theme="1"/>
      </top>
      <bottom/>
      <diagonal/>
    </border>
    <border>
      <left style="dashed">
        <color theme="1"/>
      </left>
      <right style="thick">
        <color theme="1"/>
      </right>
      <top style="dashed">
        <color theme="1"/>
      </top>
      <bottom/>
      <diagonal/>
    </border>
    <border>
      <left style="medium">
        <color rgb="FF000000"/>
      </left>
      <right style="thin">
        <color auto="1"/>
      </right>
      <top/>
      <bottom style="medium">
        <color rgb="FF000000"/>
      </bottom>
      <diagonal/>
    </border>
    <border>
      <left style="thin">
        <color auto="1"/>
      </left>
      <right style="thin">
        <color auto="1"/>
      </right>
      <top/>
      <bottom style="medium">
        <color rgb="FF000000"/>
      </bottom>
      <diagonal/>
    </border>
    <border>
      <left style="thin">
        <color auto="1"/>
      </left>
      <right style="medium">
        <color rgb="FF000000"/>
      </right>
      <top/>
      <bottom style="medium">
        <color rgb="FF000000"/>
      </bottom>
      <diagonal/>
    </border>
    <border>
      <left style="thin">
        <color auto="1"/>
      </left>
      <right/>
      <top/>
      <bottom style="thin">
        <color auto="1"/>
      </bottom>
      <diagonal/>
    </border>
    <border>
      <left style="medium">
        <color auto="1"/>
      </left>
      <right style="medium">
        <color rgb="FF000000"/>
      </right>
      <top style="medium">
        <color rgb="FF000000"/>
      </top>
      <bottom style="thin">
        <color auto="1"/>
      </bottom>
      <diagonal/>
    </border>
    <border>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style="thin">
        <color auto="1"/>
      </right>
      <top style="thin">
        <color auto="1"/>
      </top>
      <bottom style="thin">
        <color auto="1"/>
      </bottom>
      <diagonal/>
    </border>
    <border>
      <left style="thin">
        <color auto="1"/>
      </left>
      <right style="medium">
        <color rgb="FF000000"/>
      </right>
      <top/>
      <bottom style="thin">
        <color auto="1"/>
      </bottom>
      <diagonal/>
    </border>
    <border>
      <left style="thin">
        <color auto="1"/>
      </left>
      <right/>
      <top style="thin">
        <color auto="1"/>
      </top>
      <bottom/>
      <diagonal/>
    </border>
    <border>
      <left style="medium">
        <color auto="1"/>
      </left>
      <right style="medium">
        <color rgb="FF000000"/>
      </right>
      <top style="thin">
        <color auto="1"/>
      </top>
      <bottom style="thin">
        <color auto="1"/>
      </bottom>
      <diagonal/>
    </border>
    <border>
      <left/>
      <right/>
      <top style="thin">
        <color auto="1"/>
      </top>
      <bottom/>
      <diagonal/>
    </border>
    <border>
      <left style="thin">
        <color rgb="FF000000"/>
      </left>
      <right style="medium">
        <color rgb="FF000000"/>
      </right>
      <top style="thin">
        <color rgb="FF000000"/>
      </top>
      <bottom style="thin">
        <color rgb="FF000000"/>
      </bottom>
      <diagonal/>
    </border>
    <border>
      <left style="thin">
        <color auto="1"/>
      </left>
      <right style="medium">
        <color rgb="FF000000"/>
      </right>
      <top style="thin">
        <color auto="1"/>
      </top>
      <bottom style="thin">
        <color auto="1"/>
      </bottom>
      <diagonal/>
    </border>
    <border>
      <left/>
      <right style="thin">
        <color rgb="FF000000"/>
      </right>
      <top style="thin">
        <color rgb="FF000000"/>
      </top>
      <bottom style="medium">
        <color rgb="FF000000"/>
      </bottom>
      <diagonal/>
    </border>
    <border>
      <left style="medium">
        <color auto="1"/>
      </left>
      <right style="medium">
        <color rgb="FF000000"/>
      </right>
      <top style="thin">
        <color auto="1"/>
      </top>
      <bottom style="medium">
        <color auto="1"/>
      </bottom>
      <diagonal/>
    </border>
    <border>
      <left style="medium">
        <color rgb="FF000000"/>
      </left>
      <right style="thin">
        <color auto="1"/>
      </right>
      <top style="thin">
        <color auto="1"/>
      </top>
      <bottom/>
      <diagonal/>
    </border>
    <border>
      <left style="medium">
        <color rgb="FF000000"/>
      </left>
      <right style="thin">
        <color auto="1"/>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style="thin">
        <color auto="1"/>
      </left>
      <right style="thick">
        <color auto="1"/>
      </right>
      <top style="medium">
        <color rgb="FF000000"/>
      </top>
      <bottom style="medium">
        <color rgb="FF000000"/>
      </bottom>
      <diagonal/>
    </border>
    <border>
      <left style="medium">
        <color auto="1"/>
      </left>
      <right style="medium">
        <color rgb="FF000000"/>
      </right>
      <top/>
      <bottom style="thin">
        <color auto="1"/>
      </bottom>
      <diagonal/>
    </border>
    <border>
      <left style="medium">
        <color rgb="FF000000"/>
      </left>
      <right/>
      <top/>
      <bottom style="thin">
        <color auto="1"/>
      </bottom>
      <diagonal/>
    </border>
    <border>
      <left/>
      <right/>
      <top/>
      <bottom style="thin">
        <color auto="1"/>
      </bottom>
      <diagonal/>
    </border>
    <border>
      <left style="thick">
        <color auto="1"/>
      </left>
      <right/>
      <top style="thin">
        <color rgb="FF000000"/>
      </top>
      <bottom style="thick">
        <color auto="1"/>
      </bottom>
      <diagonal/>
    </border>
    <border>
      <left/>
      <right/>
      <top style="thin">
        <color rgb="FF000000"/>
      </top>
      <bottom style="thick">
        <color auto="1"/>
      </bottom>
      <diagonal/>
    </border>
    <border>
      <left/>
      <right style="thin">
        <color rgb="FF000000"/>
      </right>
      <top style="thin">
        <color rgb="FF000000"/>
      </top>
      <bottom style="thick">
        <color auto="1"/>
      </bottom>
      <diagonal/>
    </border>
    <border>
      <left style="thin">
        <color rgb="FF000000"/>
      </left>
      <right/>
      <top style="thin">
        <color rgb="FF000000"/>
      </top>
      <bottom style="thick">
        <color auto="1"/>
      </bottom>
      <diagonal/>
    </border>
    <border>
      <left style="medium">
        <color rgb="FF000000"/>
      </left>
      <right/>
      <top style="thin">
        <color rgb="FF000000"/>
      </top>
      <bottom style="thick">
        <color auto="1"/>
      </bottom>
      <diagonal/>
    </border>
    <border>
      <left style="thin">
        <color rgb="FF000000"/>
      </left>
      <right style="thin">
        <color rgb="FF000000"/>
      </right>
      <top style="thin">
        <color rgb="FF000000"/>
      </top>
      <bottom style="thick">
        <color auto="1"/>
      </bottom>
      <diagonal/>
    </border>
    <border>
      <left style="thin">
        <color rgb="FF000000"/>
      </left>
      <right style="medium">
        <color rgb="FF000000"/>
      </right>
      <top style="thin">
        <color rgb="FF000000"/>
      </top>
      <bottom style="thick">
        <color auto="1"/>
      </bottom>
      <diagonal/>
    </border>
    <border>
      <left style="medium">
        <color rgb="FF000000"/>
      </left>
      <right style="thin">
        <color auto="1"/>
      </right>
      <top style="thin">
        <color auto="1"/>
      </top>
      <bottom style="thick">
        <color auto="1"/>
      </bottom>
      <diagonal/>
    </border>
    <border>
      <left style="thin">
        <color auto="1"/>
      </left>
      <right style="medium">
        <color rgb="FF000000"/>
      </right>
      <top style="thin">
        <color auto="1"/>
      </top>
      <bottom style="thick">
        <color auto="1"/>
      </bottom>
      <diagonal/>
    </border>
    <border>
      <left style="medium">
        <color rgb="FF000000"/>
      </left>
      <right/>
      <top style="thin">
        <color auto="1"/>
      </top>
      <bottom style="thick">
        <color auto="1"/>
      </bottom>
      <diagonal/>
    </border>
    <border>
      <left style="thin">
        <color rgb="FF000000"/>
      </left>
      <right style="thick">
        <color auto="1"/>
      </right>
      <top style="thin">
        <color rgb="FF000000"/>
      </top>
      <bottom style="thick">
        <color auto="1"/>
      </bottom>
      <diagonal/>
    </border>
    <border>
      <left style="medium">
        <color auto="1"/>
      </left>
      <right style="medium">
        <color rgb="FF000000"/>
      </right>
      <top style="thin">
        <color auto="1"/>
      </top>
      <bottom/>
      <diagonal/>
    </border>
    <border>
      <left style="thick">
        <color auto="1"/>
      </left>
      <right style="thin">
        <color auto="1"/>
      </right>
      <top style="thick">
        <color auto="1"/>
      </top>
      <bottom/>
      <diagonal/>
    </border>
    <border>
      <left style="thick">
        <color rgb="FF000000"/>
      </left>
      <right/>
      <top style="medium">
        <color auto="1"/>
      </top>
      <bottom/>
      <diagonal/>
    </border>
    <border>
      <left style="medium">
        <color rgb="FF000000"/>
      </left>
      <right style="thin">
        <color rgb="FF000000"/>
      </right>
      <top style="medium">
        <color rgb="FF000000"/>
      </top>
      <bottom style="thin">
        <color rgb="FF000000"/>
      </bottom>
      <diagonal/>
    </border>
    <border>
      <left style="thick">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ck">
        <color auto="1"/>
      </right>
      <top style="medium">
        <color auto="1"/>
      </top>
      <bottom style="thin">
        <color auto="1"/>
      </bottom>
      <diagonal/>
    </border>
    <border>
      <left/>
      <right style="medium">
        <color auto="1"/>
      </right>
      <top style="thin">
        <color auto="1"/>
      </top>
      <bottom style="thin">
        <color auto="1"/>
      </bottom>
      <diagonal/>
    </border>
    <border>
      <left style="thick">
        <color auto="1"/>
      </left>
      <right style="thin">
        <color auto="1"/>
      </right>
      <top style="thin">
        <color auto="1"/>
      </top>
      <bottom style="medium">
        <color auto="1"/>
      </bottom>
      <diagonal/>
    </border>
    <border>
      <left/>
      <right style="medium">
        <color auto="1"/>
      </right>
      <top style="thin">
        <color auto="1"/>
      </top>
      <bottom/>
      <diagonal/>
    </border>
    <border>
      <left style="medium">
        <color rgb="FF000000"/>
      </left>
      <right style="thin">
        <color rgb="FF000000"/>
      </right>
      <top style="thin">
        <color rgb="FF000000"/>
      </top>
      <bottom style="thick">
        <color rgb="FF000000"/>
      </bottom>
      <diagonal/>
    </border>
    <border>
      <left style="thick">
        <color rgb="FF000000"/>
      </left>
      <right/>
      <top style="thick">
        <color auto="1"/>
      </top>
      <bottom/>
      <diagonal/>
    </border>
    <border>
      <left/>
      <right style="thin">
        <color auto="1"/>
      </right>
      <top style="thick">
        <color auto="1"/>
      </top>
      <bottom style="medium">
        <color auto="1"/>
      </bottom>
      <diagonal/>
    </border>
    <border>
      <left style="thin">
        <color auto="1"/>
      </left>
      <right style="thin">
        <color auto="1"/>
      </right>
      <top style="thick">
        <color auto="1"/>
      </top>
      <bottom style="medium">
        <color auto="1"/>
      </bottom>
      <diagonal/>
    </border>
    <border>
      <left style="thin">
        <color auto="1"/>
      </left>
      <right/>
      <top style="thick">
        <color auto="1"/>
      </top>
      <bottom style="medium">
        <color auto="1"/>
      </bottom>
      <diagonal/>
    </border>
    <border>
      <left/>
      <right/>
      <top style="thick">
        <color auto="1"/>
      </top>
      <bottom style="medium">
        <color auto="1"/>
      </bottom>
      <diagonal/>
    </border>
    <border>
      <left style="medium">
        <color auto="1"/>
      </left>
      <right style="thick">
        <color auto="1"/>
      </right>
      <top style="thin">
        <color auto="1"/>
      </top>
      <bottom style="thin">
        <color auto="1"/>
      </bottom>
      <diagonal/>
    </border>
    <border>
      <left/>
      <right style="thin">
        <color auto="1"/>
      </right>
      <top style="medium">
        <color auto="1"/>
      </top>
      <bottom style="medium">
        <color rgb="FF000000"/>
      </bottom>
      <diagonal/>
    </border>
    <border>
      <left style="thin">
        <color auto="1"/>
      </left>
      <right style="thin">
        <color auto="1"/>
      </right>
      <top style="medium">
        <color auto="1"/>
      </top>
      <bottom style="medium">
        <color rgb="FF000000"/>
      </bottom>
      <diagonal/>
    </border>
    <border>
      <left style="thin">
        <color auto="1"/>
      </left>
      <right/>
      <top/>
      <bottom style="medium">
        <color rgb="FF000000"/>
      </bottom>
      <diagonal/>
    </border>
    <border>
      <left/>
      <right style="thick">
        <color auto="1"/>
      </right>
      <top/>
      <bottom style="medium">
        <color rgb="FF000000"/>
      </bottom>
      <diagonal/>
    </border>
    <border>
      <left style="medium">
        <color auto="1"/>
      </left>
      <right style="thick">
        <color auto="1"/>
      </right>
      <top style="thin">
        <color auto="1"/>
      </top>
      <bottom/>
      <diagonal/>
    </border>
    <border>
      <left style="medium">
        <color rgb="FF000000"/>
      </left>
      <right style="medium">
        <color rgb="FF000000"/>
      </right>
      <top style="thick">
        <color auto="1"/>
      </top>
      <bottom/>
      <diagonal/>
    </border>
    <border>
      <left/>
      <right style="thick">
        <color auto="1"/>
      </right>
      <top style="thick">
        <color auto="1"/>
      </top>
      <bottom style="medium">
        <color auto="1"/>
      </bottom>
      <diagonal/>
    </border>
    <border>
      <left/>
      <right style="thin">
        <color auto="1"/>
      </right>
      <top style="medium">
        <color auto="1"/>
      </top>
      <bottom/>
      <diagonal/>
    </border>
    <border>
      <left style="thin">
        <color auto="1"/>
      </left>
      <right/>
      <top/>
      <bottom style="thick">
        <color auto="1"/>
      </bottom>
      <diagonal/>
    </border>
    <border>
      <left style="medium">
        <color auto="1"/>
      </left>
      <right style="medium">
        <color auto="1"/>
      </right>
      <top style="thin">
        <color auto="1"/>
      </top>
      <bottom style="thick">
        <color auto="1"/>
      </bottom>
      <diagonal/>
    </border>
    <border>
      <left style="medium">
        <color auto="1"/>
      </left>
      <right style="thick">
        <color auto="1"/>
      </right>
      <top style="thin">
        <color auto="1"/>
      </top>
      <bottom style="thick">
        <color auto="1"/>
      </bottom>
      <diagonal/>
    </border>
    <border>
      <left style="thick">
        <color rgb="FF000000"/>
      </left>
      <right/>
      <top/>
      <bottom style="thick">
        <color rgb="FF000000"/>
      </bottom>
      <diagonal/>
    </border>
    <border>
      <left style="medium">
        <color rgb="FF000000"/>
      </left>
      <right style="medium">
        <color rgb="FF000000"/>
      </right>
      <top/>
      <bottom style="thick">
        <color rgb="FF000000"/>
      </bottom>
      <diagonal/>
    </border>
    <border>
      <left/>
      <right style="thin">
        <color auto="1"/>
      </right>
      <top style="medium">
        <color auto="1"/>
      </top>
      <bottom style="thick">
        <color rgb="FF000000"/>
      </bottom>
      <diagonal/>
    </border>
    <border>
      <left style="thin">
        <color auto="1"/>
      </left>
      <right style="thin">
        <color auto="1"/>
      </right>
      <top style="medium">
        <color auto="1"/>
      </top>
      <bottom style="thick">
        <color rgb="FF000000"/>
      </bottom>
      <diagonal/>
    </border>
    <border>
      <left style="thin">
        <color auto="1"/>
      </left>
      <right/>
      <top/>
      <bottom style="thick">
        <color rgb="FF000000"/>
      </bottom>
      <diagonal/>
    </border>
    <border>
      <left/>
      <right style="thin">
        <color auto="1"/>
      </right>
      <top/>
      <bottom style="thick">
        <color rgb="FF000000"/>
      </bottom>
      <diagonal/>
    </border>
    <border>
      <left/>
      <right style="thick">
        <color auto="1"/>
      </right>
      <top/>
      <bottom style="thick">
        <color rgb="FF000000"/>
      </bottom>
      <diagonal/>
    </border>
    <border>
      <left style="medium">
        <color rgb="FF000000"/>
      </left>
      <right/>
      <top style="thick">
        <color auto="1"/>
      </top>
      <bottom style="medium">
        <color auto="1"/>
      </bottom>
      <diagonal/>
    </border>
    <border>
      <left style="thin">
        <color rgb="FF000000"/>
      </left>
      <right/>
      <top style="thick">
        <color auto="1"/>
      </top>
      <bottom style="thin">
        <color rgb="FF000000"/>
      </bottom>
      <diagonal/>
    </border>
    <border>
      <left/>
      <right style="thick">
        <color auto="1"/>
      </right>
      <top style="thick">
        <color auto="1"/>
      </top>
      <bottom style="thin">
        <color rgb="FF000000"/>
      </bottom>
      <diagonal/>
    </border>
    <border>
      <left style="medium">
        <color rgb="FF000000"/>
      </left>
      <right/>
      <top/>
      <bottom style="medium">
        <color auto="1"/>
      </bottom>
      <diagonal/>
    </border>
    <border>
      <left/>
      <right style="thick">
        <color auto="1"/>
      </right>
      <top style="thin">
        <color auto="1"/>
      </top>
      <bottom style="thin">
        <color auto="1"/>
      </bottom>
      <diagonal/>
    </border>
    <border>
      <left/>
      <right style="thick">
        <color auto="1"/>
      </right>
      <top style="thin">
        <color auto="1"/>
      </top>
      <bottom/>
      <diagonal/>
    </border>
    <border>
      <left style="thick">
        <color auto="1"/>
      </left>
      <right style="thin">
        <color auto="1"/>
      </right>
      <top style="thick">
        <color auto="1"/>
      </top>
      <bottom style="medium">
        <color auto="1"/>
      </bottom>
      <diagonal/>
    </border>
    <border>
      <left style="thin">
        <color auto="1"/>
      </left>
      <right style="medium">
        <color rgb="FF000000"/>
      </right>
      <top style="thick">
        <color auto="1"/>
      </top>
      <bottom style="medium">
        <color auto="1"/>
      </bottom>
      <diagonal/>
    </border>
    <border>
      <left/>
      <right style="medium">
        <color auto="1"/>
      </right>
      <top style="thick">
        <color auto="1"/>
      </top>
      <bottom style="medium">
        <color auto="1"/>
      </bottom>
      <diagonal/>
    </border>
    <border>
      <left/>
      <right style="thick">
        <color rgb="FF000000"/>
      </right>
      <top style="thick">
        <color auto="1"/>
      </top>
      <bottom style="medium">
        <color auto="1"/>
      </bottom>
      <diagonal/>
    </border>
    <border>
      <left style="thick">
        <color auto="1"/>
      </left>
      <right style="thin">
        <color auto="1"/>
      </right>
      <top style="medium">
        <color auto="1"/>
      </top>
      <bottom style="medium">
        <color auto="1"/>
      </bottom>
      <diagonal/>
    </border>
    <border>
      <left style="thin">
        <color auto="1"/>
      </left>
      <right style="medium">
        <color rgb="FF000000"/>
      </right>
      <top style="medium">
        <color auto="1"/>
      </top>
      <bottom style="medium">
        <color auto="1"/>
      </bottom>
      <diagonal/>
    </border>
    <border>
      <left/>
      <right style="thick">
        <color rgb="FF000000"/>
      </right>
      <top style="medium">
        <color auto="1"/>
      </top>
      <bottom style="medium">
        <color auto="1"/>
      </bottom>
      <diagonal/>
    </border>
    <border>
      <left style="thin">
        <color auto="1"/>
      </left>
      <right style="medium">
        <color rgb="FF000000"/>
      </right>
      <top style="medium">
        <color auto="1"/>
      </top>
      <bottom/>
      <diagonal/>
    </border>
    <border>
      <left style="thin">
        <color auto="1"/>
      </left>
      <right style="medium">
        <color rgb="FF000000"/>
      </right>
      <top/>
      <bottom/>
      <diagonal/>
    </border>
    <border>
      <left style="thin">
        <color auto="1"/>
      </left>
      <right style="medium">
        <color rgb="FF000000"/>
      </right>
      <top/>
      <bottom style="medium">
        <color auto="1"/>
      </bottom>
      <diagonal/>
    </border>
    <border>
      <left style="thick">
        <color auto="1"/>
      </left>
      <right style="thin">
        <color auto="1"/>
      </right>
      <top style="medium">
        <color auto="1"/>
      </top>
      <bottom style="thick">
        <color auto="1"/>
      </bottom>
      <diagonal/>
    </border>
    <border>
      <left style="thin">
        <color auto="1"/>
      </left>
      <right style="medium">
        <color rgb="FF000000"/>
      </right>
      <top/>
      <bottom style="thick">
        <color auto="1"/>
      </bottom>
      <diagonal/>
    </border>
    <border>
      <left/>
      <right style="medium">
        <color auto="1"/>
      </right>
      <top/>
      <bottom style="thick">
        <color auto="1"/>
      </bottom>
      <diagonal/>
    </border>
    <border>
      <left/>
      <right style="thick">
        <color rgb="FF000000"/>
      </right>
      <top style="medium">
        <color auto="1"/>
      </top>
      <bottom style="thick">
        <color auto="1"/>
      </bottom>
      <diagonal/>
    </border>
    <border>
      <left/>
      <right/>
      <top style="medium">
        <color rgb="FF000000"/>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2"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0" fillId="133" borderId="419" applyNumberFormat="0" applyFont="0" applyAlignment="0" applyProtection="0">
      <alignment vertical="center"/>
    </xf>
    <xf numFmtId="0" fontId="164"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7" fillId="0" borderId="420" applyNumberFormat="0" applyFill="0" applyAlignment="0" applyProtection="0">
      <alignment vertical="center"/>
    </xf>
    <xf numFmtId="0" fontId="168" fillId="0" borderId="420" applyNumberFormat="0" applyFill="0" applyAlignment="0" applyProtection="0">
      <alignment vertical="center"/>
    </xf>
    <xf numFmtId="0" fontId="169" fillId="0" borderId="421" applyNumberFormat="0" applyFill="0" applyAlignment="0" applyProtection="0">
      <alignment vertical="center"/>
    </xf>
    <xf numFmtId="0" fontId="169" fillId="0" borderId="0" applyNumberFormat="0" applyFill="0" applyBorder="0" applyAlignment="0" applyProtection="0">
      <alignment vertical="center"/>
    </xf>
    <xf numFmtId="0" fontId="170" fillId="134" borderId="422" applyNumberFormat="0" applyAlignment="0" applyProtection="0">
      <alignment vertical="center"/>
    </xf>
    <xf numFmtId="0" fontId="171" fillId="26" borderId="423" applyNumberFormat="0" applyAlignment="0" applyProtection="0">
      <alignment vertical="center"/>
    </xf>
    <xf numFmtId="0" fontId="172" fillId="26" borderId="422" applyNumberFormat="0" applyAlignment="0" applyProtection="0">
      <alignment vertical="center"/>
    </xf>
    <xf numFmtId="0" fontId="173" fillId="135" borderId="424" applyNumberFormat="0" applyAlignment="0" applyProtection="0">
      <alignment vertical="center"/>
    </xf>
    <xf numFmtId="0" fontId="174" fillId="0" borderId="425" applyNumberFormat="0" applyFill="0" applyAlignment="0" applyProtection="0">
      <alignment vertical="center"/>
    </xf>
    <xf numFmtId="0" fontId="175" fillId="0" borderId="426" applyNumberFormat="0" applyFill="0" applyAlignment="0" applyProtection="0">
      <alignment vertical="center"/>
    </xf>
    <xf numFmtId="0" fontId="176" fillId="136" borderId="0" applyNumberFormat="0" applyBorder="0" applyAlignment="0" applyProtection="0">
      <alignment vertical="center"/>
    </xf>
    <xf numFmtId="0" fontId="177" fillId="137" borderId="0" applyNumberFormat="0" applyBorder="0" applyAlignment="0" applyProtection="0">
      <alignment vertical="center"/>
    </xf>
    <xf numFmtId="0" fontId="178" fillId="138" borderId="0" applyNumberFormat="0" applyBorder="0" applyAlignment="0" applyProtection="0">
      <alignment vertical="center"/>
    </xf>
    <xf numFmtId="0" fontId="179" fillId="139" borderId="0" applyNumberFormat="0" applyBorder="0" applyAlignment="0" applyProtection="0">
      <alignment vertical="center"/>
    </xf>
    <xf numFmtId="0" fontId="180" fillId="140" borderId="0" applyNumberFormat="0" applyBorder="0" applyAlignment="0" applyProtection="0">
      <alignment vertical="center"/>
    </xf>
    <xf numFmtId="0" fontId="180" fillId="141" borderId="0" applyNumberFormat="0" applyBorder="0" applyAlignment="0" applyProtection="0">
      <alignment vertical="center"/>
    </xf>
    <xf numFmtId="0" fontId="179" fillId="142" borderId="0" applyNumberFormat="0" applyBorder="0" applyAlignment="0" applyProtection="0">
      <alignment vertical="center"/>
    </xf>
    <xf numFmtId="0" fontId="179" fillId="143" borderId="0" applyNumberFormat="0" applyBorder="0" applyAlignment="0" applyProtection="0">
      <alignment vertical="center"/>
    </xf>
    <xf numFmtId="0" fontId="180" fillId="144" borderId="0" applyNumberFormat="0" applyBorder="0" applyAlignment="0" applyProtection="0">
      <alignment vertical="center"/>
    </xf>
    <xf numFmtId="0" fontId="180" fillId="145" borderId="0" applyNumberFormat="0" applyBorder="0" applyAlignment="0" applyProtection="0">
      <alignment vertical="center"/>
    </xf>
    <xf numFmtId="0" fontId="179" fillId="146" borderId="0" applyNumberFormat="0" applyBorder="0" applyAlignment="0" applyProtection="0">
      <alignment vertical="center"/>
    </xf>
    <xf numFmtId="0" fontId="179" fillId="147" borderId="0" applyNumberFormat="0" applyBorder="0" applyAlignment="0" applyProtection="0">
      <alignment vertical="center"/>
    </xf>
    <xf numFmtId="0" fontId="180" fillId="148" borderId="0" applyNumberFormat="0" applyBorder="0" applyAlignment="0" applyProtection="0">
      <alignment vertical="center"/>
    </xf>
    <xf numFmtId="0" fontId="180" fillId="149" borderId="0" applyNumberFormat="0" applyBorder="0" applyAlignment="0" applyProtection="0">
      <alignment vertical="center"/>
    </xf>
    <xf numFmtId="0" fontId="179" fillId="150" borderId="0" applyNumberFormat="0" applyBorder="0" applyAlignment="0" applyProtection="0">
      <alignment vertical="center"/>
    </xf>
    <xf numFmtId="0" fontId="179" fillId="151" borderId="0" applyNumberFormat="0" applyBorder="0" applyAlignment="0" applyProtection="0">
      <alignment vertical="center"/>
    </xf>
    <xf numFmtId="0" fontId="180" fillId="152" borderId="0" applyNumberFormat="0" applyBorder="0" applyAlignment="0" applyProtection="0">
      <alignment vertical="center"/>
    </xf>
    <xf numFmtId="0" fontId="180" fillId="153" borderId="0" applyNumberFormat="0" applyBorder="0" applyAlignment="0" applyProtection="0">
      <alignment vertical="center"/>
    </xf>
    <xf numFmtId="0" fontId="179" fillId="154" borderId="0" applyNumberFormat="0" applyBorder="0" applyAlignment="0" applyProtection="0">
      <alignment vertical="center"/>
    </xf>
    <xf numFmtId="0" fontId="179" fillId="155" borderId="0" applyNumberFormat="0" applyBorder="0" applyAlignment="0" applyProtection="0">
      <alignment vertical="center"/>
    </xf>
    <xf numFmtId="0" fontId="180" fillId="156" borderId="0" applyNumberFormat="0" applyBorder="0" applyAlignment="0" applyProtection="0">
      <alignment vertical="center"/>
    </xf>
    <xf numFmtId="0" fontId="180" fillId="157" borderId="0" applyNumberFormat="0" applyBorder="0" applyAlignment="0" applyProtection="0">
      <alignment vertical="center"/>
    </xf>
    <xf numFmtId="0" fontId="179" fillId="158" borderId="0" applyNumberFormat="0" applyBorder="0" applyAlignment="0" applyProtection="0">
      <alignment vertical="center"/>
    </xf>
    <xf numFmtId="0" fontId="179" fillId="159" borderId="0" applyNumberFormat="0" applyBorder="0" applyAlignment="0" applyProtection="0">
      <alignment vertical="center"/>
    </xf>
    <xf numFmtId="0" fontId="180" fillId="160" borderId="0" applyNumberFormat="0" applyBorder="0" applyAlignment="0" applyProtection="0">
      <alignment vertical="center"/>
    </xf>
    <xf numFmtId="0" fontId="180" fillId="161" borderId="0" applyNumberFormat="0" applyBorder="0" applyAlignment="0" applyProtection="0">
      <alignment vertical="center"/>
    </xf>
    <xf numFmtId="0" fontId="179" fillId="162" borderId="0" applyNumberFormat="0" applyBorder="0" applyAlignment="0" applyProtection="0">
      <alignment vertical="center"/>
    </xf>
  </cellStyleXfs>
  <cellXfs count="1676">
    <xf numFmtId="0" fontId="0" fillId="0" borderId="0" xfId="0">
      <alignment vertical="center"/>
    </xf>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NumberFormat="1" applyFont="1" applyFill="1" applyBorder="1" applyAlignment="1">
      <alignment horizontal="center"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2"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2" borderId="9" xfId="0" applyFont="1" applyFill="1" applyBorder="1" applyAlignment="1">
      <alignment horizontal="center" vertical="center"/>
    </xf>
    <xf numFmtId="0" fontId="2" fillId="3" borderId="10" xfId="0" applyFont="1" applyFill="1" applyBorder="1" applyAlignment="1">
      <alignment horizontal="center" vertical="center"/>
    </xf>
    <xf numFmtId="0" fontId="0" fillId="0" borderId="11" xfId="0" applyBorder="1">
      <alignment vertical="center"/>
    </xf>
    <xf numFmtId="0" fontId="0" fillId="0" borderId="12" xfId="0" applyBorder="1">
      <alignment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5" fillId="3" borderId="16" xfId="0" applyFont="1" applyFill="1" applyBorder="1">
      <alignment vertical="center"/>
    </xf>
    <xf numFmtId="0" fontId="5" fillId="0" borderId="17" xfId="0" applyFont="1" applyBorder="1">
      <alignment vertical="center"/>
    </xf>
    <xf numFmtId="0" fontId="0" fillId="0" borderId="18" xfId="0" applyBorder="1">
      <alignment vertical="center"/>
    </xf>
    <xf numFmtId="0" fontId="0" fillId="0" borderId="19" xfId="0" applyBorder="1">
      <alignment vertical="center"/>
    </xf>
    <xf numFmtId="0" fontId="2" fillId="3" borderId="20" xfId="0" applyFont="1" applyFill="1" applyBorder="1" applyAlignment="1">
      <alignment horizontal="center" vertical="center"/>
    </xf>
    <xf numFmtId="0" fontId="2" fillId="0" borderId="21" xfId="0" applyFont="1" applyBorder="1" applyAlignment="1">
      <alignment horizontal="center" vertical="center"/>
    </xf>
    <xf numFmtId="0" fontId="0" fillId="0" borderId="22" xfId="0" applyBorder="1">
      <alignment vertical="center"/>
    </xf>
    <xf numFmtId="0" fontId="2" fillId="3" borderId="16" xfId="0" applyFont="1" applyFill="1" applyBorder="1" applyAlignment="1">
      <alignment horizontal="center" vertical="center"/>
    </xf>
    <xf numFmtId="0" fontId="0" fillId="0" borderId="17"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1" xfId="0" applyBorder="1">
      <alignment vertical="center"/>
    </xf>
    <xf numFmtId="0" fontId="2" fillId="3" borderId="23" xfId="0" applyFont="1" applyFill="1" applyBorder="1" applyAlignment="1">
      <alignment horizontal="center" vertical="center"/>
    </xf>
    <xf numFmtId="0" fontId="0" fillId="0" borderId="24" xfId="0" applyBorder="1">
      <alignment vertical="center"/>
    </xf>
    <xf numFmtId="0" fontId="6" fillId="0" borderId="25" xfId="0" applyFont="1" applyBorder="1">
      <alignment vertical="center"/>
    </xf>
    <xf numFmtId="0" fontId="2" fillId="3" borderId="26" xfId="0" applyFont="1" applyFill="1" applyBorder="1" applyAlignment="1">
      <alignment horizontal="center" vertical="center"/>
    </xf>
    <xf numFmtId="0" fontId="0" fillId="0" borderId="27"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xf>
    <xf numFmtId="0" fontId="6" fillId="0" borderId="0" xfId="0" applyFont="1" applyAlignment="1">
      <alignment horizontal="center"/>
    </xf>
    <xf numFmtId="0" fontId="6" fillId="0" borderId="0" xfId="0" applyFont="1" applyAlignment="1">
      <alignment horizontal="center" wrapText="1"/>
    </xf>
    <xf numFmtId="0" fontId="0" fillId="0" borderId="0" xfId="0" applyAlignment="1">
      <alignment horizontal="center" wrapText="1"/>
    </xf>
    <xf numFmtId="0" fontId="0" fillId="0" borderId="0" xfId="0" applyAlignment="1">
      <alignment vertical="center" wrapText="1"/>
    </xf>
    <xf numFmtId="0" fontId="7" fillId="3" borderId="2" xfId="0" applyFont="1" applyFill="1"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7" xfId="0" applyFill="1" applyBorder="1" applyAlignment="1">
      <alignment horizontal="center" vertical="center"/>
    </xf>
    <xf numFmtId="0" fontId="0" fillId="0" borderId="5" xfId="0" applyFill="1" applyBorder="1" applyAlignment="1">
      <alignment horizontal="center" vertical="center"/>
    </xf>
    <xf numFmtId="0" fontId="6" fillId="0" borderId="5" xfId="0" applyFont="1" applyFill="1" applyBorder="1" applyAlignment="1">
      <alignment horizontal="center" vertical="center"/>
    </xf>
    <xf numFmtId="0" fontId="6" fillId="0" borderId="5" xfId="0" applyFont="1" applyBorder="1" applyAlignment="1">
      <alignment horizontal="center" vertical="center" wrapText="1"/>
    </xf>
    <xf numFmtId="0" fontId="0" fillId="0" borderId="6" xfId="0" applyBorder="1" applyAlignment="1">
      <alignment horizontal="center" vertical="center"/>
    </xf>
    <xf numFmtId="0" fontId="0" fillId="0" borderId="28" xfId="0" applyBorder="1" applyAlignment="1">
      <alignment horizontal="center"/>
    </xf>
    <xf numFmtId="0" fontId="6" fillId="0" borderId="7" xfId="0" applyFont="1" applyFill="1" applyBorder="1" applyAlignment="1">
      <alignment horizontal="center" vertical="center"/>
    </xf>
    <xf numFmtId="0" fontId="6" fillId="0" borderId="7" xfId="0" applyFont="1" applyBorder="1" applyAlignment="1">
      <alignment horizontal="center" vertical="center" wrapText="1"/>
    </xf>
    <xf numFmtId="0" fontId="0" fillId="0" borderId="7" xfId="0" applyBorder="1" applyAlignment="1">
      <alignment horizontal="center" vertical="center" wrapText="1"/>
    </xf>
    <xf numFmtId="0" fontId="0" fillId="0" borderId="29" xfId="0" applyBorder="1" applyAlignment="1">
      <alignment horizontal="center"/>
    </xf>
    <xf numFmtId="0" fontId="0" fillId="0" borderId="30" xfId="0" applyBorder="1" applyAlignment="1">
      <alignment horizontal="center" vertical="center"/>
    </xf>
    <xf numFmtId="0" fontId="6" fillId="0" borderId="31" xfId="0" applyFont="1" applyBorder="1" applyAlignment="1">
      <alignment vertical="center" wrapText="1"/>
    </xf>
    <xf numFmtId="0" fontId="0" fillId="0" borderId="31" xfId="0" applyBorder="1" applyAlignment="1">
      <alignment vertical="center"/>
    </xf>
    <xf numFmtId="0" fontId="7" fillId="3" borderId="4" xfId="0" applyFont="1" applyFill="1" applyBorder="1" applyAlignment="1">
      <alignment horizontal="center" vertical="center"/>
    </xf>
    <xf numFmtId="0" fontId="0" fillId="0" borderId="11" xfId="0" applyBorder="1" applyAlignment="1">
      <alignment horizontal="center" vertical="center" wrapText="1"/>
    </xf>
    <xf numFmtId="0" fontId="8" fillId="0" borderId="0" xfId="0" applyFont="1" applyAlignment="1">
      <alignment vertical="center" wrapText="1"/>
    </xf>
    <xf numFmtId="0" fontId="0" fillId="4" borderId="0" xfId="0" applyFont="1" applyFill="1">
      <alignment vertical="center"/>
    </xf>
    <xf numFmtId="0" fontId="0" fillId="5" borderId="0" xfId="0" applyFill="1">
      <alignment vertical="center"/>
    </xf>
    <xf numFmtId="0" fontId="0" fillId="0" borderId="0" xfId="0" applyFont="1" applyAlignment="1">
      <alignment vertical="center" wrapText="1"/>
    </xf>
    <xf numFmtId="0" fontId="0" fillId="6" borderId="0" xfId="0" applyFill="1">
      <alignment vertical="center"/>
    </xf>
    <xf numFmtId="0" fontId="0" fillId="4" borderId="0" xfId="0" applyFill="1">
      <alignment vertical="center"/>
    </xf>
    <xf numFmtId="0" fontId="0" fillId="0" borderId="0" xfId="0" applyFont="1">
      <alignment vertical="center"/>
    </xf>
    <xf numFmtId="0" fontId="9" fillId="0" borderId="0" xfId="0" applyFont="1" applyFill="1" applyAlignment="1">
      <alignment horizontal="center" vertical="center" wrapText="1"/>
    </xf>
    <xf numFmtId="0" fontId="10" fillId="0" borderId="7" xfId="0" applyFont="1" applyFill="1" applyBorder="1" applyAlignment="1">
      <alignment horizontal="center" vertical="center"/>
    </xf>
    <xf numFmtId="0" fontId="10" fillId="0" borderId="0" xfId="0" applyFont="1" applyFill="1" applyAlignment="1">
      <alignment horizontal="center" vertical="center"/>
    </xf>
    <xf numFmtId="0" fontId="10" fillId="0" borderId="31" xfId="0" applyFont="1" applyFill="1" applyBorder="1" applyAlignment="1">
      <alignment horizontal="center" vertical="center"/>
    </xf>
    <xf numFmtId="0" fontId="9" fillId="0" borderId="31"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9" fillId="0" borderId="32" xfId="0" applyFont="1" applyFill="1" applyBorder="1" applyAlignment="1">
      <alignment horizontal="center" vertical="center" wrapText="1"/>
    </xf>
    <xf numFmtId="0" fontId="12" fillId="0" borderId="31" xfId="0" applyFont="1" applyFill="1" applyBorder="1" applyAlignment="1">
      <alignment horizontal="center" vertical="center"/>
    </xf>
    <xf numFmtId="0" fontId="9" fillId="0" borderId="33"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10" fillId="0" borderId="34" xfId="0" applyFont="1" applyFill="1" applyBorder="1" applyAlignment="1">
      <alignment horizontal="center" vertical="center" wrapText="1"/>
    </xf>
    <xf numFmtId="0" fontId="10" fillId="0" borderId="33" xfId="0" applyFont="1" applyFill="1" applyBorder="1" applyAlignment="1">
      <alignment horizontal="center" vertical="center" wrapText="1"/>
    </xf>
    <xf numFmtId="0" fontId="10" fillId="0" borderId="32" xfId="0" applyFont="1" applyFill="1" applyBorder="1" applyAlignment="1">
      <alignment horizontal="center" vertical="center"/>
    </xf>
    <xf numFmtId="0" fontId="10" fillId="0" borderId="35" xfId="0" applyFont="1" applyFill="1" applyBorder="1" applyAlignment="1">
      <alignment horizontal="center" vertical="center"/>
    </xf>
    <xf numFmtId="0" fontId="0" fillId="0" borderId="7" xfId="0" applyBorder="1" applyAlignment="1">
      <alignment vertical="center" wrapText="1"/>
    </xf>
    <xf numFmtId="0" fontId="10" fillId="0" borderId="17" xfId="0" applyFont="1" applyFill="1" applyBorder="1" applyAlignment="1">
      <alignment horizontal="center" vertical="center"/>
    </xf>
    <xf numFmtId="0" fontId="6" fillId="0" borderId="7" xfId="0" applyFont="1" applyBorder="1">
      <alignment vertical="center"/>
    </xf>
    <xf numFmtId="0" fontId="10" fillId="0" borderId="18" xfId="0" applyFont="1" applyFill="1" applyBorder="1" applyAlignment="1">
      <alignment horizontal="center" vertical="center"/>
    </xf>
    <xf numFmtId="0" fontId="10" fillId="0" borderId="33" xfId="0" applyFont="1" applyFill="1" applyBorder="1" applyAlignment="1">
      <alignment horizontal="center" vertical="center"/>
    </xf>
    <xf numFmtId="0" fontId="10" fillId="0" borderId="0" xfId="0" applyFont="1" applyFill="1" applyAlignment="1">
      <alignment horizontal="center" vertical="center" wrapText="1"/>
    </xf>
    <xf numFmtId="0" fontId="13" fillId="0" borderId="31" xfId="0" applyFont="1" applyFill="1" applyBorder="1" applyAlignment="1">
      <alignment horizontal="center" vertical="center" wrapText="1"/>
    </xf>
    <xf numFmtId="0" fontId="10" fillId="0" borderId="3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4" fillId="0" borderId="32" xfId="0" applyFont="1" applyFill="1" applyBorder="1" applyAlignment="1">
      <alignment horizontal="center" vertical="center" wrapText="1"/>
    </xf>
    <xf numFmtId="0" fontId="14" fillId="0" borderId="31" xfId="0" applyFont="1" applyFill="1" applyBorder="1" applyAlignment="1">
      <alignment horizontal="center" vertical="center" wrapText="1"/>
    </xf>
    <xf numFmtId="0" fontId="14" fillId="0" borderId="33"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0" fillId="0" borderId="32" xfId="0" applyFont="1" applyFill="1" applyBorder="1" applyAlignment="1">
      <alignment horizontal="center" vertical="center" wrapText="1"/>
    </xf>
    <xf numFmtId="0" fontId="10" fillId="0" borderId="34" xfId="0" applyFont="1" applyFill="1" applyBorder="1" applyAlignment="1">
      <alignment horizontal="center" vertical="center"/>
    </xf>
    <xf numFmtId="0" fontId="14" fillId="0" borderId="31" xfId="0" applyFont="1" applyFill="1" applyBorder="1" applyAlignment="1">
      <alignment horizontal="center" vertical="center"/>
    </xf>
    <xf numFmtId="0" fontId="10" fillId="0" borderId="31" xfId="0" applyFont="1" applyFill="1" applyBorder="1" applyAlignment="1">
      <alignment horizontal="center" vertical="center" wrapText="1"/>
    </xf>
    <xf numFmtId="0" fontId="15" fillId="0" borderId="0" xfId="0" applyFont="1" applyAlignment="1">
      <alignment horizontal="center" vertical="center"/>
    </xf>
    <xf numFmtId="0" fontId="16" fillId="8" borderId="31" xfId="0" applyFont="1" applyFill="1" applyBorder="1" applyAlignment="1">
      <alignment horizontal="center" vertical="center"/>
    </xf>
    <xf numFmtId="0" fontId="16" fillId="0" borderId="31" xfId="0" applyFont="1" applyBorder="1" applyAlignment="1">
      <alignment horizontal="center" vertical="center"/>
    </xf>
    <xf numFmtId="0" fontId="16" fillId="9" borderId="31" xfId="0" applyFont="1" applyFill="1" applyBorder="1" applyAlignment="1">
      <alignment horizontal="center" vertical="center"/>
    </xf>
    <xf numFmtId="0" fontId="16" fillId="0" borderId="31" xfId="0" applyFont="1" applyFill="1" applyBorder="1" applyAlignment="1">
      <alignment horizontal="center" vertical="center"/>
    </xf>
    <xf numFmtId="0" fontId="16" fillId="10" borderId="31" xfId="0" applyFont="1" applyFill="1" applyBorder="1" applyAlignment="1">
      <alignment horizontal="center" vertical="center"/>
    </xf>
    <xf numFmtId="0" fontId="16" fillId="0" borderId="0" xfId="0" applyFont="1" applyAlignment="1">
      <alignment horizontal="center" vertical="center"/>
    </xf>
    <xf numFmtId="0" fontId="15" fillId="11" borderId="31" xfId="0" applyFont="1" applyFill="1" applyBorder="1" applyAlignment="1">
      <alignment horizontal="center" vertical="center"/>
    </xf>
    <xf numFmtId="0" fontId="15" fillId="12" borderId="37" xfId="0" applyFont="1" applyFill="1" applyBorder="1" applyAlignment="1">
      <alignment horizontal="center" vertical="center"/>
    </xf>
    <xf numFmtId="0" fontId="15" fillId="12" borderId="31" xfId="0" applyFont="1" applyFill="1" applyBorder="1" applyAlignment="1">
      <alignment horizontal="center" vertical="center"/>
    </xf>
    <xf numFmtId="0" fontId="15" fillId="13" borderId="31" xfId="0" applyFont="1" applyFill="1" applyBorder="1" applyAlignment="1">
      <alignment horizontal="center" vertical="center"/>
    </xf>
    <xf numFmtId="0" fontId="16" fillId="9" borderId="31" xfId="0" applyFont="1" applyFill="1" applyBorder="1" applyAlignment="1">
      <alignment horizontal="center" vertical="center" wrapText="1"/>
    </xf>
    <xf numFmtId="0" fontId="16" fillId="0" borderId="31" xfId="0" applyFont="1" applyFill="1" applyBorder="1" applyAlignment="1">
      <alignment horizontal="center" vertical="center" wrapText="1"/>
    </xf>
    <xf numFmtId="0" fontId="16" fillId="0" borderId="31" xfId="0" applyFont="1" applyBorder="1" applyAlignment="1">
      <alignment horizontal="center" vertical="center" wrapText="1"/>
    </xf>
    <xf numFmtId="0" fontId="0" fillId="0" borderId="0" xfId="0" applyAlignment="1">
      <alignment horizontal="right" vertical="center"/>
    </xf>
    <xf numFmtId="0" fontId="17" fillId="0" borderId="0" xfId="0" applyFont="1">
      <alignment vertical="center"/>
    </xf>
    <xf numFmtId="0" fontId="18" fillId="0" borderId="0" xfId="0" applyFont="1" applyAlignment="1">
      <alignment vertical="center" wrapText="1"/>
    </xf>
    <xf numFmtId="0" fontId="19" fillId="0" borderId="0" xfId="0" applyFont="1" applyAlignment="1">
      <alignment horizontal="center" vertical="center"/>
    </xf>
    <xf numFmtId="0" fontId="20" fillId="0" borderId="0" xfId="0" applyFont="1">
      <alignment vertical="center"/>
    </xf>
    <xf numFmtId="0" fontId="21" fillId="14" borderId="38" xfId="0" applyFont="1" applyFill="1" applyBorder="1" applyAlignment="1">
      <alignment horizontal="center" vertical="center" wrapText="1"/>
    </xf>
    <xf numFmtId="0" fontId="22" fillId="15" borderId="39" xfId="0" applyFont="1" applyFill="1" applyBorder="1" applyAlignment="1">
      <alignment horizontal="center" vertical="center"/>
    </xf>
    <xf numFmtId="0" fontId="23" fillId="0" borderId="40" xfId="0" applyFont="1" applyBorder="1" applyAlignment="1">
      <alignment horizontal="center" vertical="center"/>
    </xf>
    <xf numFmtId="0" fontId="24" fillId="15" borderId="41" xfId="0" applyFont="1" applyFill="1" applyBorder="1" applyAlignment="1">
      <alignment horizontal="center" vertical="center"/>
    </xf>
    <xf numFmtId="0" fontId="23" fillId="0" borderId="42" xfId="0" applyFont="1" applyBorder="1" applyAlignment="1">
      <alignment horizontal="center" vertical="center"/>
    </xf>
    <xf numFmtId="0" fontId="25" fillId="15" borderId="41" xfId="0" applyFont="1" applyFill="1" applyBorder="1" applyAlignment="1">
      <alignment horizontal="center" vertical="center"/>
    </xf>
    <xf numFmtId="0" fontId="23" fillId="0" borderId="41" xfId="0" applyFont="1" applyBorder="1" applyAlignment="1">
      <alignment horizontal="center" vertical="center"/>
    </xf>
    <xf numFmtId="0" fontId="21" fillId="14" borderId="43" xfId="0" applyFont="1" applyFill="1" applyBorder="1" applyAlignment="1">
      <alignment horizontal="center" vertical="center" wrapText="1"/>
    </xf>
    <xf numFmtId="0" fontId="25" fillId="16" borderId="44" xfId="0" applyFont="1" applyFill="1" applyBorder="1" applyAlignment="1">
      <alignment horizontal="center" vertical="center"/>
    </xf>
    <xf numFmtId="0" fontId="23" fillId="0" borderId="44" xfId="0" applyFont="1" applyBorder="1" applyAlignment="1">
      <alignment horizontal="center" vertical="center"/>
    </xf>
    <xf numFmtId="0" fontId="26" fillId="14" borderId="43" xfId="0" applyFont="1" applyFill="1" applyBorder="1" applyAlignment="1">
      <alignment horizontal="center" vertical="center" wrapText="1"/>
    </xf>
    <xf numFmtId="0" fontId="27" fillId="17" borderId="45" xfId="0" applyFont="1" applyFill="1" applyBorder="1" applyAlignment="1">
      <alignment horizontal="center" vertical="center"/>
    </xf>
    <xf numFmtId="0" fontId="23" fillId="18" borderId="45" xfId="0" applyFont="1" applyFill="1" applyBorder="1" applyAlignment="1">
      <alignment horizontal="center" vertical="center"/>
    </xf>
    <xf numFmtId="0" fontId="25" fillId="15" borderId="46" xfId="0" applyFont="1" applyFill="1" applyBorder="1" applyAlignment="1">
      <alignment horizontal="center" vertical="center"/>
    </xf>
    <xf numFmtId="0" fontId="23" fillId="0" borderId="47" xfId="0" applyFont="1" applyBorder="1" applyAlignment="1">
      <alignment horizontal="center" vertical="center"/>
    </xf>
    <xf numFmtId="0" fontId="22" fillId="15" borderId="46" xfId="0" applyFont="1" applyFill="1" applyBorder="1" applyAlignment="1">
      <alignment horizontal="center" vertical="center"/>
    </xf>
    <xf numFmtId="0" fontId="23" fillId="0" borderId="46" xfId="0" applyFont="1" applyBorder="1" applyAlignment="1">
      <alignment horizontal="center" vertical="center"/>
    </xf>
    <xf numFmtId="0" fontId="21" fillId="14" borderId="48" xfId="0" applyFont="1" applyFill="1" applyBorder="1" applyAlignment="1">
      <alignment horizontal="center" vertical="center" wrapText="1"/>
    </xf>
    <xf numFmtId="0" fontId="23" fillId="16" borderId="41" xfId="0" applyFont="1" applyFill="1" applyBorder="1" applyAlignment="1">
      <alignment horizontal="center" vertical="center"/>
    </xf>
    <xf numFmtId="0" fontId="26" fillId="14" borderId="48" xfId="0" applyFont="1" applyFill="1" applyBorder="1" applyAlignment="1">
      <alignment horizontal="center" vertical="center" wrapText="1"/>
    </xf>
    <xf numFmtId="0" fontId="27" fillId="17" borderId="49" xfId="0" applyFont="1" applyFill="1" applyBorder="1" applyAlignment="1">
      <alignment horizontal="center" vertical="center"/>
    </xf>
    <xf numFmtId="0" fontId="23" fillId="0" borderId="50" xfId="0" applyFont="1" applyBorder="1" applyAlignment="1">
      <alignment horizontal="center" vertical="center"/>
    </xf>
    <xf numFmtId="0" fontId="23" fillId="18" borderId="49" xfId="0" applyFont="1" applyFill="1" applyBorder="1" applyAlignment="1">
      <alignment horizontal="center" vertical="center"/>
    </xf>
    <xf numFmtId="0" fontId="25" fillId="15" borderId="51" xfId="0" applyFont="1" applyFill="1" applyBorder="1" applyAlignment="1">
      <alignment horizontal="center" vertical="center"/>
    </xf>
    <xf numFmtId="0" fontId="23" fillId="0" borderId="52" xfId="0" applyFont="1" applyBorder="1" applyAlignment="1">
      <alignment horizontal="center" vertical="center"/>
    </xf>
    <xf numFmtId="0" fontId="22" fillId="15" borderId="41" xfId="0" applyFont="1" applyFill="1" applyBorder="1" applyAlignment="1">
      <alignment horizontal="center" vertical="center"/>
    </xf>
    <xf numFmtId="0" fontId="23" fillId="16" borderId="46" xfId="0" applyFont="1" applyFill="1" applyBorder="1" applyAlignment="1">
      <alignment horizontal="center" vertical="center"/>
    </xf>
    <xf numFmtId="0" fontId="27" fillId="17" borderId="53" xfId="0" applyFont="1" applyFill="1" applyBorder="1" applyAlignment="1">
      <alignment horizontal="center" vertical="center"/>
    </xf>
    <xf numFmtId="0" fontId="23" fillId="18" borderId="53" xfId="0" applyFont="1" applyFill="1" applyBorder="1" applyAlignment="1">
      <alignment horizontal="center" vertical="center"/>
    </xf>
    <xf numFmtId="0" fontId="25" fillId="15" borderId="54" xfId="0" applyFont="1" applyFill="1" applyBorder="1" applyAlignment="1">
      <alignment horizontal="center" vertical="center"/>
    </xf>
    <xf numFmtId="0" fontId="25" fillId="0" borderId="46" xfId="0" applyFont="1" applyBorder="1" applyAlignment="1">
      <alignment horizontal="center" vertical="center"/>
    </xf>
    <xf numFmtId="0" fontId="23" fillId="0" borderId="51" xfId="0" applyFont="1" applyBorder="1" applyAlignment="1">
      <alignment horizontal="center" vertical="center"/>
    </xf>
    <xf numFmtId="0" fontId="23" fillId="18" borderId="55" xfId="0" applyFont="1" applyFill="1" applyBorder="1" applyAlignment="1">
      <alignment horizontal="center" vertical="center"/>
    </xf>
    <xf numFmtId="0" fontId="25" fillId="15" borderId="56" xfId="0" applyFont="1" applyFill="1" applyBorder="1" applyAlignment="1">
      <alignment horizontal="center" vertical="center"/>
    </xf>
    <xf numFmtId="0" fontId="18" fillId="19" borderId="56" xfId="0" applyFont="1" applyFill="1" applyBorder="1" applyAlignment="1">
      <alignment horizontal="center" vertical="center"/>
    </xf>
    <xf numFmtId="0" fontId="22" fillId="15" borderId="44" xfId="0" applyFont="1" applyFill="1" applyBorder="1" applyAlignment="1">
      <alignment horizontal="center" vertical="center"/>
    </xf>
    <xf numFmtId="0" fontId="23" fillId="0" borderId="57" xfId="0" applyFont="1" applyBorder="1" applyAlignment="1">
      <alignment horizontal="center" vertical="center"/>
    </xf>
    <xf numFmtId="0" fontId="25" fillId="15" borderId="58" xfId="0" applyFont="1" applyFill="1" applyBorder="1" applyAlignment="1">
      <alignment horizontal="center" vertical="center"/>
    </xf>
    <xf numFmtId="0" fontId="23" fillId="0" borderId="59" xfId="0" applyFont="1" applyBorder="1" applyAlignment="1">
      <alignment horizontal="center" vertical="center"/>
    </xf>
    <xf numFmtId="0" fontId="25" fillId="15" borderId="55" xfId="0" applyFont="1" applyFill="1" applyBorder="1" applyAlignment="1">
      <alignment horizontal="center" vertical="center"/>
    </xf>
    <xf numFmtId="0" fontId="27" fillId="17" borderId="60" xfId="0" applyFont="1" applyFill="1" applyBorder="1" applyAlignment="1">
      <alignment horizontal="center" vertical="center"/>
    </xf>
    <xf numFmtId="0" fontId="21" fillId="14" borderId="61" xfId="0" applyFont="1" applyFill="1" applyBorder="1" applyAlignment="1">
      <alignment horizontal="center" vertical="center" wrapText="1"/>
    </xf>
    <xf numFmtId="0" fontId="21" fillId="14" borderId="44" xfId="0" applyFont="1" applyFill="1" applyBorder="1" applyAlignment="1">
      <alignment horizontal="center" vertical="center"/>
    </xf>
    <xf numFmtId="0" fontId="23" fillId="16" borderId="51" xfId="0" applyFont="1" applyFill="1" applyBorder="1" applyAlignment="1">
      <alignment horizontal="center" vertical="center"/>
    </xf>
    <xf numFmtId="0" fontId="21" fillId="14" borderId="62" xfId="0" applyFont="1" applyFill="1" applyBorder="1" applyAlignment="1">
      <alignment horizontal="center" vertical="center" wrapText="1"/>
    </xf>
    <xf numFmtId="0" fontId="21" fillId="14" borderId="58" xfId="0" applyFont="1" applyFill="1" applyBorder="1" applyAlignment="1">
      <alignment horizontal="center" vertical="center"/>
    </xf>
    <xf numFmtId="0" fontId="27" fillId="17" borderId="39" xfId="0" applyFont="1" applyFill="1" applyBorder="1" applyAlignment="1">
      <alignment horizontal="center" vertical="center"/>
    </xf>
    <xf numFmtId="0" fontId="23" fillId="0" borderId="39" xfId="0" applyFont="1" applyBorder="1" applyAlignment="1">
      <alignment horizontal="center" vertical="center"/>
    </xf>
    <xf numFmtId="0" fontId="28" fillId="17" borderId="49" xfId="0" applyFont="1" applyFill="1" applyBorder="1" applyAlignment="1">
      <alignment horizontal="center" vertical="center"/>
    </xf>
    <xf numFmtId="0" fontId="18" fillId="0" borderId="61" xfId="0" applyFont="1" applyBorder="1" applyAlignment="1">
      <alignment horizontal="center" vertical="top" wrapText="1"/>
    </xf>
    <xf numFmtId="0" fontId="0" fillId="0" borderId="44" xfId="0" applyBorder="1" applyAlignment="1">
      <alignment horizontal="center" vertical="top"/>
    </xf>
    <xf numFmtId="0" fontId="28" fillId="17" borderId="54" xfId="0" applyFont="1" applyFill="1" applyBorder="1" applyAlignment="1">
      <alignment horizontal="center" vertical="center"/>
    </xf>
    <xf numFmtId="0" fontId="23" fillId="0" borderId="54" xfId="0" applyFont="1" applyBorder="1" applyAlignment="1">
      <alignment horizontal="center" vertical="center"/>
    </xf>
    <xf numFmtId="0" fontId="28" fillId="17" borderId="53" xfId="0" applyFont="1" applyFill="1" applyBorder="1" applyAlignment="1">
      <alignment horizontal="center" vertical="center"/>
    </xf>
    <xf numFmtId="0" fontId="29" fillId="19" borderId="56" xfId="0" applyFont="1" applyFill="1" applyBorder="1" applyAlignment="1">
      <alignment horizontal="center" vertical="center"/>
    </xf>
    <xf numFmtId="0" fontId="18" fillId="0" borderId="63" xfId="0" applyFont="1" applyBorder="1" applyAlignment="1">
      <alignment horizontal="center" vertical="top" wrapText="1"/>
    </xf>
    <xf numFmtId="0" fontId="0" fillId="0" borderId="0" xfId="0" applyAlignment="1">
      <alignment horizontal="center" vertical="top"/>
    </xf>
    <xf numFmtId="0" fontId="0" fillId="0" borderId="0" xfId="0" applyBorder="1" applyAlignment="1">
      <alignment horizontal="center" vertical="top"/>
    </xf>
    <xf numFmtId="0" fontId="28" fillId="17" borderId="46" xfId="0" applyFont="1" applyFill="1" applyBorder="1" applyAlignment="1">
      <alignment horizontal="center" vertical="center"/>
    </xf>
    <xf numFmtId="0" fontId="28" fillId="17" borderId="55" xfId="0" applyFont="1" applyFill="1" applyBorder="1" applyAlignment="1">
      <alignment horizontal="center" vertical="center"/>
    </xf>
    <xf numFmtId="0" fontId="23" fillId="20" borderId="45" xfId="0" applyFont="1" applyFill="1" applyBorder="1" applyAlignment="1">
      <alignment horizontal="center" vertical="center"/>
    </xf>
    <xf numFmtId="0" fontId="28" fillId="17" borderId="64" xfId="0" applyFont="1" applyFill="1" applyBorder="1" applyAlignment="1">
      <alignment horizontal="center" vertical="center"/>
    </xf>
    <xf numFmtId="0" fontId="25" fillId="21" borderId="44" xfId="0" applyFont="1" applyFill="1" applyBorder="1" applyAlignment="1">
      <alignment horizontal="center" vertical="center"/>
    </xf>
    <xf numFmtId="0" fontId="23" fillId="20" borderId="49" xfId="0" applyFont="1" applyFill="1" applyBorder="1" applyAlignment="1">
      <alignment horizontal="center" vertical="center"/>
    </xf>
    <xf numFmtId="0" fontId="23" fillId="18" borderId="39" xfId="0" applyFont="1" applyFill="1" applyBorder="1" applyAlignment="1">
      <alignment horizontal="center" vertical="center"/>
    </xf>
    <xf numFmtId="0" fontId="23" fillId="21" borderId="41" xfId="0" applyFont="1" applyFill="1" applyBorder="1" applyAlignment="1">
      <alignment horizontal="center" vertical="center"/>
    </xf>
    <xf numFmtId="0" fontId="23" fillId="20" borderId="53" xfId="0" applyFont="1" applyFill="1" applyBorder="1" applyAlignment="1">
      <alignment horizontal="center" vertical="center"/>
    </xf>
    <xf numFmtId="0" fontId="23" fillId="18" borderId="54" xfId="0" applyFont="1" applyFill="1" applyBorder="1" applyAlignment="1">
      <alignment horizontal="center" vertical="center"/>
    </xf>
    <xf numFmtId="0" fontId="23" fillId="21" borderId="46" xfId="0" applyFont="1" applyFill="1" applyBorder="1" applyAlignment="1">
      <alignment horizontal="center" vertical="center"/>
    </xf>
    <xf numFmtId="0" fontId="23" fillId="20" borderId="60" xfId="0" applyFont="1" applyFill="1" applyBorder="1" applyAlignment="1">
      <alignment horizontal="center" vertical="center"/>
    </xf>
    <xf numFmtId="0" fontId="23" fillId="18" borderId="46" xfId="0" applyFont="1" applyFill="1" applyBorder="1" applyAlignment="1">
      <alignment horizontal="center" vertical="center"/>
    </xf>
    <xf numFmtId="0" fontId="23" fillId="21" borderId="64" xfId="0" applyFont="1" applyFill="1" applyBorder="1" applyAlignment="1">
      <alignment horizontal="center" vertical="center"/>
    </xf>
    <xf numFmtId="0" fontId="25" fillId="21" borderId="39" xfId="0" applyFont="1" applyFill="1" applyBorder="1" applyAlignment="1">
      <alignment horizontal="center" vertical="center"/>
    </xf>
    <xf numFmtId="0" fontId="23" fillId="18" borderId="64" xfId="0" applyFont="1" applyFill="1" applyBorder="1" applyAlignment="1">
      <alignment horizontal="center" vertical="center"/>
    </xf>
    <xf numFmtId="0" fontId="23" fillId="21" borderId="54" xfId="0" applyFont="1" applyFill="1" applyBorder="1" applyAlignment="1">
      <alignment horizontal="center" vertical="center"/>
    </xf>
    <xf numFmtId="0" fontId="25" fillId="22" borderId="39" xfId="0" applyFont="1" applyFill="1" applyBorder="1" applyAlignment="1">
      <alignment horizontal="center" vertical="center"/>
    </xf>
    <xf numFmtId="0" fontId="23" fillId="20" borderId="55" xfId="0" applyFont="1" applyFill="1" applyBorder="1" applyAlignment="1">
      <alignment horizontal="center" vertical="center"/>
    </xf>
    <xf numFmtId="0" fontId="23" fillId="0" borderId="65" xfId="0" applyFont="1" applyBorder="1" applyAlignment="1">
      <alignment horizontal="center" vertical="center"/>
    </xf>
    <xf numFmtId="0" fontId="21" fillId="14" borderId="66" xfId="0" applyFont="1" applyFill="1" applyBorder="1" applyAlignment="1">
      <alignment horizontal="center" vertical="center" wrapText="1"/>
    </xf>
    <xf numFmtId="0" fontId="25" fillId="22" borderId="58" xfId="0" applyFont="1" applyFill="1" applyBorder="1" applyAlignment="1">
      <alignment horizontal="center" vertical="center"/>
    </xf>
    <xf numFmtId="0" fontId="25" fillId="0" borderId="58" xfId="0" applyFont="1" applyBorder="1" applyAlignment="1">
      <alignment horizontal="center" vertical="center"/>
    </xf>
    <xf numFmtId="0" fontId="26" fillId="14" borderId="66" xfId="0" applyFont="1" applyFill="1" applyBorder="1" applyAlignment="1">
      <alignment horizontal="center" vertical="center" wrapText="1"/>
    </xf>
    <xf numFmtId="0" fontId="23" fillId="21" borderId="51" xfId="0" applyFont="1" applyFill="1" applyBorder="1" applyAlignment="1">
      <alignment horizontal="center" vertical="center"/>
    </xf>
    <xf numFmtId="0" fontId="24" fillId="22" borderId="58" xfId="0" applyFont="1" applyFill="1" applyBorder="1" applyAlignment="1">
      <alignment horizontal="center" vertical="center" wrapText="1"/>
    </xf>
    <xf numFmtId="0" fontId="0" fillId="0" borderId="65" xfId="0" applyBorder="1" applyAlignment="1">
      <alignment horizontal="center" vertical="top"/>
    </xf>
    <xf numFmtId="0" fontId="6" fillId="23" borderId="43" xfId="0" applyFont="1" applyFill="1" applyBorder="1" applyAlignment="1">
      <alignment horizontal="center" vertical="center"/>
    </xf>
    <xf numFmtId="0" fontId="22" fillId="15" borderId="49" xfId="0" applyFont="1" applyFill="1" applyBorder="1" applyAlignment="1">
      <alignment horizontal="center" vertical="center"/>
    </xf>
    <xf numFmtId="0" fontId="6" fillId="23" borderId="48" xfId="0" applyFont="1" applyFill="1" applyBorder="1" applyAlignment="1">
      <alignment horizontal="center" vertical="center"/>
    </xf>
    <xf numFmtId="0" fontId="25" fillId="15" borderId="62" xfId="0" applyFont="1" applyFill="1" applyBorder="1" applyAlignment="1">
      <alignment horizontal="center" vertical="center"/>
    </xf>
    <xf numFmtId="0" fontId="23" fillId="0" borderId="58" xfId="0" applyFont="1" applyBorder="1" applyAlignment="1">
      <alignment horizontal="center" vertical="center"/>
    </xf>
    <xf numFmtId="0" fontId="25" fillId="15" borderId="45" xfId="0" applyFont="1" applyFill="1" applyBorder="1" applyAlignment="1">
      <alignment horizontal="center" vertical="center"/>
    </xf>
    <xf numFmtId="0" fontId="23" fillId="0" borderId="67" xfId="0" applyFont="1" applyBorder="1" applyAlignment="1">
      <alignment horizontal="center" vertical="center"/>
    </xf>
    <xf numFmtId="0" fontId="18" fillId="0" borderId="62" xfId="0" applyFont="1" applyBorder="1" applyAlignment="1">
      <alignment horizontal="center" vertical="top" wrapText="1"/>
    </xf>
    <xf numFmtId="0" fontId="0" fillId="0" borderId="58" xfId="0" applyBorder="1" applyAlignment="1">
      <alignment horizontal="center" vertical="top"/>
    </xf>
    <xf numFmtId="0" fontId="0" fillId="0" borderId="59" xfId="0" applyBorder="1" applyAlignment="1">
      <alignment horizontal="center" vertical="top"/>
    </xf>
    <xf numFmtId="0" fontId="22" fillId="15" borderId="55" xfId="0" applyFont="1" applyFill="1" applyBorder="1" applyAlignment="1">
      <alignment horizontal="center" vertical="center"/>
    </xf>
    <xf numFmtId="0" fontId="6" fillId="23" borderId="66" xfId="0" applyFont="1" applyFill="1" applyBorder="1" applyAlignment="1">
      <alignment horizontal="center" vertical="center"/>
    </xf>
    <xf numFmtId="0" fontId="25" fillId="0" borderId="52" xfId="0" applyFont="1" applyBorder="1" applyAlignment="1">
      <alignment horizontal="center" vertical="center"/>
    </xf>
    <xf numFmtId="0" fontId="30" fillId="15" borderId="45" xfId="0" applyFont="1" applyFill="1" applyBorder="1" applyAlignment="1">
      <alignment horizontal="center" vertical="center"/>
    </xf>
    <xf numFmtId="0" fontId="26" fillId="14" borderId="44" xfId="0" applyFont="1" applyFill="1" applyBorder="1" applyAlignment="1">
      <alignment horizontal="center" vertical="center" wrapText="1"/>
    </xf>
    <xf numFmtId="0" fontId="26" fillId="14" borderId="0" xfId="0" applyFont="1" applyFill="1" applyAlignment="1">
      <alignment horizontal="center" vertical="center" wrapText="1"/>
    </xf>
    <xf numFmtId="0" fontId="22" fillId="15" borderId="62" xfId="0" applyFont="1" applyFill="1" applyBorder="1" applyAlignment="1">
      <alignment horizontal="center" vertical="center"/>
    </xf>
    <xf numFmtId="0" fontId="10" fillId="0" borderId="0" xfId="0" applyFont="1" applyFill="1" applyAlignment="1">
      <alignment vertical="center"/>
    </xf>
    <xf numFmtId="0" fontId="31" fillId="5" borderId="68" xfId="0" applyFont="1" applyFill="1" applyBorder="1" applyAlignment="1">
      <alignment horizontal="center" vertical="center" wrapText="1"/>
    </xf>
    <xf numFmtId="0" fontId="31" fillId="5" borderId="69" xfId="0" applyFont="1" applyFill="1" applyBorder="1" applyAlignment="1">
      <alignment horizontal="center" vertical="center" wrapText="1"/>
    </xf>
    <xf numFmtId="0" fontId="31" fillId="5" borderId="14" xfId="0" applyFont="1" applyFill="1" applyBorder="1" applyAlignment="1">
      <alignment horizontal="center" vertical="center" wrapText="1"/>
    </xf>
    <xf numFmtId="0" fontId="31" fillId="5" borderId="70" xfId="0" applyFont="1" applyFill="1" applyBorder="1" applyAlignment="1">
      <alignment horizontal="center" vertical="center" wrapText="1"/>
    </xf>
    <xf numFmtId="0" fontId="31" fillId="5" borderId="15" xfId="0" applyFont="1" applyFill="1" applyBorder="1" applyAlignment="1">
      <alignment horizontal="center" vertical="center" wrapText="1"/>
    </xf>
    <xf numFmtId="0" fontId="0" fillId="0" borderId="0" xfId="0" applyFont="1" applyFill="1" applyAlignment="1">
      <alignment horizontal="center" vertical="center" wrapText="1"/>
    </xf>
    <xf numFmtId="0" fontId="18" fillId="24" borderId="71" xfId="0" applyFont="1" applyFill="1" applyBorder="1" applyAlignment="1">
      <alignment horizontal="center" vertical="center" wrapText="1"/>
    </xf>
    <xf numFmtId="0" fontId="18" fillId="0" borderId="72" xfId="0" applyFont="1" applyFill="1" applyBorder="1" applyAlignment="1">
      <alignment horizontal="center" vertical="center" wrapText="1"/>
    </xf>
    <xf numFmtId="0" fontId="0" fillId="0" borderId="73" xfId="0" applyFont="1" applyFill="1" applyBorder="1" applyAlignment="1">
      <alignment horizontal="left" vertical="center" wrapText="1"/>
    </xf>
    <xf numFmtId="0" fontId="18" fillId="0" borderId="74" xfId="0" applyFont="1" applyFill="1" applyBorder="1" applyAlignment="1">
      <alignment horizontal="center" vertical="center" wrapText="1"/>
    </xf>
    <xf numFmtId="0" fontId="0" fillId="0" borderId="75" xfId="0" applyFont="1" applyFill="1" applyBorder="1" applyAlignment="1">
      <alignment horizontal="left" vertical="center" wrapText="1"/>
    </xf>
    <xf numFmtId="0" fontId="18" fillId="0" borderId="76" xfId="0" applyFont="1" applyFill="1" applyBorder="1" applyAlignment="1">
      <alignment horizontal="center" vertical="center" wrapText="1"/>
    </xf>
    <xf numFmtId="0" fontId="18" fillId="0" borderId="6" xfId="0" applyFont="1" applyFill="1" applyBorder="1" applyAlignment="1">
      <alignment horizontal="center" vertical="center" wrapText="1"/>
    </xf>
    <xf numFmtId="0" fontId="18" fillId="24" borderId="77" xfId="0" applyFont="1" applyFill="1" applyBorder="1" applyAlignment="1">
      <alignment horizontal="center" vertical="center" wrapText="1"/>
    </xf>
    <xf numFmtId="0" fontId="18" fillId="0" borderId="78" xfId="0" applyFont="1" applyFill="1" applyBorder="1" applyAlignment="1">
      <alignment horizontal="center" vertical="center" wrapText="1"/>
    </xf>
    <xf numFmtId="0" fontId="0" fillId="0" borderId="79" xfId="0" applyFont="1" applyFill="1" applyBorder="1" applyAlignment="1">
      <alignment horizontal="left" vertical="center" wrapText="1"/>
    </xf>
    <xf numFmtId="0" fontId="18" fillId="0" borderId="80" xfId="0" applyFont="1" applyFill="1" applyBorder="1" applyAlignment="1">
      <alignment horizontal="center" vertical="center" wrapText="1"/>
    </xf>
    <xf numFmtId="0" fontId="0" fillId="0" borderId="81" xfId="0" applyFont="1" applyFill="1" applyBorder="1" applyAlignment="1">
      <alignment horizontal="left" vertical="center" wrapText="1"/>
    </xf>
    <xf numFmtId="0" fontId="18" fillId="0" borderId="82"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6" fillId="0" borderId="81" xfId="0" applyFont="1" applyFill="1" applyBorder="1" applyAlignment="1">
      <alignment horizontal="left" vertical="center" wrapText="1"/>
    </xf>
    <xf numFmtId="0" fontId="6" fillId="0" borderId="79" xfId="0" applyFont="1" applyFill="1" applyBorder="1" applyAlignment="1">
      <alignment horizontal="left" vertical="center" wrapText="1"/>
    </xf>
    <xf numFmtId="0" fontId="18" fillId="24" borderId="83" xfId="0" applyFont="1" applyFill="1" applyBorder="1" applyAlignment="1">
      <alignment horizontal="center" vertical="center" wrapText="1"/>
    </xf>
    <xf numFmtId="0" fontId="18" fillId="0" borderId="84" xfId="0" applyFont="1" applyFill="1" applyBorder="1" applyAlignment="1">
      <alignment horizontal="center" vertical="center" wrapText="1"/>
    </xf>
    <xf numFmtId="0" fontId="0" fillId="0" borderId="85" xfId="0" applyFont="1" applyFill="1" applyBorder="1" applyAlignment="1">
      <alignment horizontal="left" vertical="center" wrapText="1"/>
    </xf>
    <xf numFmtId="0" fontId="18" fillId="0" borderId="86" xfId="0" applyFont="1" applyFill="1" applyBorder="1" applyAlignment="1">
      <alignment horizontal="center" vertical="center" wrapText="1"/>
    </xf>
    <xf numFmtId="0" fontId="0" fillId="0" borderId="87" xfId="0" applyFont="1" applyFill="1" applyBorder="1" applyAlignment="1">
      <alignment horizontal="left" vertical="center" wrapText="1"/>
    </xf>
    <xf numFmtId="0" fontId="18" fillId="0" borderId="88"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32" fillId="5" borderId="89" xfId="0" applyFont="1" applyFill="1" applyBorder="1" applyAlignment="1">
      <alignment horizontal="center" vertical="center"/>
    </xf>
    <xf numFmtId="0" fontId="32" fillId="5" borderId="0" xfId="0" applyFont="1" applyFill="1" applyAlignment="1">
      <alignment horizontal="center" vertical="center"/>
    </xf>
    <xf numFmtId="0" fontId="33" fillId="0" borderId="89" xfId="0" applyFont="1" applyFill="1" applyBorder="1" applyAlignment="1">
      <alignment horizontal="center" vertical="center"/>
    </xf>
    <xf numFmtId="0" fontId="33" fillId="0" borderId="0" xfId="0" applyFont="1" applyFill="1" applyAlignment="1">
      <alignment horizontal="center" vertical="center"/>
    </xf>
    <xf numFmtId="0" fontId="0" fillId="0" borderId="0" xfId="0" applyAlignment="1">
      <alignment horizontal="center" vertical="center" wrapText="1"/>
    </xf>
    <xf numFmtId="0" fontId="21" fillId="25" borderId="90" xfId="0" applyFont="1" applyFill="1" applyBorder="1" applyAlignment="1">
      <alignment horizontal="center" vertical="center" wrapText="1"/>
    </xf>
    <xf numFmtId="0" fontId="21" fillId="25" borderId="91" xfId="0" applyFont="1" applyFill="1" applyBorder="1" applyAlignment="1">
      <alignment horizontal="center" vertical="center" wrapText="1"/>
    </xf>
    <xf numFmtId="0" fontId="21" fillId="25" borderId="91" xfId="0" applyFont="1" applyFill="1" applyBorder="1" applyAlignment="1">
      <alignment horizontal="left" vertical="center" wrapText="1"/>
    </xf>
    <xf numFmtId="0" fontId="21" fillId="25" borderId="92" xfId="0" applyFont="1" applyFill="1" applyBorder="1" applyAlignment="1">
      <alignment horizontal="center" vertical="center" wrapText="1"/>
    </xf>
    <xf numFmtId="0" fontId="21" fillId="14" borderId="93" xfId="0" applyFont="1" applyFill="1" applyBorder="1" applyAlignment="1">
      <alignment horizontal="center" vertical="center" wrapText="1"/>
    </xf>
    <xf numFmtId="0" fontId="34" fillId="26" borderId="31" xfId="0" applyFont="1" applyFill="1" applyBorder="1" applyAlignment="1">
      <alignment horizontal="center" vertical="center" wrapText="1"/>
    </xf>
    <xf numFmtId="0" fontId="13" fillId="0" borderId="31" xfId="0" applyFont="1" applyBorder="1" applyAlignment="1">
      <alignment horizontal="left" vertical="center" wrapText="1"/>
    </xf>
    <xf numFmtId="0" fontId="35" fillId="0" borderId="94" xfId="0" applyFont="1" applyBorder="1" applyAlignment="1">
      <alignment horizontal="center" vertical="center" wrapText="1"/>
    </xf>
    <xf numFmtId="0" fontId="21" fillId="27" borderId="93" xfId="0" applyFont="1" applyFill="1" applyBorder="1" applyAlignment="1">
      <alignment horizontal="center" vertical="center" wrapText="1"/>
    </xf>
    <xf numFmtId="0" fontId="36" fillId="0" borderId="94" xfId="0" applyFont="1" applyBorder="1" applyAlignment="1">
      <alignment horizontal="center" vertical="center" wrapText="1"/>
    </xf>
    <xf numFmtId="0" fontId="37" fillId="27" borderId="95" xfId="0" applyFont="1" applyFill="1" applyBorder="1" applyAlignment="1">
      <alignment horizontal="center" vertical="center" wrapText="1"/>
    </xf>
    <xf numFmtId="0" fontId="21" fillId="28" borderId="93" xfId="0" applyFont="1" applyFill="1" applyBorder="1" applyAlignment="1">
      <alignment horizontal="center" vertical="center" wrapText="1"/>
    </xf>
    <xf numFmtId="0" fontId="34" fillId="29" borderId="31" xfId="0" applyFont="1" applyFill="1" applyBorder="1" applyAlignment="1">
      <alignment horizontal="center" vertical="center" wrapText="1"/>
    </xf>
    <xf numFmtId="0" fontId="21" fillId="27" borderId="96" xfId="0" applyFont="1" applyFill="1" applyBorder="1" applyAlignment="1">
      <alignment horizontal="center" vertical="center" wrapText="1"/>
    </xf>
    <xf numFmtId="0" fontId="13" fillId="0" borderId="97" xfId="0" applyFont="1" applyBorder="1" applyAlignment="1">
      <alignment horizontal="left" vertical="center" wrapText="1"/>
    </xf>
    <xf numFmtId="0" fontId="36" fillId="0" borderId="98" xfId="0" applyFont="1" applyBorder="1" applyAlignment="1">
      <alignment horizontal="center" vertical="center" wrapText="1"/>
    </xf>
    <xf numFmtId="0" fontId="21" fillId="30" borderId="93" xfId="0" applyFont="1" applyFill="1" applyBorder="1" applyAlignment="1">
      <alignment horizontal="center" vertical="center" wrapText="1"/>
    </xf>
    <xf numFmtId="0" fontId="21" fillId="31" borderId="93" xfId="0" applyFont="1" applyFill="1" applyBorder="1" applyAlignment="1">
      <alignment horizontal="center" vertical="center" wrapText="1"/>
    </xf>
    <xf numFmtId="0" fontId="34" fillId="32" borderId="31" xfId="0" applyFont="1" applyFill="1" applyBorder="1" applyAlignment="1">
      <alignment horizontal="center" vertical="center" wrapText="1"/>
    </xf>
    <xf numFmtId="0" fontId="38" fillId="31" borderId="95" xfId="0" applyFont="1" applyFill="1" applyBorder="1" applyAlignment="1">
      <alignment horizontal="center" vertical="center" wrapText="1"/>
    </xf>
    <xf numFmtId="0" fontId="39" fillId="32" borderId="40" xfId="0" applyFont="1" applyFill="1" applyBorder="1" applyAlignment="1">
      <alignment horizontal="center" vertical="center" wrapText="1"/>
    </xf>
    <xf numFmtId="0" fontId="13" fillId="0" borderId="57" xfId="0" applyFont="1" applyBorder="1" applyAlignment="1">
      <alignment horizontal="left" vertical="center" wrapText="1"/>
    </xf>
    <xf numFmtId="0" fontId="40" fillId="0" borderId="99" xfId="0" applyFont="1" applyBorder="1" applyAlignment="1">
      <alignment horizontal="center" vertical="center" wrapText="1"/>
    </xf>
    <xf numFmtId="0" fontId="13" fillId="0" borderId="59" xfId="0" applyFont="1" applyBorder="1" applyAlignment="1">
      <alignment horizontal="left" vertical="center" wrapText="1"/>
    </xf>
    <xf numFmtId="0" fontId="38" fillId="31" borderId="100" xfId="0" applyFont="1" applyFill="1" applyBorder="1" applyAlignment="1">
      <alignment horizontal="center" vertical="center" wrapText="1"/>
    </xf>
    <xf numFmtId="0" fontId="39" fillId="32" borderId="59" xfId="0" applyFont="1" applyFill="1" applyBorder="1" applyAlignment="1">
      <alignment horizontal="center" vertical="center" wrapText="1"/>
    </xf>
    <xf numFmtId="0" fontId="13" fillId="0" borderId="65" xfId="0" applyFont="1" applyBorder="1" applyAlignment="1">
      <alignment horizontal="left" vertical="center" wrapText="1"/>
    </xf>
    <xf numFmtId="0" fontId="40" fillId="0" borderId="101" xfId="0" applyFont="1" applyBorder="1" applyAlignment="1">
      <alignment horizontal="center" vertical="center" wrapText="1"/>
    </xf>
    <xf numFmtId="0" fontId="13" fillId="0" borderId="40" xfId="0" applyFont="1" applyBorder="1" applyAlignment="1">
      <alignment horizontal="left" vertical="center" wrapText="1"/>
    </xf>
    <xf numFmtId="0" fontId="21" fillId="33" borderId="93" xfId="0" applyFont="1" applyFill="1" applyBorder="1" applyAlignment="1">
      <alignment horizontal="center" vertical="center" wrapText="1"/>
    </xf>
    <xf numFmtId="0" fontId="34" fillId="34" borderId="31" xfId="0" applyFont="1" applyFill="1" applyBorder="1" applyAlignment="1">
      <alignment horizontal="center" vertical="center" wrapText="1"/>
    </xf>
    <xf numFmtId="0" fontId="21" fillId="35" borderId="93" xfId="0" applyFont="1" applyFill="1" applyBorder="1" applyAlignment="1">
      <alignment horizontal="center" vertical="center" wrapText="1"/>
    </xf>
    <xf numFmtId="0" fontId="34" fillId="36" borderId="31" xfId="0" applyFont="1" applyFill="1" applyBorder="1" applyAlignment="1">
      <alignment horizontal="center" vertical="center" wrapText="1"/>
    </xf>
    <xf numFmtId="0" fontId="16" fillId="0" borderId="0" xfId="0" applyFont="1" applyFill="1" applyBorder="1" applyAlignment="1">
      <alignment horizontal="center" vertical="center"/>
    </xf>
    <xf numFmtId="0" fontId="15" fillId="5" borderId="7" xfId="0" applyFont="1" applyFill="1" applyBorder="1" applyAlignment="1">
      <alignment horizontal="center" vertical="center"/>
    </xf>
    <xf numFmtId="0" fontId="15" fillId="37" borderId="7" xfId="0" applyFont="1" applyFill="1" applyBorder="1" applyAlignment="1">
      <alignment horizontal="center" vertical="center" wrapText="1"/>
    </xf>
    <xf numFmtId="0" fontId="15" fillId="38" borderId="7" xfId="0" applyFont="1" applyFill="1" applyBorder="1" applyAlignment="1">
      <alignment horizontal="center" vertical="center" wrapText="1"/>
    </xf>
    <xf numFmtId="0" fontId="16" fillId="39" borderId="7" xfId="0" applyFont="1" applyFill="1" applyBorder="1" applyAlignment="1">
      <alignment horizontal="center" vertical="center" wrapText="1"/>
    </xf>
    <xf numFmtId="0" fontId="16" fillId="40" borderId="7" xfId="0" applyFont="1" applyFill="1" applyBorder="1" applyAlignment="1">
      <alignment horizontal="center" vertical="center" wrapText="1"/>
    </xf>
    <xf numFmtId="0" fontId="15" fillId="41" borderId="7" xfId="0" applyFont="1" applyFill="1" applyBorder="1" applyAlignment="1">
      <alignment horizontal="center" vertical="center" wrapText="1"/>
    </xf>
    <xf numFmtId="0" fontId="16" fillId="42" borderId="7" xfId="0" applyFont="1" applyFill="1" applyBorder="1" applyAlignment="1">
      <alignment horizontal="center" vertical="center" wrapText="1"/>
    </xf>
    <xf numFmtId="0" fontId="16" fillId="43" borderId="7" xfId="0" applyFont="1" applyFill="1" applyBorder="1" applyAlignment="1">
      <alignment horizontal="center" vertical="center" wrapText="1"/>
    </xf>
    <xf numFmtId="0" fontId="15" fillId="44" borderId="7" xfId="0" applyFont="1" applyFill="1" applyBorder="1" applyAlignment="1">
      <alignment horizontal="center" vertical="center" wrapText="1"/>
    </xf>
    <xf numFmtId="0" fontId="16" fillId="45" borderId="7"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5" fillId="46" borderId="7" xfId="0" applyFont="1" applyFill="1" applyBorder="1" applyAlignment="1">
      <alignment horizontal="center" vertical="center" wrapText="1"/>
    </xf>
    <xf numFmtId="0" fontId="16" fillId="47" borderId="7" xfId="0" applyFont="1" applyFill="1" applyBorder="1" applyAlignment="1">
      <alignment horizontal="center" vertical="center" wrapText="1"/>
    </xf>
    <xf numFmtId="0" fontId="16" fillId="48" borderId="7" xfId="0" applyFont="1" applyFill="1" applyBorder="1" applyAlignment="1">
      <alignment horizontal="center" vertical="center" wrapText="1"/>
    </xf>
    <xf numFmtId="0" fontId="15" fillId="49" borderId="7" xfId="0" applyFont="1" applyFill="1" applyBorder="1" applyAlignment="1">
      <alignment horizontal="center" vertical="center" wrapText="1"/>
    </xf>
    <xf numFmtId="0" fontId="16" fillId="50" borderId="7" xfId="0" applyFont="1" applyFill="1" applyBorder="1" applyAlignment="1">
      <alignment horizontal="center" vertical="center" wrapText="1"/>
    </xf>
    <xf numFmtId="0" fontId="16" fillId="10" borderId="7" xfId="0" applyFont="1" applyFill="1" applyBorder="1" applyAlignment="1">
      <alignment horizontal="center" vertical="center" wrapText="1"/>
    </xf>
    <xf numFmtId="0" fontId="16" fillId="50" borderId="102" xfId="0" applyFont="1" applyFill="1" applyBorder="1" applyAlignment="1">
      <alignment horizontal="center" vertical="center"/>
    </xf>
    <xf numFmtId="0" fontId="16" fillId="10" borderId="102" xfId="0" applyFont="1" applyFill="1" applyBorder="1" applyAlignment="1">
      <alignment horizontal="center" vertical="center" wrapText="1"/>
    </xf>
    <xf numFmtId="0" fontId="16" fillId="10" borderId="102" xfId="0" applyFont="1" applyFill="1" applyBorder="1" applyAlignment="1">
      <alignment horizontal="center" vertical="center"/>
    </xf>
    <xf numFmtId="0" fontId="0" fillId="0" borderId="0" xfId="0" applyAlignment="1">
      <alignment horizontal="left" vertical="center" wrapText="1"/>
    </xf>
    <xf numFmtId="0" fontId="41" fillId="38" borderId="76" xfId="0" applyFont="1" applyFill="1" applyBorder="1" applyAlignment="1">
      <alignment horizontal="center" vertical="center" wrapText="1"/>
    </xf>
    <xf numFmtId="0" fontId="41" fillId="38" borderId="5" xfId="0" applyFont="1" applyFill="1" applyBorder="1" applyAlignment="1">
      <alignment horizontal="center" vertical="center" wrapText="1"/>
    </xf>
    <xf numFmtId="0" fontId="41" fillId="38" borderId="5" xfId="0" applyFont="1" applyFill="1" applyBorder="1" applyAlignment="1">
      <alignment horizontal="left" vertical="center" wrapText="1"/>
    </xf>
    <xf numFmtId="0" fontId="41" fillId="38" borderId="103" xfId="0" applyFont="1" applyFill="1" applyBorder="1" applyAlignment="1">
      <alignment horizontal="left" vertical="center" wrapText="1"/>
    </xf>
    <xf numFmtId="0" fontId="41" fillId="12" borderId="76" xfId="0" applyFont="1" applyFill="1" applyBorder="1" applyAlignment="1">
      <alignment horizontal="center" vertical="center" wrapText="1"/>
    </xf>
    <xf numFmtId="0" fontId="41" fillId="12" borderId="5" xfId="0" applyFont="1" applyFill="1" applyBorder="1" applyAlignment="1">
      <alignment horizontal="center" vertical="center" wrapText="1"/>
    </xf>
    <xf numFmtId="0" fontId="41" fillId="12" borderId="5" xfId="0" applyFont="1" applyFill="1" applyBorder="1" applyAlignment="1">
      <alignment horizontal="left" vertical="center" wrapText="1"/>
    </xf>
    <xf numFmtId="0" fontId="41" fillId="12" borderId="6" xfId="0" applyFont="1" applyFill="1" applyBorder="1" applyAlignment="1">
      <alignment horizontal="left" vertical="center" wrapText="1"/>
    </xf>
    <xf numFmtId="0" fontId="41" fillId="13" borderId="104" xfId="0" applyFont="1" applyFill="1" applyBorder="1" applyAlignment="1">
      <alignment horizontal="center" vertical="center" wrapText="1"/>
    </xf>
    <xf numFmtId="0" fontId="41" fillId="13" borderId="5" xfId="0" applyFont="1" applyFill="1" applyBorder="1" applyAlignment="1">
      <alignment horizontal="center" vertical="center" wrapText="1"/>
    </xf>
    <xf numFmtId="0" fontId="41" fillId="13" borderId="6" xfId="0" applyFont="1" applyFill="1" applyBorder="1" applyAlignment="1">
      <alignment horizontal="center" vertical="center" wrapText="1"/>
    </xf>
    <xf numFmtId="0" fontId="15" fillId="51" borderId="82" xfId="0" applyFont="1" applyFill="1" applyBorder="1" applyAlignment="1">
      <alignment horizontal="center" vertical="center" wrapText="1"/>
    </xf>
    <xf numFmtId="0" fontId="15" fillId="51" borderId="7" xfId="0" applyFont="1" applyFill="1" applyBorder="1" applyAlignment="1">
      <alignment horizontal="center" vertical="center" wrapText="1"/>
    </xf>
    <xf numFmtId="0" fontId="15" fillId="51" borderId="7" xfId="0" applyFont="1" applyFill="1" applyBorder="1" applyAlignment="1">
      <alignment horizontal="left" vertical="center" wrapText="1"/>
    </xf>
    <xf numFmtId="0" fontId="15" fillId="51" borderId="30" xfId="0" applyFont="1" applyFill="1" applyBorder="1" applyAlignment="1">
      <alignment horizontal="left" vertical="center" wrapText="1"/>
    </xf>
    <xf numFmtId="0" fontId="15" fillId="44" borderId="82" xfId="0" applyFont="1" applyFill="1" applyBorder="1" applyAlignment="1">
      <alignment horizontal="center" vertical="center" wrapText="1"/>
    </xf>
    <xf numFmtId="0" fontId="15" fillId="44" borderId="7" xfId="0" applyFont="1" applyFill="1" applyBorder="1" applyAlignment="1">
      <alignment horizontal="left" vertical="center" wrapText="1"/>
    </xf>
    <xf numFmtId="0" fontId="15" fillId="44" borderId="8" xfId="0" applyFont="1" applyFill="1" applyBorder="1" applyAlignment="1">
      <alignment horizontal="center" vertical="center" wrapText="1"/>
    </xf>
    <xf numFmtId="0" fontId="15" fillId="49" borderId="22" xfId="0" applyFont="1" applyFill="1" applyBorder="1" applyAlignment="1">
      <alignment horizontal="center" vertical="center" wrapText="1"/>
    </xf>
    <xf numFmtId="0" fontId="15" fillId="49" borderId="8" xfId="0" applyFont="1" applyFill="1" applyBorder="1" applyAlignment="1">
      <alignment horizontal="center" vertical="center" wrapText="1"/>
    </xf>
    <xf numFmtId="0" fontId="6" fillId="0" borderId="0" xfId="0" applyFont="1" applyAlignment="1">
      <alignment horizontal="center" vertical="center" wrapText="1"/>
    </xf>
    <xf numFmtId="0" fontId="34" fillId="40" borderId="82" xfId="0" applyFont="1" applyFill="1" applyBorder="1" applyAlignment="1">
      <alignment horizontal="center" vertical="center" wrapText="1"/>
    </xf>
    <xf numFmtId="176" fontId="42" fillId="0" borderId="31" xfId="0" applyNumberFormat="1" applyFont="1" applyBorder="1" applyAlignment="1">
      <alignment horizontal="center" vertical="center" wrapText="1"/>
    </xf>
    <xf numFmtId="0" fontId="14" fillId="0" borderId="30" xfId="0" applyFont="1" applyBorder="1" applyAlignment="1">
      <alignment horizontal="left" vertical="center" wrapText="1"/>
    </xf>
    <xf numFmtId="0" fontId="34" fillId="9" borderId="82" xfId="0" applyFont="1" applyFill="1" applyBorder="1" applyAlignment="1">
      <alignment horizontal="center" vertical="center"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34" fillId="10" borderId="22" xfId="0" applyFont="1" applyFill="1" applyBorder="1" applyAlignment="1">
      <alignment horizontal="center" vertical="center" wrapText="1"/>
    </xf>
    <xf numFmtId="0" fontId="42" fillId="0" borderId="31" xfId="0" applyFont="1" applyBorder="1" applyAlignment="1">
      <alignment horizontal="center" vertical="center" wrapText="1"/>
    </xf>
    <xf numFmtId="0" fontId="13" fillId="0" borderId="8" xfId="0" applyFont="1" applyBorder="1" applyAlignment="1">
      <alignment horizontal="left" vertical="top" wrapText="1"/>
    </xf>
    <xf numFmtId="0" fontId="6" fillId="0" borderId="31" xfId="0" applyFont="1" applyBorder="1" applyAlignment="1">
      <alignment horizontal="center" vertical="center" wrapText="1"/>
    </xf>
    <xf numFmtId="0" fontId="34" fillId="10" borderId="105" xfId="0" applyFont="1" applyFill="1" applyBorder="1" applyAlignment="1">
      <alignment horizontal="center" vertical="center" wrapText="1"/>
    </xf>
    <xf numFmtId="0" fontId="42" fillId="0" borderId="97" xfId="0" applyFont="1" applyBorder="1" applyAlignment="1">
      <alignment horizontal="center" vertical="center" wrapText="1"/>
    </xf>
    <xf numFmtId="0" fontId="14" fillId="0" borderId="12" xfId="0" applyFont="1" applyBorder="1" applyAlignment="1">
      <alignment horizontal="left" vertical="top" wrapText="1"/>
    </xf>
    <xf numFmtId="0" fontId="43"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0" fontId="42" fillId="0" borderId="31" xfId="0" applyNumberFormat="1" applyFont="1" applyBorder="1" applyAlignment="1">
      <alignment horizontal="center" vertical="center" wrapText="1"/>
    </xf>
    <xf numFmtId="0" fontId="14" fillId="0" borderId="106" xfId="0" applyFont="1" applyBorder="1" applyAlignment="1">
      <alignment horizontal="left" vertical="top" wrapText="1"/>
    </xf>
    <xf numFmtId="0" fontId="13" fillId="0" borderId="7" xfId="0" applyFont="1" applyBorder="1" applyAlignment="1">
      <alignment horizontal="left" vertical="top" wrapText="1"/>
    </xf>
    <xf numFmtId="0" fontId="44" fillId="9" borderId="82" xfId="0" applyFont="1" applyFill="1" applyBorder="1" applyAlignment="1">
      <alignment horizontal="center" vertical="center" wrapText="1"/>
    </xf>
    <xf numFmtId="0" fontId="34" fillId="40" borderId="88" xfId="0" applyFont="1" applyFill="1" applyBorder="1" applyAlignment="1">
      <alignment horizontal="center" vertical="center" wrapText="1"/>
    </xf>
    <xf numFmtId="176" fontId="42" fillId="0" borderId="97" xfId="0" applyNumberFormat="1" applyFont="1" applyBorder="1" applyAlignment="1">
      <alignment horizontal="center" vertical="center" wrapText="1"/>
    </xf>
    <xf numFmtId="0" fontId="13" fillId="0" borderId="107" xfId="0" applyFont="1" applyBorder="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16" fillId="9" borderId="88" xfId="0" applyFont="1" applyFill="1" applyBorder="1" applyAlignment="1">
      <alignment horizontal="center" vertical="center" wrapText="1"/>
    </xf>
    <xf numFmtId="176" fontId="45" fillId="0" borderId="11" xfId="0" applyNumberFormat="1" applyFont="1" applyBorder="1" applyAlignment="1">
      <alignment horizontal="center" vertical="center" wrapText="1"/>
    </xf>
    <xf numFmtId="0" fontId="14" fillId="0" borderId="11" xfId="0" applyFont="1" applyBorder="1" applyAlignment="1">
      <alignment horizontal="left" vertical="top" wrapText="1"/>
    </xf>
    <xf numFmtId="0" fontId="0" fillId="0" borderId="0" xfId="0" applyAlignment="1">
      <alignment horizontal="left" vertical="center"/>
    </xf>
    <xf numFmtId="0" fontId="45" fillId="0" borderId="0" xfId="0" applyFont="1" applyAlignment="1">
      <alignment horizontal="center" vertical="center" wrapText="1"/>
    </xf>
    <xf numFmtId="0" fontId="46" fillId="52" borderId="35" xfId="0" applyFont="1" applyFill="1" applyBorder="1" applyAlignment="1">
      <alignment horizontal="center" vertical="center" wrapText="1"/>
    </xf>
    <xf numFmtId="0" fontId="21" fillId="52" borderId="35" xfId="0" applyFont="1" applyFill="1" applyBorder="1" applyAlignment="1">
      <alignment horizontal="center" vertical="center" wrapText="1"/>
    </xf>
    <xf numFmtId="0" fontId="21" fillId="52" borderId="35" xfId="0" applyFont="1" applyFill="1" applyBorder="1" applyAlignment="1">
      <alignment horizontal="left" vertical="center" wrapText="1"/>
    </xf>
    <xf numFmtId="0" fontId="47" fillId="53" borderId="108" xfId="0" applyFont="1" applyFill="1" applyBorder="1" applyAlignment="1">
      <alignment horizontal="center" vertical="center" wrapText="1"/>
    </xf>
    <xf numFmtId="0" fontId="47" fillId="53" borderId="109" xfId="0" applyFont="1" applyFill="1" applyBorder="1" applyAlignment="1">
      <alignment horizontal="center" vertical="center" wrapText="1"/>
    </xf>
    <xf numFmtId="0" fontId="46" fillId="54" borderId="0" xfId="0" applyFont="1" applyFill="1" applyAlignment="1">
      <alignment horizontal="center" vertical="center" wrapText="1"/>
    </xf>
    <xf numFmtId="0" fontId="21" fillId="54" borderId="0" xfId="0" applyFont="1" applyFill="1" applyAlignment="1">
      <alignment horizontal="center" vertical="center" wrapText="1"/>
    </xf>
    <xf numFmtId="0" fontId="16" fillId="55" borderId="90" xfId="0" applyFont="1" applyFill="1" applyBorder="1" applyAlignment="1">
      <alignment horizontal="center" vertical="center" wrapText="1"/>
    </xf>
    <xf numFmtId="0" fontId="16" fillId="0" borderId="91" xfId="0" applyFont="1" applyBorder="1" applyAlignment="1">
      <alignment horizontal="center" vertical="center" wrapText="1"/>
    </xf>
    <xf numFmtId="0" fontId="34" fillId="0" borderId="91" xfId="0" applyFont="1" applyBorder="1" applyAlignment="1">
      <alignment horizontal="left" vertical="center" wrapText="1"/>
    </xf>
    <xf numFmtId="0" fontId="48" fillId="0" borderId="92" xfId="0" applyFont="1" applyBorder="1" applyAlignment="1">
      <alignment horizontal="left" vertical="center" wrapText="1"/>
    </xf>
    <xf numFmtId="0" fontId="49" fillId="56" borderId="110" xfId="0" applyFont="1" applyFill="1" applyBorder="1" applyAlignment="1">
      <alignment horizontal="center" vertical="center" wrapText="1"/>
    </xf>
    <xf numFmtId="0" fontId="49" fillId="0" borderId="0" xfId="0" applyFont="1" applyAlignment="1">
      <alignment horizontal="left" vertical="center" wrapText="1"/>
    </xf>
    <xf numFmtId="0" fontId="34" fillId="57" borderId="111" xfId="0" applyFont="1" applyFill="1" applyBorder="1" applyAlignment="1">
      <alignment horizontal="center" vertical="center" wrapText="1"/>
    </xf>
    <xf numFmtId="0" fontId="34" fillId="55" borderId="93" xfId="0" applyFont="1" applyFill="1" applyBorder="1" applyAlignment="1">
      <alignment horizontal="center" vertical="center" wrapText="1"/>
    </xf>
    <xf numFmtId="0" fontId="34" fillId="0" borderId="31" xfId="0" applyFont="1" applyBorder="1" applyAlignment="1">
      <alignment horizontal="left" vertical="center" wrapText="1"/>
    </xf>
    <xf numFmtId="0" fontId="34" fillId="0" borderId="94" xfId="0" applyFont="1" applyBorder="1" applyAlignment="1">
      <alignment horizontal="left" vertical="center" wrapText="1"/>
    </xf>
    <xf numFmtId="0" fontId="34" fillId="57" borderId="22" xfId="0" applyFont="1" applyFill="1" applyBorder="1" applyAlignment="1">
      <alignment horizontal="center" vertical="center" wrapText="1"/>
    </xf>
    <xf numFmtId="0" fontId="50" fillId="0" borderId="7" xfId="0" applyFont="1" applyBorder="1" applyAlignment="1">
      <alignment horizontal="center" vertical="center" wrapText="1"/>
    </xf>
    <xf numFmtId="0" fontId="13" fillId="10" borderId="7" xfId="0" applyFont="1" applyFill="1" applyBorder="1" applyAlignment="1">
      <alignment horizontal="center" vertical="center" wrapText="1"/>
    </xf>
    <xf numFmtId="0" fontId="51" fillId="0" borderId="8" xfId="0" applyFont="1" applyBorder="1" applyAlignment="1">
      <alignment horizontal="center" vertical="center" wrapText="1"/>
    </xf>
    <xf numFmtId="0" fontId="16" fillId="55" borderId="93" xfId="0" applyFont="1" applyFill="1" applyBorder="1" applyAlignment="1">
      <alignment horizontal="center" vertical="center" wrapText="1"/>
    </xf>
    <xf numFmtId="0" fontId="34" fillId="57" borderId="25" xfId="0" applyFont="1" applyFill="1" applyBorder="1" applyAlignment="1">
      <alignment horizontal="center" vertical="center" wrapText="1"/>
    </xf>
    <xf numFmtId="0" fontId="52" fillId="57" borderId="44" xfId="0" applyFont="1" applyFill="1" applyBorder="1" applyAlignment="1">
      <alignment horizontal="center" vertical="center" wrapText="1"/>
    </xf>
    <xf numFmtId="0" fontId="53" fillId="0" borderId="44" xfId="0" applyFont="1" applyBorder="1" applyAlignment="1">
      <alignment horizontal="left" vertical="center" wrapText="1"/>
    </xf>
    <xf numFmtId="0" fontId="54" fillId="57" borderId="58" xfId="0" applyFont="1" applyFill="1" applyBorder="1" applyAlignment="1">
      <alignment horizontal="center" vertical="center" wrapText="1"/>
    </xf>
    <xf numFmtId="0" fontId="55" fillId="0" borderId="58" xfId="0" applyFont="1" applyBorder="1" applyAlignment="1">
      <alignment horizontal="left" vertical="center" wrapText="1"/>
    </xf>
    <xf numFmtId="0" fontId="52" fillId="57" borderId="0" xfId="0" applyFont="1" applyFill="1" applyBorder="1" applyAlignment="1">
      <alignment horizontal="center" vertical="center" wrapText="1"/>
    </xf>
    <xf numFmtId="0" fontId="53" fillId="0" borderId="0" xfId="0" applyFont="1" applyAlignment="1">
      <alignment horizontal="left" vertical="center" wrapText="1"/>
    </xf>
    <xf numFmtId="0" fontId="16" fillId="55" borderId="112" xfId="0" applyFont="1" applyFill="1" applyBorder="1" applyAlignment="1">
      <alignment horizontal="center" vertical="center" wrapText="1"/>
    </xf>
    <xf numFmtId="0" fontId="16" fillId="0" borderId="113" xfId="0" applyFont="1" applyBorder="1" applyAlignment="1">
      <alignment horizontal="center" vertical="center" wrapText="1"/>
    </xf>
    <xf numFmtId="0" fontId="34" fillId="0" borderId="113" xfId="0" applyFont="1" applyBorder="1" applyAlignment="1">
      <alignment horizontal="left" vertical="center" wrapText="1"/>
    </xf>
    <xf numFmtId="0" fontId="34" fillId="0" borderId="114" xfId="0" applyFont="1" applyBorder="1" applyAlignment="1">
      <alignment horizontal="left" vertical="center" wrapText="1"/>
    </xf>
    <xf numFmtId="0" fontId="16" fillId="55" borderId="115" xfId="0" applyFont="1" applyFill="1" applyBorder="1" applyAlignment="1">
      <alignment horizontal="center" vertical="center" wrapText="1"/>
    </xf>
    <xf numFmtId="0" fontId="16" fillId="0" borderId="33" xfId="0" applyFont="1" applyBorder="1" applyAlignment="1">
      <alignment horizontal="center" vertical="center" wrapText="1"/>
    </xf>
    <xf numFmtId="0" fontId="34" fillId="0" borderId="33" xfId="0" applyFont="1" applyBorder="1" applyAlignment="1">
      <alignment horizontal="left" vertical="center" wrapText="1"/>
    </xf>
    <xf numFmtId="0" fontId="34" fillId="0" borderId="116" xfId="0" applyFont="1" applyBorder="1" applyAlignment="1">
      <alignment horizontal="left" vertical="center" wrapText="1"/>
    </xf>
    <xf numFmtId="0" fontId="50" fillId="0" borderId="11" xfId="0" applyFont="1" applyBorder="1" applyAlignment="1">
      <alignment horizontal="center" vertical="center" wrapText="1"/>
    </xf>
    <xf numFmtId="0" fontId="13" fillId="10" borderId="11" xfId="0" applyFont="1" applyFill="1" applyBorder="1" applyAlignment="1">
      <alignment horizontal="center" vertical="center" wrapText="1"/>
    </xf>
    <xf numFmtId="0" fontId="51" fillId="0" borderId="12" xfId="0" applyFont="1" applyBorder="1" applyAlignment="1">
      <alignment horizontal="center" vertical="center" wrapText="1"/>
    </xf>
    <xf numFmtId="0" fontId="34" fillId="57" borderId="117" xfId="0" applyFont="1" applyFill="1" applyBorder="1" applyAlignment="1">
      <alignment horizontal="center" vertical="center" wrapText="1"/>
    </xf>
    <xf numFmtId="0" fontId="34" fillId="57" borderId="118" xfId="0" applyFont="1" applyFill="1" applyBorder="1" applyAlignment="1">
      <alignment horizontal="center" vertical="center" wrapText="1"/>
    </xf>
    <xf numFmtId="0" fontId="16" fillId="55" borderId="96" xfId="0" applyFont="1" applyFill="1" applyBorder="1" applyAlignment="1">
      <alignment horizontal="center" vertical="center" wrapText="1"/>
    </xf>
    <xf numFmtId="0" fontId="16" fillId="0" borderId="97" xfId="0" applyFont="1" applyBorder="1" applyAlignment="1">
      <alignment horizontal="center" vertical="center" wrapText="1"/>
    </xf>
    <xf numFmtId="0" fontId="34" fillId="0" borderId="97" xfId="0" applyFont="1" applyBorder="1" applyAlignment="1">
      <alignment horizontal="left" vertical="center" wrapText="1"/>
    </xf>
    <xf numFmtId="0" fontId="34" fillId="0" borderId="98" xfId="0" applyFont="1" applyBorder="1" applyAlignment="1">
      <alignment horizontal="left" vertical="center" wrapText="1"/>
    </xf>
    <xf numFmtId="0" fontId="46" fillId="52" borderId="17" xfId="0" applyFont="1" applyFill="1" applyBorder="1" applyAlignment="1">
      <alignment horizontal="center" vertical="center" wrapText="1"/>
    </xf>
    <xf numFmtId="0" fontId="21" fillId="52" borderId="17" xfId="0" applyFont="1" applyFill="1" applyBorder="1" applyAlignment="1">
      <alignment horizontal="center" vertical="center" wrapText="1"/>
    </xf>
    <xf numFmtId="0" fontId="21" fillId="52" borderId="17" xfId="0" applyFont="1" applyFill="1" applyBorder="1" applyAlignment="1">
      <alignment horizontal="left" vertical="center" wrapText="1"/>
    </xf>
    <xf numFmtId="0" fontId="34" fillId="55" borderId="7" xfId="0" applyFont="1" applyFill="1" applyBorder="1" applyAlignment="1">
      <alignment horizontal="center" vertical="center" wrapText="1"/>
    </xf>
    <xf numFmtId="0" fontId="34" fillId="0" borderId="7" xfId="0" applyFont="1" applyBorder="1" applyAlignment="1">
      <alignment horizontal="center" vertical="center" wrapText="1"/>
    </xf>
    <xf numFmtId="0" fontId="34" fillId="0" borderId="7" xfId="0" applyFont="1" applyBorder="1" applyAlignment="1">
      <alignment horizontal="left" vertical="center" wrapText="1"/>
    </xf>
    <xf numFmtId="0" fontId="47" fillId="25" borderId="0" xfId="0" applyFont="1" applyFill="1" applyAlignment="1">
      <alignment horizontal="center" vertical="center" wrapText="1"/>
    </xf>
    <xf numFmtId="0" fontId="34" fillId="0" borderId="0" xfId="0" applyFont="1" applyAlignment="1">
      <alignment horizontal="left" vertical="center" wrapText="1"/>
    </xf>
    <xf numFmtId="0" fontId="49" fillId="58" borderId="108" xfId="0" applyFont="1" applyFill="1" applyBorder="1" applyAlignment="1">
      <alignment horizontal="center" vertical="center" wrapText="1"/>
    </xf>
    <xf numFmtId="0" fontId="49" fillId="0" borderId="119" xfId="0" applyFont="1" applyBorder="1" applyAlignment="1">
      <alignment horizontal="left" vertical="center" wrapText="1"/>
    </xf>
    <xf numFmtId="0" fontId="49" fillId="58" borderId="120" xfId="0" applyFont="1" applyFill="1" applyBorder="1" applyAlignment="1">
      <alignment horizontal="center" vertical="center" wrapText="1"/>
    </xf>
    <xf numFmtId="0" fontId="49" fillId="0" borderId="121" xfId="0" applyFont="1" applyBorder="1" applyAlignment="1">
      <alignment horizontal="left" vertical="center" wrapText="1"/>
    </xf>
    <xf numFmtId="0" fontId="49" fillId="57" borderId="122" xfId="0" applyFont="1" applyFill="1" applyBorder="1" applyAlignment="1">
      <alignment horizontal="center" vertical="center" wrapText="1"/>
    </xf>
    <xf numFmtId="0" fontId="49" fillId="58" borderId="0" xfId="0" applyFont="1" applyFill="1" applyAlignment="1">
      <alignment horizontal="center" vertical="center" wrapText="1"/>
    </xf>
    <xf numFmtId="0" fontId="21" fillId="59" borderId="123" xfId="0" applyFont="1" applyFill="1" applyBorder="1" applyAlignment="1">
      <alignment horizontal="center" vertical="center" wrapText="1"/>
    </xf>
    <xf numFmtId="0" fontId="21" fillId="59" borderId="124" xfId="0" applyFont="1" applyFill="1" applyBorder="1" applyAlignment="1">
      <alignment horizontal="center" vertical="center" wrapText="1"/>
    </xf>
    <xf numFmtId="0" fontId="0" fillId="55" borderId="7" xfId="0" applyFill="1" applyBorder="1" applyAlignment="1">
      <alignment horizontal="center" vertical="center" wrapText="1"/>
    </xf>
    <xf numFmtId="0" fontId="0" fillId="0" borderId="7" xfId="0" applyBorder="1" applyAlignment="1">
      <alignment horizontal="left" vertical="center" wrapText="1"/>
    </xf>
    <xf numFmtId="0" fontId="47" fillId="12" borderId="0" xfId="0" applyFont="1" applyFill="1" applyAlignment="1">
      <alignment horizontal="center" vertical="center" wrapText="1"/>
    </xf>
    <xf numFmtId="0" fontId="34" fillId="60" borderId="125" xfId="0" applyFont="1" applyFill="1" applyBorder="1" applyAlignment="1">
      <alignment horizontal="center" vertical="center" wrapText="1"/>
    </xf>
    <xf numFmtId="0" fontId="34" fillId="61" borderId="126" xfId="0" applyFont="1" applyFill="1" applyBorder="1" applyAlignment="1">
      <alignment horizontal="left" vertical="center" wrapText="1"/>
    </xf>
    <xf numFmtId="0" fontId="49" fillId="9" borderId="127" xfId="0" applyFont="1" applyFill="1" applyBorder="1" applyAlignment="1">
      <alignment horizontal="center" vertical="center" wrapText="1"/>
    </xf>
    <xf numFmtId="0" fontId="34" fillId="0" borderId="128" xfId="0" applyFont="1" applyBorder="1" applyAlignment="1">
      <alignment horizontal="left" vertical="center" wrapText="1"/>
    </xf>
    <xf numFmtId="0" fontId="49" fillId="9" borderId="129" xfId="0" applyFont="1" applyFill="1" applyBorder="1" applyAlignment="1">
      <alignment horizontal="center" vertical="center" wrapText="1"/>
    </xf>
    <xf numFmtId="0" fontId="34" fillId="0" borderId="130" xfId="0" applyFont="1" applyBorder="1" applyAlignment="1">
      <alignment horizontal="left" vertical="center" wrapText="1"/>
    </xf>
    <xf numFmtId="0" fontId="49" fillId="9" borderId="131" xfId="0" applyFont="1" applyFill="1" applyBorder="1" applyAlignment="1">
      <alignment horizontal="center" vertical="center" wrapText="1"/>
    </xf>
    <xf numFmtId="0" fontId="34" fillId="0" borderId="0" xfId="0" applyFont="1" applyBorder="1" applyAlignment="1">
      <alignment horizontal="left" vertical="center" wrapText="1"/>
    </xf>
    <xf numFmtId="0" fontId="49" fillId="9" borderId="132" xfId="0" applyFont="1" applyFill="1" applyBorder="1" applyAlignment="1">
      <alignment horizontal="center" vertical="center" wrapText="1"/>
    </xf>
    <xf numFmtId="0" fontId="34" fillId="0" borderId="44" xfId="0" applyFont="1" applyBorder="1" applyAlignment="1">
      <alignment horizontal="left" vertical="center" wrapText="1"/>
    </xf>
    <xf numFmtId="0" fontId="49" fillId="9" borderId="63" xfId="0" applyFont="1" applyFill="1" applyBorder="1" applyAlignment="1">
      <alignment horizontal="center" vertical="center" wrapText="1"/>
    </xf>
    <xf numFmtId="0" fontId="49" fillId="9" borderId="62" xfId="0" applyFont="1" applyFill="1" applyBorder="1" applyAlignment="1">
      <alignment horizontal="center" vertical="center" wrapText="1"/>
    </xf>
    <xf numFmtId="0" fontId="34" fillId="0" borderId="59" xfId="0" applyFont="1" applyBorder="1" applyAlignment="1">
      <alignment horizontal="left" vertical="center" wrapText="1"/>
    </xf>
    <xf numFmtId="0" fontId="34" fillId="60" borderId="133" xfId="0" applyFont="1" applyFill="1" applyBorder="1" applyAlignment="1">
      <alignment horizontal="center" vertical="center" wrapText="1"/>
    </xf>
    <xf numFmtId="0" fontId="34" fillId="61" borderId="134" xfId="0" applyFont="1" applyFill="1" applyBorder="1" applyAlignment="1">
      <alignment horizontal="left" vertical="center" wrapText="1"/>
    </xf>
    <xf numFmtId="0" fontId="16" fillId="0" borderId="0" xfId="0" applyFont="1">
      <alignment vertical="center"/>
    </xf>
    <xf numFmtId="0" fontId="0" fillId="5" borderId="0" xfId="0" applyFill="1" applyAlignment="1" applyProtection="1">
      <alignment horizontal="right" vertical="center"/>
      <protection locked="0"/>
    </xf>
    <xf numFmtId="0" fontId="56" fillId="5" borderId="0" xfId="0" applyFont="1" applyFill="1" applyAlignment="1" applyProtection="1">
      <alignment horizontal="right"/>
      <protection locked="0"/>
    </xf>
    <xf numFmtId="0" fontId="57" fillId="5" borderId="0" xfId="0" applyFont="1" applyFill="1" applyAlignment="1" applyProtection="1">
      <alignment horizontal="left" wrapText="1"/>
      <protection locked="0"/>
    </xf>
    <xf numFmtId="0" fontId="58" fillId="5" borderId="0" xfId="0" applyFont="1" applyFill="1" applyAlignment="1" applyProtection="1">
      <alignment horizontal="left"/>
      <protection locked="0"/>
    </xf>
    <xf numFmtId="0" fontId="34" fillId="0" borderId="0" xfId="0" applyFont="1" applyAlignment="1">
      <alignment horizontal="center" vertical="center" wrapText="1"/>
    </xf>
    <xf numFmtId="0" fontId="34" fillId="0" borderId="0" xfId="0" applyFont="1" applyBorder="1" applyAlignment="1">
      <alignment horizontal="center" vertical="center" wrapText="1"/>
    </xf>
    <xf numFmtId="0" fontId="34" fillId="0" borderId="0" xfId="0" applyFont="1" applyBorder="1" applyAlignment="1">
      <alignment horizontal="right" vertical="center" wrapText="1"/>
    </xf>
    <xf numFmtId="0" fontId="34" fillId="0" borderId="0" xfId="0" applyFont="1" applyAlignment="1">
      <alignment horizontal="right" vertical="center" wrapText="1"/>
    </xf>
    <xf numFmtId="0" fontId="16" fillId="62" borderId="0" xfId="0" applyFont="1" applyFill="1">
      <alignment vertical="center"/>
    </xf>
    <xf numFmtId="0" fontId="15" fillId="62" borderId="135" xfId="0" applyFont="1" applyFill="1" applyBorder="1" applyAlignment="1">
      <alignment horizontal="center" vertical="center" wrapText="1"/>
    </xf>
    <xf numFmtId="0" fontId="15" fillId="62" borderId="136" xfId="0" applyFont="1" applyFill="1" applyBorder="1" applyAlignment="1">
      <alignment horizontal="center" vertical="center" wrapText="1"/>
    </xf>
    <xf numFmtId="0" fontId="16" fillId="0" borderId="136" xfId="0" applyFont="1" applyBorder="1">
      <alignment vertical="center"/>
    </xf>
    <xf numFmtId="0" fontId="16" fillId="0" borderId="137" xfId="0" applyFont="1" applyBorder="1">
      <alignment vertical="center"/>
    </xf>
    <xf numFmtId="0" fontId="15" fillId="63" borderId="138" xfId="0" applyFont="1" applyFill="1" applyBorder="1" applyAlignment="1">
      <alignment horizontal="center" vertical="center" wrapText="1"/>
    </xf>
    <xf numFmtId="0" fontId="41" fillId="62" borderId="90" xfId="0" applyFont="1" applyFill="1" applyBorder="1" applyAlignment="1">
      <alignment horizontal="center" vertical="center" wrapText="1"/>
    </xf>
    <xf numFmtId="0" fontId="41" fillId="62" borderId="91" xfId="0" applyFont="1" applyFill="1" applyBorder="1" applyAlignment="1">
      <alignment horizontal="center" vertical="center" wrapText="1"/>
    </xf>
    <xf numFmtId="0" fontId="41" fillId="62" borderId="92" xfId="0" applyFont="1" applyFill="1" applyBorder="1" applyAlignment="1">
      <alignment horizontal="center" vertical="center" wrapText="1"/>
    </xf>
    <xf numFmtId="0" fontId="16" fillId="62" borderId="0" xfId="0" applyFont="1" applyFill="1" applyAlignment="1" applyProtection="1">
      <alignment horizontal="center" vertical="center"/>
      <protection locked="0"/>
    </xf>
    <xf numFmtId="0" fontId="59" fillId="62" borderId="0" xfId="0" applyFont="1" applyFill="1" applyAlignment="1" applyProtection="1">
      <alignment horizontal="center" vertical="center" wrapText="1"/>
      <protection locked="0"/>
    </xf>
    <xf numFmtId="0" fontId="59" fillId="62" borderId="0" xfId="0" applyFont="1" applyFill="1" applyAlignment="1" applyProtection="1">
      <alignment horizontal="center" vertical="center"/>
      <protection locked="0"/>
    </xf>
    <xf numFmtId="0" fontId="15" fillId="63" borderId="28" xfId="0" applyFont="1" applyFill="1" applyBorder="1" applyAlignment="1">
      <alignment horizontal="center" vertical="center" wrapText="1"/>
    </xf>
    <xf numFmtId="0" fontId="15" fillId="37" borderId="93" xfId="0" applyFont="1" applyFill="1" applyBorder="1" applyAlignment="1">
      <alignment horizontal="center" vertical="center" wrapText="1"/>
    </xf>
    <xf numFmtId="177" fontId="60" fillId="24" borderId="31" xfId="0" applyNumberFormat="1" applyFont="1" applyFill="1" applyBorder="1" applyAlignment="1" applyProtection="1">
      <alignment horizontal="center" vertical="center" wrapText="1"/>
      <protection locked="0"/>
    </xf>
    <xf numFmtId="0" fontId="15" fillId="37" borderId="31" xfId="0" applyFont="1" applyFill="1" applyBorder="1" applyAlignment="1">
      <alignment horizontal="center" vertical="center" wrapText="1"/>
    </xf>
    <xf numFmtId="177" fontId="61" fillId="42" borderId="31" xfId="0" applyNumberFormat="1" applyFont="1" applyFill="1" applyBorder="1" applyAlignment="1" applyProtection="1">
      <alignment horizontal="center" vertical="center" shrinkToFit="1"/>
      <protection locked="0"/>
    </xf>
    <xf numFmtId="178" fontId="61" fillId="45" borderId="31" xfId="0" applyNumberFormat="1" applyFont="1" applyFill="1" applyBorder="1" applyAlignment="1" applyProtection="1">
      <alignment horizontal="center" vertical="center" shrinkToFit="1"/>
      <protection locked="0"/>
    </xf>
    <xf numFmtId="0" fontId="34" fillId="64" borderId="31" xfId="0" applyFont="1" applyFill="1" applyBorder="1" applyAlignment="1" applyProtection="1">
      <alignment horizontal="center" vertical="center" wrapText="1"/>
      <protection locked="0"/>
    </xf>
    <xf numFmtId="177" fontId="60" fillId="64" borderId="31" xfId="0" applyNumberFormat="1" applyFont="1" applyFill="1" applyBorder="1" applyAlignment="1" applyProtection="1">
      <alignment horizontal="center" vertical="center" wrapText="1"/>
      <protection locked="0"/>
    </xf>
    <xf numFmtId="177" fontId="60" fillId="64" borderId="94" xfId="0" applyNumberFormat="1" applyFont="1" applyFill="1" applyBorder="1" applyAlignment="1" applyProtection="1">
      <alignment horizontal="center" vertical="center" wrapText="1"/>
      <protection locked="0"/>
    </xf>
    <xf numFmtId="0" fontId="62" fillId="24" borderId="31" xfId="0" applyFont="1" applyFill="1" applyBorder="1" applyAlignment="1" applyProtection="1">
      <alignment horizontal="left" vertical="center" wrapText="1" indent="1"/>
      <protection locked="0"/>
    </xf>
    <xf numFmtId="179" fontId="61" fillId="64" borderId="31" xfId="0" applyNumberFormat="1" applyFont="1" applyFill="1" applyBorder="1" applyAlignment="1" applyProtection="1">
      <alignment horizontal="center" vertical="center" shrinkToFit="1"/>
      <protection locked="0"/>
    </xf>
    <xf numFmtId="180" fontId="61" fillId="64" borderId="31" xfId="0" applyNumberFormat="1" applyFont="1" applyFill="1" applyBorder="1" applyAlignment="1" applyProtection="1">
      <alignment horizontal="center" vertical="center" shrinkToFit="1"/>
      <protection locked="0"/>
    </xf>
    <xf numFmtId="0" fontId="62" fillId="64" borderId="31" xfId="0" applyFont="1" applyFill="1" applyBorder="1" applyAlignment="1" applyProtection="1">
      <alignment horizontal="left" vertical="center" wrapText="1" indent="1"/>
      <protection locked="0"/>
    </xf>
    <xf numFmtId="0" fontId="62" fillId="64" borderId="94" xfId="0" applyFont="1" applyFill="1" applyBorder="1" applyAlignment="1" applyProtection="1">
      <alignment horizontal="left" vertical="center" wrapText="1" indent="1"/>
      <protection locked="0"/>
    </xf>
    <xf numFmtId="0" fontId="63" fillId="62" borderId="0" xfId="0" applyFont="1" applyFill="1" applyAlignment="1">
      <alignment horizontal="center" vertical="center" wrapText="1"/>
    </xf>
    <xf numFmtId="0" fontId="64" fillId="62" borderId="0" xfId="0" applyFont="1" applyFill="1" applyAlignment="1" applyProtection="1">
      <alignment horizontal="left" vertical="center" wrapText="1"/>
      <protection locked="0"/>
    </xf>
    <xf numFmtId="0" fontId="64" fillId="62" borderId="0" xfId="0" applyFont="1" applyFill="1" applyAlignment="1" applyProtection="1">
      <alignment horizontal="left" vertical="center"/>
      <protection locked="0"/>
    </xf>
    <xf numFmtId="0" fontId="15" fillId="63" borderId="139" xfId="0" applyFont="1" applyFill="1" applyBorder="1" applyAlignment="1">
      <alignment horizontal="center" vertical="center" wrapText="1"/>
    </xf>
    <xf numFmtId="0" fontId="15" fillId="37" borderId="140" xfId="0" applyFont="1" applyFill="1" applyBorder="1" applyAlignment="1">
      <alignment horizontal="center" vertical="center" wrapText="1"/>
    </xf>
    <xf numFmtId="0" fontId="62" fillId="24" borderId="32" xfId="0" applyFont="1" applyFill="1" applyBorder="1" applyAlignment="1" applyProtection="1">
      <alignment horizontal="left" vertical="center" wrapText="1" indent="1"/>
      <protection locked="0"/>
    </xf>
    <xf numFmtId="0" fontId="15" fillId="37" borderId="32" xfId="0" applyFont="1" applyFill="1" applyBorder="1" applyAlignment="1">
      <alignment horizontal="center" vertical="center" wrapText="1"/>
    </xf>
    <xf numFmtId="0" fontId="65" fillId="64" borderId="32" xfId="0" applyFont="1" applyFill="1" applyBorder="1" applyAlignment="1" applyProtection="1">
      <alignment horizontal="left" vertical="center" wrapText="1"/>
      <protection locked="0"/>
    </xf>
    <xf numFmtId="0" fontId="62" fillId="64" borderId="32" xfId="0" applyFont="1" applyFill="1" applyBorder="1" applyAlignment="1" applyProtection="1">
      <alignment horizontal="left" vertical="center" wrapText="1"/>
      <protection locked="0"/>
    </xf>
    <xf numFmtId="0" fontId="62" fillId="64" borderId="32" xfId="0" applyFont="1" applyFill="1" applyBorder="1" applyAlignment="1" applyProtection="1">
      <alignment horizontal="left" vertical="center" wrapText="1" indent="1"/>
      <protection locked="0"/>
    </xf>
    <xf numFmtId="0" fontId="62" fillId="64" borderId="141" xfId="0" applyFont="1" applyFill="1" applyBorder="1" applyAlignment="1" applyProtection="1">
      <alignment horizontal="left" vertical="center" wrapText="1" indent="1"/>
      <protection locked="0"/>
    </xf>
    <xf numFmtId="0" fontId="16" fillId="65" borderId="0" xfId="0" applyFont="1" applyFill="1">
      <alignment vertical="center"/>
    </xf>
    <xf numFmtId="0" fontId="15" fillId="63" borderId="142" xfId="0" applyFont="1" applyFill="1" applyBorder="1" applyAlignment="1">
      <alignment horizontal="center" vertical="center" wrapText="1"/>
    </xf>
    <xf numFmtId="0" fontId="66" fillId="24" borderId="0" xfId="0" applyFont="1" applyFill="1" applyAlignment="1">
      <alignment horizontal="center" vertical="center" wrapText="1"/>
    </xf>
    <xf numFmtId="0" fontId="34" fillId="24" borderId="0" xfId="0" applyFont="1" applyFill="1" applyAlignment="1" applyProtection="1">
      <alignment horizontal="center" vertical="center"/>
      <protection locked="0"/>
    </xf>
    <xf numFmtId="0" fontId="16" fillId="24" borderId="0" xfId="0" applyFont="1" applyFill="1" applyAlignment="1" applyProtection="1">
      <alignment horizontal="center" vertical="center"/>
      <protection locked="0"/>
    </xf>
    <xf numFmtId="177" fontId="61" fillId="24" borderId="31" xfId="0" applyNumberFormat="1" applyFont="1" applyFill="1" applyBorder="1" applyAlignment="1" applyProtection="1">
      <alignment horizontal="center" vertical="center" wrapText="1"/>
      <protection locked="0"/>
    </xf>
    <xf numFmtId="0" fontId="66" fillId="24" borderId="0" xfId="0" applyFont="1" applyFill="1" applyAlignment="1">
      <alignment horizontal="center" vertical="center"/>
    </xf>
    <xf numFmtId="0" fontId="13" fillId="24" borderId="31" xfId="0" applyFont="1" applyFill="1" applyBorder="1" applyAlignment="1" applyProtection="1">
      <alignment horizontal="left" vertical="center" wrapText="1" indent="1"/>
      <protection locked="0"/>
    </xf>
    <xf numFmtId="0" fontId="13" fillId="24" borderId="32" xfId="0" applyFont="1" applyFill="1" applyBorder="1" applyAlignment="1" applyProtection="1">
      <alignment horizontal="left" vertical="center" wrapText="1" indent="1"/>
      <protection locked="0"/>
    </xf>
    <xf numFmtId="0" fontId="16" fillId="66" borderId="0" xfId="0" applyFont="1" applyFill="1">
      <alignment vertical="center"/>
    </xf>
    <xf numFmtId="0" fontId="67" fillId="62" borderId="0" xfId="0" applyFont="1" applyFill="1" applyAlignment="1">
      <alignment horizontal="center" vertical="center" wrapText="1"/>
    </xf>
    <xf numFmtId="0" fontId="68" fillId="62" borderId="0" xfId="0" applyFont="1" applyFill="1" applyAlignment="1" applyProtection="1">
      <alignment horizontal="center" vertical="center"/>
      <protection locked="0"/>
    </xf>
    <xf numFmtId="177" fontId="61" fillId="64" borderId="31" xfId="0" applyNumberFormat="1" applyFont="1" applyFill="1" applyBorder="1" applyAlignment="1" applyProtection="1">
      <alignment horizontal="center" vertical="center" wrapText="1"/>
      <protection locked="0"/>
    </xf>
    <xf numFmtId="0" fontId="13" fillId="64" borderId="31" xfId="0" applyFont="1" applyFill="1" applyBorder="1" applyAlignment="1" applyProtection="1">
      <alignment horizontal="left" vertical="center" wrapText="1" indent="1"/>
      <protection locked="0"/>
    </xf>
    <xf numFmtId="0" fontId="67" fillId="62" borderId="143" xfId="0" applyFont="1" applyFill="1" applyBorder="1" applyAlignment="1">
      <alignment horizontal="center" vertical="center" wrapText="1"/>
    </xf>
    <xf numFmtId="0" fontId="69" fillId="62" borderId="143" xfId="0" applyFont="1" applyFill="1" applyBorder="1" applyAlignment="1" applyProtection="1">
      <alignment horizontal="center" vertical="center" wrapText="1"/>
      <protection locked="0"/>
    </xf>
    <xf numFmtId="0" fontId="69" fillId="62" borderId="143" xfId="0" applyFont="1" applyFill="1" applyBorder="1" applyAlignment="1" applyProtection="1">
      <alignment horizontal="center" vertical="center"/>
      <protection locked="0"/>
    </xf>
    <xf numFmtId="0" fontId="15" fillId="63" borderId="144" xfId="0" applyFont="1" applyFill="1" applyBorder="1" applyAlignment="1">
      <alignment horizontal="center" vertical="center" wrapText="1"/>
    </xf>
    <xf numFmtId="0" fontId="15" fillId="37" borderId="96" xfId="0" applyFont="1" applyFill="1" applyBorder="1" applyAlignment="1">
      <alignment horizontal="center" vertical="center" wrapText="1"/>
    </xf>
    <xf numFmtId="0" fontId="13" fillId="64" borderId="97" xfId="0" applyFont="1" applyFill="1" applyBorder="1" applyAlignment="1" applyProtection="1">
      <alignment horizontal="left" vertical="center" wrapText="1" indent="1"/>
      <protection locked="0"/>
    </xf>
    <xf numFmtId="0" fontId="15" fillId="37" borderId="97" xfId="0" applyFont="1" applyFill="1" applyBorder="1" applyAlignment="1">
      <alignment horizontal="center" vertical="center" wrapText="1"/>
    </xf>
    <xf numFmtId="0" fontId="70" fillId="64" borderId="97" xfId="0" applyFont="1" applyFill="1" applyBorder="1" applyAlignment="1" applyProtection="1">
      <alignment horizontal="left" vertical="center" wrapText="1"/>
      <protection locked="0"/>
    </xf>
    <xf numFmtId="0" fontId="65" fillId="64" borderId="97" xfId="0" applyFont="1" applyFill="1" applyBorder="1" applyAlignment="1" applyProtection="1">
      <alignment horizontal="left" vertical="center" wrapText="1"/>
      <protection locked="0"/>
    </xf>
    <xf numFmtId="0" fontId="62" fillId="64" borderId="97" xfId="0" applyFont="1" applyFill="1" applyBorder="1" applyAlignment="1" applyProtection="1">
      <alignment horizontal="left" vertical="center" wrapText="1" indent="1"/>
      <protection locked="0"/>
    </xf>
    <xf numFmtId="0" fontId="62" fillId="64" borderId="98" xfId="0" applyFont="1" applyFill="1" applyBorder="1" applyAlignment="1" applyProtection="1">
      <alignment horizontal="left" vertical="center" wrapText="1" indent="1"/>
      <protection locked="0"/>
    </xf>
    <xf numFmtId="0" fontId="18" fillId="0" borderId="0" xfId="0" applyFont="1" applyAlignment="1">
      <alignment horizontal="center" vertical="center" wrapText="1"/>
    </xf>
    <xf numFmtId="0" fontId="16" fillId="0" borderId="0" xfId="0" applyFont="1" applyAlignment="1">
      <alignment horizontal="left" vertical="center" wrapText="1"/>
    </xf>
    <xf numFmtId="0" fontId="71" fillId="0" borderId="0" xfId="0" applyFont="1" applyAlignment="1">
      <alignment horizontal="right" vertical="top" wrapText="1"/>
    </xf>
    <xf numFmtId="0" fontId="21" fillId="25" borderId="145" xfId="0" applyFont="1" applyFill="1" applyBorder="1" applyAlignment="1">
      <alignment horizontal="center" vertical="center" wrapText="1"/>
    </xf>
    <xf numFmtId="0" fontId="21" fillId="25" borderId="146" xfId="0" applyFont="1" applyFill="1" applyBorder="1" applyAlignment="1">
      <alignment horizontal="center" vertical="center" wrapText="1"/>
    </xf>
    <xf numFmtId="0" fontId="21" fillId="25" borderId="147" xfId="0" applyFont="1" applyFill="1" applyBorder="1" applyAlignment="1">
      <alignment horizontal="center" vertical="center"/>
    </xf>
    <xf numFmtId="0" fontId="21" fillId="25" borderId="148" xfId="0" applyFont="1" applyFill="1" applyBorder="1" applyAlignment="1">
      <alignment horizontal="center" vertical="center" wrapText="1"/>
    </xf>
    <xf numFmtId="0" fontId="21" fillId="25" borderId="148" xfId="0" applyFont="1" applyFill="1" applyBorder="1" applyAlignment="1">
      <alignment horizontal="center" vertical="center"/>
    </xf>
    <xf numFmtId="0" fontId="21" fillId="25" borderId="149" xfId="0" applyFont="1" applyFill="1" applyBorder="1" applyAlignment="1">
      <alignment horizontal="center" vertical="center"/>
    </xf>
    <xf numFmtId="0" fontId="21" fillId="25" borderId="7" xfId="0" applyFont="1" applyFill="1" applyBorder="1" applyAlignment="1">
      <alignment horizontal="center" vertical="center"/>
    </xf>
    <xf numFmtId="0" fontId="72" fillId="0" borderId="7" xfId="0" applyFont="1" applyBorder="1" applyAlignment="1">
      <alignment horizontal="center" vertical="center"/>
    </xf>
    <xf numFmtId="0" fontId="73" fillId="0" borderId="7" xfId="0" applyFont="1" applyBorder="1" applyAlignment="1">
      <alignment horizontal="center" vertical="center" wrapText="1"/>
    </xf>
    <xf numFmtId="0" fontId="21" fillId="2" borderId="150" xfId="0" applyFont="1" applyFill="1" applyBorder="1" applyAlignment="1">
      <alignment horizontal="center" vertical="center"/>
    </xf>
    <xf numFmtId="0" fontId="21" fillId="2" borderId="151" xfId="0" applyFont="1" applyFill="1" applyBorder="1" applyAlignment="1">
      <alignment horizontal="center" vertical="center"/>
    </xf>
    <xf numFmtId="0" fontId="21" fillId="2" borderId="91" xfId="0" applyFont="1" applyFill="1" applyBorder="1" applyAlignment="1">
      <alignment horizontal="center" vertical="center"/>
    </xf>
    <xf numFmtId="0" fontId="21" fillId="2" borderId="152" xfId="0" applyFont="1" applyFill="1" applyBorder="1" applyAlignment="1">
      <alignment horizontal="center" vertical="center"/>
    </xf>
    <xf numFmtId="0" fontId="0" fillId="0" borderId="0" xfId="0" applyFont="1" applyAlignment="1">
      <alignment horizontal="center" vertical="center"/>
    </xf>
    <xf numFmtId="0" fontId="74" fillId="38" borderId="153" xfId="0" applyFont="1" applyFill="1" applyBorder="1" applyAlignment="1">
      <alignment horizontal="center" vertical="center" wrapText="1"/>
    </xf>
    <xf numFmtId="0" fontId="75" fillId="39" borderId="7" xfId="0" applyFont="1" applyFill="1" applyBorder="1" applyAlignment="1">
      <alignment horizontal="center" vertical="center"/>
    </xf>
    <xf numFmtId="0" fontId="76" fillId="0" borderId="40" xfId="0" applyFont="1" applyBorder="1" applyAlignment="1">
      <alignment horizontal="center" vertical="center" wrapText="1"/>
    </xf>
    <xf numFmtId="0" fontId="15" fillId="38" borderId="154" xfId="0" applyFont="1" applyFill="1" applyBorder="1" applyAlignment="1">
      <alignment horizontal="center" vertical="center" wrapText="1"/>
    </xf>
    <xf numFmtId="0" fontId="77" fillId="67" borderId="61" xfId="0" applyFont="1" applyFill="1" applyBorder="1" applyAlignment="1">
      <alignment horizontal="center" vertical="center"/>
    </xf>
    <xf numFmtId="0" fontId="34" fillId="68" borderId="155" xfId="0" applyFont="1" applyFill="1" applyBorder="1" applyAlignment="1">
      <alignment horizontal="center" vertical="center"/>
    </xf>
    <xf numFmtId="0" fontId="34" fillId="68" borderId="31" xfId="0" applyFont="1" applyFill="1" applyBorder="1" applyAlignment="1">
      <alignment horizontal="center" vertical="center"/>
    </xf>
    <xf numFmtId="0" fontId="0" fillId="0" borderId="89" xfId="0" applyFont="1" applyBorder="1" applyAlignment="1">
      <alignment horizontal="center" vertical="center"/>
    </xf>
    <xf numFmtId="0" fontId="74" fillId="38" borderId="156" xfId="0" applyFont="1" applyFill="1" applyBorder="1" applyAlignment="1">
      <alignment horizontal="center" vertical="center" wrapText="1"/>
    </xf>
    <xf numFmtId="0" fontId="78" fillId="69" borderId="66" xfId="0" applyFont="1" applyFill="1" applyBorder="1" applyAlignment="1" applyProtection="1">
      <alignment horizontal="center" vertical="center"/>
      <protection locked="0"/>
    </xf>
    <xf numFmtId="0" fontId="75" fillId="0" borderId="66" xfId="0" applyFont="1" applyBorder="1" applyAlignment="1">
      <alignment horizontal="center" vertical="center"/>
    </xf>
    <xf numFmtId="0" fontId="15" fillId="38" borderId="157" xfId="0" applyFont="1" applyFill="1" applyBorder="1" applyAlignment="1">
      <alignment horizontal="center" vertical="center" wrapText="1"/>
    </xf>
    <xf numFmtId="0" fontId="77" fillId="67" borderId="63" xfId="0" applyFont="1" applyFill="1" applyBorder="1" applyAlignment="1">
      <alignment horizontal="center" vertical="center"/>
    </xf>
    <xf numFmtId="0" fontId="34" fillId="68" borderId="158" xfId="0" applyFont="1" applyFill="1" applyBorder="1" applyAlignment="1">
      <alignment horizontal="center" vertical="center"/>
    </xf>
    <xf numFmtId="0" fontId="34" fillId="68" borderId="159" xfId="0" applyFont="1" applyFill="1" applyBorder="1" applyAlignment="1">
      <alignment horizontal="center" vertical="center"/>
    </xf>
    <xf numFmtId="0" fontId="34" fillId="68" borderId="160" xfId="0" applyFont="1" applyFill="1" applyBorder="1" applyAlignment="1">
      <alignment horizontal="center" vertical="center"/>
    </xf>
    <xf numFmtId="0" fontId="78" fillId="69" borderId="38" xfId="0" applyFont="1" applyFill="1" applyBorder="1" applyAlignment="1" applyProtection="1">
      <alignment horizontal="center" vertical="center"/>
      <protection locked="0"/>
    </xf>
    <xf numFmtId="0" fontId="75" fillId="0" borderId="38" xfId="0" applyFont="1" applyBorder="1" applyAlignment="1">
      <alignment horizontal="center" vertical="center"/>
    </xf>
    <xf numFmtId="0" fontId="34" fillId="68" borderId="120" xfId="0" applyFont="1" applyFill="1" applyBorder="1" applyAlignment="1">
      <alignment horizontal="center" vertical="center"/>
    </xf>
    <xf numFmtId="0" fontId="34" fillId="68" borderId="161" xfId="0" applyFont="1" applyFill="1" applyBorder="1" applyAlignment="1">
      <alignment horizontal="center" vertical="center"/>
    </xf>
    <xf numFmtId="0" fontId="34" fillId="68" borderId="162" xfId="0" applyFont="1" applyFill="1" applyBorder="1" applyAlignment="1">
      <alignment horizontal="center" vertical="center"/>
    </xf>
    <xf numFmtId="0" fontId="21" fillId="2" borderId="108" xfId="0" applyFont="1" applyFill="1" applyBorder="1" applyAlignment="1">
      <alignment horizontal="center" vertical="center"/>
    </xf>
    <xf numFmtId="0" fontId="21" fillId="2" borderId="163" xfId="0" applyFont="1" applyFill="1" applyBorder="1" applyAlignment="1">
      <alignment horizontal="center" vertical="center"/>
    </xf>
    <xf numFmtId="0" fontId="21" fillId="2" borderId="109" xfId="0" applyFont="1" applyFill="1" applyBorder="1" applyAlignment="1">
      <alignment horizontal="center" vertical="center"/>
    </xf>
    <xf numFmtId="0" fontId="21" fillId="2" borderId="110"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164" xfId="0" applyFont="1" applyFill="1" applyBorder="1" applyAlignment="1">
      <alignment horizontal="center" vertical="center"/>
    </xf>
    <xf numFmtId="0" fontId="0" fillId="0" borderId="0" xfId="0" applyFont="1" applyBorder="1" applyAlignment="1">
      <alignment horizontal="center" vertical="center"/>
    </xf>
    <xf numFmtId="0" fontId="34" fillId="68" borderId="110" xfId="0" applyFont="1" applyFill="1" applyBorder="1" applyAlignment="1">
      <alignment horizontal="center" vertical="center"/>
    </xf>
    <xf numFmtId="0" fontId="34" fillId="68" borderId="7" xfId="0" applyFont="1" applyFill="1" applyBorder="1" applyAlignment="1">
      <alignment horizontal="center" vertical="center"/>
    </xf>
    <xf numFmtId="0" fontId="34" fillId="68" borderId="164" xfId="0" applyFont="1" applyFill="1" applyBorder="1" applyAlignment="1">
      <alignment horizontal="center" vertical="center"/>
    </xf>
    <xf numFmtId="0" fontId="34" fillId="68" borderId="35" xfId="0" applyFont="1" applyFill="1" applyBorder="1" applyAlignment="1">
      <alignment horizontal="center" vertical="center"/>
    </xf>
    <xf numFmtId="0" fontId="34" fillId="68" borderId="165" xfId="0" applyFont="1" applyFill="1" applyBorder="1" applyAlignment="1">
      <alignment horizontal="center" vertical="center"/>
    </xf>
    <xf numFmtId="0" fontId="34" fillId="68" borderId="17" xfId="0" applyFont="1" applyFill="1" applyBorder="1" applyAlignment="1">
      <alignment horizontal="center" vertical="center"/>
    </xf>
    <xf numFmtId="0" fontId="34" fillId="68" borderId="166" xfId="0" applyFont="1" applyFill="1" applyBorder="1" applyAlignment="1">
      <alignment horizontal="center" vertical="center"/>
    </xf>
    <xf numFmtId="0" fontId="79" fillId="41" borderId="153" xfId="0" applyFont="1" applyFill="1" applyBorder="1" applyAlignment="1">
      <alignment horizontal="center" vertical="center" wrapText="1"/>
    </xf>
    <xf numFmtId="0" fontId="75" fillId="70" borderId="45" xfId="0" applyFont="1" applyFill="1" applyBorder="1" applyAlignment="1">
      <alignment horizontal="center" vertical="center"/>
    </xf>
    <xf numFmtId="0" fontId="75" fillId="70" borderId="40" xfId="0" applyFont="1" applyFill="1" applyBorder="1" applyAlignment="1">
      <alignment horizontal="center" vertical="center"/>
    </xf>
    <xf numFmtId="0" fontId="21" fillId="38" borderId="154" xfId="0" applyFont="1" applyFill="1" applyBorder="1" applyAlignment="1">
      <alignment horizontal="center" vertical="center" wrapText="1"/>
    </xf>
    <xf numFmtId="0" fontId="15" fillId="5" borderId="28" xfId="0" applyFont="1" applyFill="1" applyBorder="1" applyAlignment="1">
      <alignment horizontal="center" vertical="center"/>
    </xf>
    <xf numFmtId="0" fontId="15" fillId="5" borderId="0" xfId="0" applyFont="1" applyFill="1" applyBorder="1" applyAlignment="1">
      <alignment horizontal="center" vertical="center"/>
    </xf>
    <xf numFmtId="0" fontId="15" fillId="5" borderId="167" xfId="0" applyFont="1" applyFill="1" applyBorder="1" applyAlignment="1">
      <alignment horizontal="center" vertical="center"/>
    </xf>
    <xf numFmtId="0" fontId="34" fillId="68" borderId="168" xfId="0" applyFont="1" applyFill="1" applyBorder="1" applyAlignment="1">
      <alignment horizontal="center" vertical="center"/>
    </xf>
    <xf numFmtId="0" fontId="34" fillId="68" borderId="18" xfId="0" applyFont="1" applyFill="1" applyBorder="1" applyAlignment="1">
      <alignment horizontal="center" vertical="center"/>
    </xf>
    <xf numFmtId="0" fontId="34" fillId="68" borderId="18" xfId="0" applyFont="1" applyFill="1" applyBorder="1" applyAlignment="1">
      <alignment vertical="center"/>
    </xf>
    <xf numFmtId="0" fontId="34" fillId="68" borderId="166" xfId="0" applyFont="1" applyFill="1" applyBorder="1" applyAlignment="1">
      <alignment vertical="center"/>
    </xf>
    <xf numFmtId="0" fontId="79" fillId="41" borderId="156" xfId="0" applyFont="1" applyFill="1" applyBorder="1" applyAlignment="1">
      <alignment horizontal="center" vertical="center" wrapText="1"/>
    </xf>
    <xf numFmtId="0" fontId="78" fillId="42" borderId="38" xfId="0" applyFont="1" applyFill="1" applyBorder="1" applyAlignment="1" applyProtection="1">
      <alignment horizontal="center" vertical="center"/>
      <protection locked="0"/>
    </xf>
    <xf numFmtId="0" fontId="21" fillId="38" borderId="157" xfId="0" applyFont="1" applyFill="1" applyBorder="1" applyAlignment="1">
      <alignment horizontal="center" vertical="center" wrapText="1"/>
    </xf>
    <xf numFmtId="0" fontId="0" fillId="0" borderId="108" xfId="0" applyBorder="1" applyAlignment="1">
      <alignment horizontal="center" vertical="top"/>
    </xf>
    <xf numFmtId="0" fontId="0" fillId="0" borderId="163" xfId="0" applyBorder="1" applyAlignment="1">
      <alignment horizontal="center" vertical="top"/>
    </xf>
    <xf numFmtId="0" fontId="0" fillId="0" borderId="109" xfId="0" applyBorder="1" applyAlignment="1">
      <alignment horizontal="center" vertical="top"/>
    </xf>
    <xf numFmtId="0" fontId="34" fillId="68" borderId="169" xfId="0" applyFont="1" applyFill="1" applyBorder="1" applyAlignment="1">
      <alignment horizontal="center" vertical="center"/>
    </xf>
    <xf numFmtId="0" fontId="0" fillId="0" borderId="170" xfId="0" applyFont="1" applyBorder="1" applyAlignment="1">
      <alignment horizontal="center" vertical="center"/>
    </xf>
    <xf numFmtId="0" fontId="0" fillId="0" borderId="110" xfId="0" applyBorder="1" applyAlignment="1">
      <alignment horizontal="center" vertical="top"/>
    </xf>
    <xf numFmtId="0" fontId="0" fillId="0" borderId="7" xfId="0" applyBorder="1" applyAlignment="1">
      <alignment horizontal="center" vertical="top"/>
    </xf>
    <xf numFmtId="0" fontId="0" fillId="0" borderId="164" xfId="0" applyBorder="1" applyAlignment="1">
      <alignment horizontal="center" vertical="top"/>
    </xf>
    <xf numFmtId="0" fontId="34" fillId="68" borderId="121" xfId="0" applyFont="1" applyFill="1" applyBorder="1" applyAlignment="1">
      <alignment horizontal="center" vertical="center"/>
    </xf>
    <xf numFmtId="0" fontId="21" fillId="71" borderId="108" xfId="0" applyFont="1" applyFill="1" applyBorder="1" applyAlignment="1">
      <alignment horizontal="center" vertical="center"/>
    </xf>
    <xf numFmtId="0" fontId="21" fillId="71" borderId="163" xfId="0" applyFont="1" applyFill="1" applyBorder="1" applyAlignment="1">
      <alignment horizontal="center" vertical="center"/>
    </xf>
    <xf numFmtId="0" fontId="21" fillId="71" borderId="109" xfId="0" applyFont="1" applyFill="1" applyBorder="1" applyAlignment="1">
      <alignment horizontal="center" vertical="center"/>
    </xf>
    <xf numFmtId="0" fontId="21" fillId="71" borderId="110" xfId="0" applyFont="1" applyFill="1" applyBorder="1" applyAlignment="1">
      <alignment horizontal="center" vertical="center"/>
    </xf>
    <xf numFmtId="0" fontId="21" fillId="71" borderId="7" xfId="0" applyFont="1" applyFill="1" applyBorder="1" applyAlignment="1">
      <alignment horizontal="center" vertical="center"/>
    </xf>
    <xf numFmtId="0" fontId="21" fillId="71" borderId="164" xfId="0" applyFont="1" applyFill="1" applyBorder="1" applyAlignment="1">
      <alignment horizontal="center" vertical="center"/>
    </xf>
    <xf numFmtId="0" fontId="34" fillId="72" borderId="110" xfId="0" applyFont="1" applyFill="1" applyBorder="1" applyAlignment="1">
      <alignment horizontal="center" vertical="center"/>
    </xf>
    <xf numFmtId="0" fontId="34" fillId="72" borderId="7" xfId="0" applyFont="1" applyFill="1" applyBorder="1" applyAlignment="1">
      <alignment horizontal="center" vertical="center"/>
    </xf>
    <xf numFmtId="0" fontId="0" fillId="0" borderId="0" xfId="0" applyBorder="1" applyAlignment="1">
      <alignment horizontal="center" vertical="center"/>
    </xf>
    <xf numFmtId="0" fontId="34" fillId="72" borderId="168" xfId="0" applyFont="1" applyFill="1" applyBorder="1" applyAlignment="1">
      <alignment horizontal="center" vertical="center"/>
    </xf>
    <xf numFmtId="0" fontId="34" fillId="72" borderId="102" xfId="0" applyFont="1" applyFill="1" applyBorder="1" applyAlignment="1">
      <alignment horizontal="center" vertical="center"/>
    </xf>
    <xf numFmtId="0" fontId="34" fillId="72" borderId="158" xfId="0" applyFont="1" applyFill="1" applyBorder="1" applyAlignment="1">
      <alignment horizontal="center" vertical="center"/>
    </xf>
    <xf numFmtId="0" fontId="34" fillId="72" borderId="159" xfId="0" applyFont="1" applyFill="1" applyBorder="1" applyAlignment="1">
      <alignment horizontal="center" vertical="center"/>
    </xf>
    <xf numFmtId="0" fontId="34" fillId="72" borderId="171" xfId="0" applyFont="1" applyFill="1" applyBorder="1" applyAlignment="1">
      <alignment horizontal="center" vertical="center"/>
    </xf>
    <xf numFmtId="0" fontId="34" fillId="72" borderId="160" xfId="0" applyFont="1" applyFill="1" applyBorder="1" applyAlignment="1">
      <alignment horizontal="center" vertical="center"/>
    </xf>
    <xf numFmtId="0" fontId="34" fillId="72" borderId="18" xfId="0" applyFont="1" applyFill="1" applyBorder="1" applyAlignment="1">
      <alignment horizontal="center" vertical="center"/>
    </xf>
    <xf numFmtId="0" fontId="34" fillId="72" borderId="164" xfId="0" applyFont="1" applyFill="1" applyBorder="1" applyAlignment="1">
      <alignment horizontal="center" vertical="center"/>
    </xf>
    <xf numFmtId="0" fontId="76" fillId="0" borderId="57" xfId="0" applyFont="1" applyBorder="1" applyAlignment="1">
      <alignment horizontal="center" vertical="center" wrapText="1"/>
    </xf>
    <xf numFmtId="0" fontId="34" fillId="72" borderId="120" xfId="0" applyFont="1" applyFill="1" applyBorder="1" applyAlignment="1">
      <alignment horizontal="center" vertical="center"/>
    </xf>
    <xf numFmtId="0" fontId="34" fillId="72" borderId="161" xfId="0" applyFont="1" applyFill="1" applyBorder="1" applyAlignment="1">
      <alignment horizontal="center" vertical="center"/>
    </xf>
    <xf numFmtId="0" fontId="34" fillId="72" borderId="162" xfId="0" applyFont="1" applyFill="1" applyBorder="1" applyAlignment="1">
      <alignment horizontal="center" vertical="center"/>
    </xf>
    <xf numFmtId="0" fontId="76" fillId="0" borderId="39" xfId="0" applyFont="1" applyBorder="1" applyAlignment="1">
      <alignment horizontal="center" vertical="center" wrapText="1"/>
    </xf>
    <xf numFmtId="0" fontId="0" fillId="0" borderId="172" xfId="0" applyBorder="1" applyAlignment="1">
      <alignment horizontal="center" vertical="center"/>
    </xf>
    <xf numFmtId="0" fontId="21" fillId="73" borderId="108" xfId="0" applyFont="1" applyFill="1" applyBorder="1" applyAlignment="1">
      <alignment horizontal="center" vertical="center"/>
    </xf>
    <xf numFmtId="0" fontId="21" fillId="73" borderId="163" xfId="0" applyFont="1" applyFill="1" applyBorder="1" applyAlignment="1">
      <alignment horizontal="center" vertical="center"/>
    </xf>
    <xf numFmtId="0" fontId="21" fillId="73" borderId="109" xfId="0" applyFont="1" applyFill="1" applyBorder="1" applyAlignment="1">
      <alignment horizontal="center" vertical="center"/>
    </xf>
    <xf numFmtId="0" fontId="0" fillId="0" borderId="173" xfId="0" applyFont="1" applyBorder="1" applyAlignment="1">
      <alignment horizontal="center" vertical="center"/>
    </xf>
    <xf numFmtId="0" fontId="76" fillId="0" borderId="59" xfId="0" applyFont="1" applyBorder="1" applyAlignment="1">
      <alignment horizontal="center" vertical="center" wrapText="1"/>
    </xf>
    <xf numFmtId="0" fontId="21" fillId="73" borderId="110" xfId="0" applyFont="1" applyFill="1" applyBorder="1" applyAlignment="1">
      <alignment horizontal="center" vertical="center"/>
    </xf>
    <xf numFmtId="0" fontId="21" fillId="73" borderId="7" xfId="0" applyFont="1" applyFill="1" applyBorder="1" applyAlignment="1">
      <alignment horizontal="center" vertical="center"/>
    </xf>
    <xf numFmtId="0" fontId="21" fillId="73" borderId="164" xfId="0" applyFont="1" applyFill="1" applyBorder="1" applyAlignment="1">
      <alignment horizontal="center" vertical="center"/>
    </xf>
    <xf numFmtId="0" fontId="34" fillId="21" borderId="110" xfId="0" applyFont="1" applyFill="1" applyBorder="1" applyAlignment="1">
      <alignment horizontal="center" vertical="center"/>
    </xf>
    <xf numFmtId="0" fontId="16" fillId="45" borderId="35" xfId="0" applyFont="1" applyFill="1" applyBorder="1" applyAlignment="1">
      <alignment horizontal="center" vertical="center"/>
    </xf>
    <xf numFmtId="0" fontId="16" fillId="45" borderId="17" xfId="0" applyFont="1" applyFill="1" applyBorder="1" applyAlignment="1">
      <alignment horizontal="center" vertical="center"/>
    </xf>
    <xf numFmtId="0" fontId="79" fillId="41" borderId="174" xfId="0" applyFont="1" applyFill="1" applyBorder="1" applyAlignment="1">
      <alignment horizontal="center" vertical="center" wrapText="1"/>
    </xf>
    <xf numFmtId="0" fontId="21" fillId="38" borderId="100" xfId="0" applyFont="1" applyFill="1" applyBorder="1" applyAlignment="1">
      <alignment horizontal="center" vertical="center" wrapText="1"/>
    </xf>
    <xf numFmtId="0" fontId="74" fillId="44" borderId="153" xfId="0" applyFont="1" applyFill="1" applyBorder="1" applyAlignment="1">
      <alignment horizontal="center" vertical="center" wrapText="1"/>
    </xf>
    <xf numFmtId="0" fontId="75" fillId="45" borderId="45" xfId="0" applyFont="1" applyFill="1" applyBorder="1" applyAlignment="1">
      <alignment horizontal="center" vertical="center"/>
    </xf>
    <xf numFmtId="0" fontId="75" fillId="45" borderId="40" xfId="0" applyFont="1" applyFill="1" applyBorder="1" applyAlignment="1">
      <alignment horizontal="center" vertical="center"/>
    </xf>
    <xf numFmtId="0" fontId="15" fillId="12" borderId="154" xfId="0" applyFont="1" applyFill="1" applyBorder="1" applyAlignment="1">
      <alignment horizontal="center" vertical="center" wrapText="1"/>
    </xf>
    <xf numFmtId="0" fontId="77" fillId="74" borderId="61" xfId="0" applyFont="1" applyFill="1" applyBorder="1" applyAlignment="1" applyProtection="1">
      <alignment horizontal="center" vertical="center"/>
      <protection locked="0"/>
    </xf>
    <xf numFmtId="0" fontId="34" fillId="21" borderId="168" xfId="0" applyFont="1" applyFill="1" applyBorder="1" applyAlignment="1">
      <alignment horizontal="center" vertical="center"/>
    </xf>
    <xf numFmtId="0" fontId="16" fillId="45" borderId="175" xfId="0" applyFont="1" applyFill="1" applyBorder="1" applyAlignment="1">
      <alignment horizontal="center" vertical="center"/>
    </xf>
    <xf numFmtId="0" fontId="74" fillId="44" borderId="156" xfId="0" applyFont="1" applyFill="1" applyBorder="1" applyAlignment="1">
      <alignment horizontal="center" vertical="center" wrapText="1"/>
    </xf>
    <xf numFmtId="0" fontId="78" fillId="75" borderId="38" xfId="0" applyFont="1" applyFill="1" applyBorder="1" applyAlignment="1" applyProtection="1">
      <alignment horizontal="center" vertical="center"/>
      <protection locked="0"/>
    </xf>
    <xf numFmtId="0" fontId="15" fillId="12" borderId="157" xfId="0" applyFont="1" applyFill="1" applyBorder="1" applyAlignment="1">
      <alignment horizontal="center" vertical="center" wrapText="1"/>
    </xf>
    <xf numFmtId="0" fontId="77" fillId="74" borderId="63" xfId="0" applyFont="1" applyFill="1" applyBorder="1" applyAlignment="1" applyProtection="1">
      <alignment horizontal="center" vertical="center"/>
      <protection locked="0"/>
    </xf>
    <xf numFmtId="0" fontId="34" fillId="21" borderId="158" xfId="0" applyFont="1" applyFill="1" applyBorder="1" applyAlignment="1">
      <alignment horizontal="center" vertical="center"/>
    </xf>
    <xf numFmtId="0" fontId="34" fillId="21" borderId="159" xfId="0" applyFont="1" applyFill="1" applyBorder="1" applyAlignment="1">
      <alignment horizontal="center" vertical="center"/>
    </xf>
    <xf numFmtId="0" fontId="34" fillId="21" borderId="160" xfId="0" applyFont="1" applyFill="1" applyBorder="1" applyAlignment="1">
      <alignment horizontal="center" vertical="center"/>
    </xf>
    <xf numFmtId="0" fontId="34" fillId="21" borderId="120" xfId="0" applyFont="1" applyFill="1" applyBorder="1" applyAlignment="1">
      <alignment horizontal="center" vertical="center"/>
    </xf>
    <xf numFmtId="0" fontId="34" fillId="21" borderId="161" xfId="0" applyFont="1" applyFill="1" applyBorder="1" applyAlignment="1">
      <alignment horizontal="center" vertical="center"/>
    </xf>
    <xf numFmtId="0" fontId="34" fillId="21" borderId="162" xfId="0" applyFont="1" applyFill="1" applyBorder="1" applyAlignment="1">
      <alignment horizontal="center" vertical="center"/>
    </xf>
    <xf numFmtId="0" fontId="34" fillId="21" borderId="7" xfId="0" applyFont="1" applyFill="1" applyBorder="1" applyAlignment="1">
      <alignment horizontal="center" vertical="center"/>
    </xf>
    <xf numFmtId="0" fontId="34" fillId="21" borderId="164" xfId="0" applyFont="1" applyFill="1" applyBorder="1" applyAlignment="1">
      <alignment horizontal="center" vertical="center"/>
    </xf>
    <xf numFmtId="0" fontId="21" fillId="76" borderId="108" xfId="0" applyFont="1" applyFill="1" applyBorder="1" applyAlignment="1">
      <alignment horizontal="center" vertical="center"/>
    </xf>
    <xf numFmtId="0" fontId="21" fillId="76" borderId="163" xfId="0" applyFont="1" applyFill="1" applyBorder="1" applyAlignment="1">
      <alignment horizontal="center" vertical="center"/>
    </xf>
    <xf numFmtId="0" fontId="21" fillId="76" borderId="109" xfId="0" applyFont="1" applyFill="1" applyBorder="1" applyAlignment="1">
      <alignment horizontal="center" vertical="center"/>
    </xf>
    <xf numFmtId="0" fontId="21" fillId="76" borderId="110" xfId="0" applyFont="1" applyFill="1" applyBorder="1" applyAlignment="1">
      <alignment horizontal="center" vertical="center"/>
    </xf>
    <xf numFmtId="0" fontId="21" fillId="76" borderId="7" xfId="0" applyFont="1" applyFill="1" applyBorder="1" applyAlignment="1">
      <alignment horizontal="center" vertical="center"/>
    </xf>
    <xf numFmtId="0" fontId="21" fillId="76" borderId="164" xfId="0" applyFont="1" applyFill="1" applyBorder="1" applyAlignment="1">
      <alignment horizontal="center" vertical="center"/>
    </xf>
    <xf numFmtId="0" fontId="34" fillId="17" borderId="110" xfId="0" applyFont="1" applyFill="1" applyBorder="1" applyAlignment="1">
      <alignment horizontal="center" vertical="center"/>
    </xf>
    <xf numFmtId="0" fontId="16" fillId="50" borderId="7" xfId="0" applyFont="1" applyFill="1" applyBorder="1" applyAlignment="1">
      <alignment horizontal="center" vertical="center"/>
    </xf>
    <xf numFmtId="0" fontId="74" fillId="44" borderId="174" xfId="0" applyFont="1" applyFill="1" applyBorder="1" applyAlignment="1">
      <alignment horizontal="center" vertical="center" wrapText="1"/>
    </xf>
    <xf numFmtId="0" fontId="15" fillId="12" borderId="100" xfId="0" applyFont="1" applyFill="1" applyBorder="1" applyAlignment="1">
      <alignment horizontal="center" vertical="center" wrapText="1"/>
    </xf>
    <xf numFmtId="0" fontId="79" fillId="46" borderId="153" xfId="0" applyFont="1" applyFill="1" applyBorder="1" applyAlignment="1">
      <alignment horizontal="center" vertical="center" wrapText="1"/>
    </xf>
    <xf numFmtId="0" fontId="75" fillId="47" borderId="45" xfId="0" applyFont="1" applyFill="1" applyBorder="1" applyAlignment="1">
      <alignment horizontal="center" vertical="center"/>
    </xf>
    <xf numFmtId="0" fontId="75" fillId="47" borderId="40" xfId="0" applyFont="1" applyFill="1" applyBorder="1" applyAlignment="1">
      <alignment horizontal="center" vertical="center"/>
    </xf>
    <xf numFmtId="0" fontId="15" fillId="12" borderId="57" xfId="0" applyFont="1" applyFill="1" applyBorder="1" applyAlignment="1">
      <alignment horizontal="center" vertical="center" wrapText="1"/>
    </xf>
    <xf numFmtId="0" fontId="79" fillId="46" borderId="156" xfId="0" applyFont="1" applyFill="1" applyBorder="1" applyAlignment="1">
      <alignment horizontal="center" vertical="center" wrapText="1"/>
    </xf>
    <xf numFmtId="0" fontId="78" fillId="48" borderId="38" xfId="0" applyFont="1" applyFill="1" applyBorder="1" applyAlignment="1" applyProtection="1">
      <alignment horizontal="center" vertical="center"/>
      <protection locked="0"/>
    </xf>
    <xf numFmtId="0" fontId="15" fillId="12" borderId="65" xfId="0" applyFont="1" applyFill="1" applyBorder="1" applyAlignment="1">
      <alignment horizontal="center" vertical="center" wrapText="1"/>
    </xf>
    <xf numFmtId="0" fontId="34" fillId="17" borderId="7" xfId="0" applyFont="1" applyFill="1" applyBorder="1" applyAlignment="1">
      <alignment horizontal="center" vertical="center"/>
    </xf>
    <xf numFmtId="0" fontId="34" fillId="17" borderId="164" xfId="0" applyFont="1" applyFill="1" applyBorder="1" applyAlignment="1">
      <alignment horizontal="center" vertical="center"/>
    </xf>
    <xf numFmtId="0" fontId="34" fillId="17" borderId="120" xfId="0" applyFont="1" applyFill="1" applyBorder="1" applyAlignment="1">
      <alignment horizontal="center" vertical="center"/>
    </xf>
    <xf numFmtId="0" fontId="34" fillId="17" borderId="161" xfId="0" applyFont="1" applyFill="1" applyBorder="1" applyAlignment="1">
      <alignment horizontal="center" vertical="center"/>
    </xf>
    <xf numFmtId="0" fontId="34" fillId="17" borderId="162" xfId="0" applyFont="1" applyFill="1" applyBorder="1" applyAlignment="1">
      <alignment horizontal="center" vertical="center"/>
    </xf>
    <xf numFmtId="0" fontId="34" fillId="17" borderId="168" xfId="0" applyFont="1" applyFill="1" applyBorder="1" applyAlignment="1">
      <alignment horizontal="center" vertical="center"/>
    </xf>
    <xf numFmtId="0" fontId="34" fillId="17" borderId="102" xfId="0" applyFont="1" applyFill="1" applyBorder="1" applyAlignment="1">
      <alignment horizontal="center" vertical="center"/>
    </xf>
    <xf numFmtId="0" fontId="34" fillId="17" borderId="158" xfId="0" applyFont="1" applyFill="1" applyBorder="1" applyAlignment="1">
      <alignment horizontal="center" vertical="center"/>
    </xf>
    <xf numFmtId="0" fontId="34" fillId="17" borderId="159" xfId="0" applyFont="1" applyFill="1" applyBorder="1" applyAlignment="1">
      <alignment horizontal="center" vertical="center"/>
    </xf>
    <xf numFmtId="0" fontId="34" fillId="17" borderId="160" xfId="0" applyFont="1" applyFill="1" applyBorder="1" applyAlignment="1">
      <alignment horizontal="center" vertical="center"/>
    </xf>
    <xf numFmtId="0" fontId="79" fillId="46" borderId="174" xfId="0" applyFont="1" applyFill="1" applyBorder="1" applyAlignment="1">
      <alignment horizontal="center" vertical="center" wrapText="1"/>
    </xf>
    <xf numFmtId="0" fontId="74" fillId="13" borderId="44" xfId="0" applyFont="1" applyFill="1" applyBorder="1" applyAlignment="1">
      <alignment horizontal="center" vertical="center" wrapText="1"/>
    </xf>
    <xf numFmtId="0" fontId="75" fillId="50" borderId="39" xfId="0" applyFont="1" applyFill="1" applyBorder="1" applyAlignment="1">
      <alignment horizontal="center" vertical="center"/>
    </xf>
    <xf numFmtId="0" fontId="75" fillId="50" borderId="40" xfId="0" applyFont="1" applyFill="1" applyBorder="1" applyAlignment="1">
      <alignment horizontal="center" vertical="center"/>
    </xf>
    <xf numFmtId="0" fontId="21" fillId="77" borderId="108" xfId="0" applyFont="1" applyFill="1" applyBorder="1" applyAlignment="1">
      <alignment horizontal="center" vertical="center" wrapText="1"/>
    </xf>
    <xf numFmtId="0" fontId="80" fillId="78" borderId="109" xfId="0" applyFont="1" applyFill="1" applyBorder="1" applyAlignment="1" applyProtection="1">
      <alignment horizontal="center" vertical="center"/>
      <protection locked="0"/>
    </xf>
    <xf numFmtId="0" fontId="74" fillId="13" borderId="0" xfId="0" applyFont="1" applyFill="1" applyAlignment="1">
      <alignment horizontal="center" vertical="center" wrapText="1"/>
    </xf>
    <xf numFmtId="0" fontId="78" fillId="10" borderId="40" xfId="0" applyFont="1" applyFill="1" applyBorder="1" applyAlignment="1" applyProtection="1">
      <alignment horizontal="center" vertical="center"/>
      <protection locked="0"/>
    </xf>
    <xf numFmtId="0" fontId="21" fillId="77" borderId="110" xfId="0" applyFont="1" applyFill="1" applyBorder="1" applyAlignment="1">
      <alignment horizontal="center" vertical="center" wrapText="1"/>
    </xf>
    <xf numFmtId="0" fontId="80" fillId="78" borderId="164" xfId="0" applyFont="1" applyFill="1" applyBorder="1" applyAlignment="1" applyProtection="1">
      <alignment horizontal="center" vertical="center"/>
      <protection locked="0"/>
    </xf>
    <xf numFmtId="0" fontId="34" fillId="17" borderId="176" xfId="0" applyFont="1" applyFill="1" applyBorder="1" applyAlignment="1">
      <alignment horizontal="center" vertical="center"/>
    </xf>
    <xf numFmtId="0" fontId="34" fillId="17" borderId="171" xfId="0" applyFont="1" applyFill="1" applyBorder="1" applyAlignment="1">
      <alignment horizontal="center" vertical="center"/>
    </xf>
    <xf numFmtId="0" fontId="34" fillId="17" borderId="177" xfId="0" applyFont="1" applyFill="1" applyBorder="1" applyAlignment="1">
      <alignment horizontal="center" vertical="center"/>
    </xf>
    <xf numFmtId="0" fontId="34" fillId="17" borderId="73" xfId="0" applyFont="1" applyFill="1" applyBorder="1" applyAlignment="1">
      <alignment horizontal="center" vertical="center"/>
    </xf>
    <xf numFmtId="0" fontId="21" fillId="79" borderId="108" xfId="0" applyFont="1" applyFill="1" applyBorder="1" applyAlignment="1">
      <alignment horizontal="center" vertical="center"/>
    </xf>
    <xf numFmtId="0" fontId="21" fillId="79" borderId="163" xfId="0" applyFont="1" applyFill="1" applyBorder="1" applyAlignment="1">
      <alignment horizontal="center" vertical="center"/>
    </xf>
    <xf numFmtId="0" fontId="21" fillId="79" borderId="109" xfId="0" applyFont="1" applyFill="1" applyBorder="1" applyAlignment="1">
      <alignment horizontal="center" vertical="center"/>
    </xf>
    <xf numFmtId="0" fontId="21" fillId="79" borderId="110" xfId="0" applyFont="1" applyFill="1" applyBorder="1" applyAlignment="1">
      <alignment horizontal="center" vertical="center"/>
    </xf>
    <xf numFmtId="0" fontId="21" fillId="79" borderId="7" xfId="0" applyFont="1" applyFill="1" applyBorder="1" applyAlignment="1">
      <alignment horizontal="center" vertical="center"/>
    </xf>
    <xf numFmtId="0" fontId="21" fillId="79" borderId="164" xfId="0" applyFont="1" applyFill="1" applyBorder="1" applyAlignment="1">
      <alignment horizontal="center" vertical="center"/>
    </xf>
    <xf numFmtId="0" fontId="81" fillId="78" borderId="164" xfId="0" applyFont="1" applyFill="1" applyBorder="1" applyAlignment="1" applyProtection="1">
      <alignment horizontal="center" vertical="center"/>
      <protection locked="0"/>
    </xf>
    <xf numFmtId="0" fontId="34" fillId="80" borderId="110" xfId="0" applyFont="1" applyFill="1" applyBorder="1" applyAlignment="1">
      <alignment horizontal="center" vertical="center"/>
    </xf>
    <xf numFmtId="0" fontId="34" fillId="80" borderId="7" xfId="0" applyFont="1" applyFill="1" applyBorder="1" applyAlignment="1">
      <alignment horizontal="center" vertical="center"/>
    </xf>
    <xf numFmtId="0" fontId="34" fillId="80" borderId="164" xfId="0" applyFont="1" applyFill="1" applyBorder="1" applyAlignment="1">
      <alignment horizontal="center" vertical="center"/>
    </xf>
    <xf numFmtId="0" fontId="34" fillId="80" borderId="168" xfId="0" applyFont="1" applyFill="1" applyBorder="1" applyAlignment="1">
      <alignment horizontal="center" vertical="center"/>
    </xf>
    <xf numFmtId="0" fontId="34" fillId="80" borderId="102" xfId="0" applyFont="1" applyFill="1" applyBorder="1" applyAlignment="1">
      <alignment horizontal="center" vertical="center"/>
    </xf>
    <xf numFmtId="0" fontId="34" fillId="80" borderId="178" xfId="0" applyFont="1" applyFill="1" applyBorder="1" applyAlignment="1">
      <alignment horizontal="center" vertical="center"/>
    </xf>
    <xf numFmtId="0" fontId="82" fillId="78" borderId="164" xfId="0" applyFont="1" applyFill="1" applyBorder="1" applyAlignment="1" applyProtection="1">
      <alignment horizontal="center" vertical="center"/>
      <protection locked="0"/>
    </xf>
    <xf numFmtId="0" fontId="34" fillId="80" borderId="158" xfId="0" applyFont="1" applyFill="1" applyBorder="1" applyAlignment="1">
      <alignment horizontal="center" vertical="center"/>
    </xf>
    <xf numFmtId="0" fontId="34" fillId="80" borderId="159" xfId="0" applyFont="1" applyFill="1" applyBorder="1" applyAlignment="1">
      <alignment horizontal="center" vertical="center"/>
    </xf>
    <xf numFmtId="0" fontId="34" fillId="80" borderId="160" xfId="0" applyFont="1" applyFill="1" applyBorder="1" applyAlignment="1">
      <alignment horizontal="center" vertical="center"/>
    </xf>
    <xf numFmtId="0" fontId="82" fillId="78" borderId="165" xfId="0" applyFont="1" applyFill="1" applyBorder="1" applyAlignment="1" applyProtection="1">
      <alignment horizontal="center" vertical="center"/>
      <protection locked="0"/>
    </xf>
    <xf numFmtId="0" fontId="34" fillId="80" borderId="120" xfId="0" applyFont="1" applyFill="1" applyBorder="1" applyAlignment="1">
      <alignment horizontal="center" vertical="center"/>
    </xf>
    <xf numFmtId="0" fontId="34" fillId="80" borderId="161" xfId="0" applyFont="1" applyFill="1" applyBorder="1" applyAlignment="1">
      <alignment horizontal="center" vertical="center"/>
    </xf>
    <xf numFmtId="0" fontId="34" fillId="80" borderId="162" xfId="0" applyFont="1" applyFill="1" applyBorder="1" applyAlignment="1">
      <alignment horizontal="center" vertical="center"/>
    </xf>
    <xf numFmtId="0" fontId="21" fillId="77" borderId="179" xfId="0" applyFont="1" applyFill="1" applyBorder="1" applyAlignment="1">
      <alignment horizontal="center" vertical="center" wrapText="1"/>
    </xf>
    <xf numFmtId="0" fontId="82" fillId="78" borderId="180" xfId="0" applyFont="1" applyFill="1" applyBorder="1" applyAlignment="1" applyProtection="1">
      <alignment horizontal="center" vertical="center"/>
      <protection locked="0"/>
    </xf>
    <xf numFmtId="0" fontId="0" fillId="0" borderId="22" xfId="0" applyBorder="1" applyAlignment="1">
      <alignment horizontal="center" vertical="top"/>
    </xf>
    <xf numFmtId="0" fontId="82" fillId="78" borderId="181" xfId="0" applyFont="1" applyFill="1" applyBorder="1" applyAlignment="1" applyProtection="1">
      <alignment horizontal="center" vertical="center"/>
      <protection locked="0"/>
    </xf>
    <xf numFmtId="0" fontId="78" fillId="10" borderId="182" xfId="0" applyFont="1" applyFill="1" applyBorder="1" applyAlignment="1" applyProtection="1">
      <alignment horizontal="center" vertical="center"/>
      <protection locked="0"/>
    </xf>
    <xf numFmtId="0" fontId="75" fillId="0" borderId="183" xfId="0" applyFont="1" applyBorder="1" applyAlignment="1">
      <alignment horizontal="center" vertical="center"/>
    </xf>
    <xf numFmtId="0" fontId="21" fillId="77" borderId="184" xfId="0" applyFont="1" applyFill="1" applyBorder="1" applyAlignment="1">
      <alignment horizontal="center" vertical="center" wrapText="1"/>
    </xf>
    <xf numFmtId="0" fontId="82" fillId="78" borderId="185" xfId="0" applyFont="1" applyFill="1" applyBorder="1" applyAlignment="1" applyProtection="1">
      <alignment horizontal="center" vertical="center"/>
      <protection locked="0"/>
    </xf>
    <xf numFmtId="0" fontId="0" fillId="0" borderId="25" xfId="0" applyBorder="1" applyAlignment="1">
      <alignment horizontal="center" vertical="top"/>
    </xf>
    <xf numFmtId="0" fontId="0" fillId="0" borderId="35" xfId="0" applyBorder="1" applyAlignment="1">
      <alignment horizontal="center" vertical="top"/>
    </xf>
    <xf numFmtId="0" fontId="0" fillId="0" borderId="165" xfId="0" applyBorder="1" applyAlignment="1">
      <alignment horizontal="center" vertical="top"/>
    </xf>
    <xf numFmtId="0" fontId="83" fillId="25" borderId="62" xfId="0" applyFont="1" applyFill="1" applyBorder="1" applyAlignment="1">
      <alignment horizontal="center" vertical="center" wrapText="1"/>
    </xf>
    <xf numFmtId="0" fontId="14" fillId="0" borderId="172" xfId="0" applyFont="1" applyBorder="1" applyAlignment="1">
      <alignment horizontal="center" vertical="center"/>
    </xf>
    <xf numFmtId="0" fontId="0" fillId="0" borderId="173" xfId="0" applyBorder="1" applyAlignment="1">
      <alignment horizontal="center" vertical="center"/>
    </xf>
    <xf numFmtId="0" fontId="34" fillId="80" borderId="186" xfId="0" applyFont="1" applyFill="1" applyBorder="1" applyAlignment="1">
      <alignment horizontal="center" vertical="center"/>
    </xf>
    <xf numFmtId="0" fontId="34" fillId="80" borderId="113" xfId="0" applyFont="1" applyFill="1" applyBorder="1" applyAlignment="1">
      <alignment horizontal="center" vertical="center"/>
    </xf>
    <xf numFmtId="0" fontId="34" fillId="80" borderId="187" xfId="0" applyFont="1" applyFill="1" applyBorder="1" applyAlignment="1">
      <alignment horizontal="center" vertical="center"/>
    </xf>
    <xf numFmtId="0" fontId="79" fillId="0" borderId="0" xfId="0" applyFont="1" applyAlignment="1">
      <alignment horizontal="center" vertical="center"/>
    </xf>
    <xf numFmtId="0" fontId="21" fillId="81" borderId="188" xfId="0" applyFont="1" applyFill="1" applyBorder="1" applyAlignment="1">
      <alignment horizontal="center" vertical="center" wrapText="1"/>
    </xf>
    <xf numFmtId="0" fontId="21" fillId="81" borderId="189" xfId="0" applyFont="1" applyFill="1" applyBorder="1" applyAlignment="1">
      <alignment horizontal="center" vertical="center" wrapText="1"/>
    </xf>
    <xf numFmtId="0" fontId="21" fillId="81" borderId="189" xfId="0" applyFont="1" applyFill="1" applyBorder="1" applyAlignment="1">
      <alignment horizontal="center" vertical="center"/>
    </xf>
    <xf numFmtId="0" fontId="21" fillId="81" borderId="190" xfId="0" applyFont="1" applyFill="1" applyBorder="1" applyAlignment="1">
      <alignment horizontal="center" vertical="center"/>
    </xf>
    <xf numFmtId="0" fontId="34" fillId="22" borderId="155" xfId="0" applyFont="1" applyFill="1" applyBorder="1" applyAlignment="1">
      <alignment horizontal="center" vertical="center"/>
    </xf>
    <xf numFmtId="0" fontId="34" fillId="22" borderId="31" xfId="0" applyFont="1" applyFill="1" applyBorder="1" applyAlignment="1">
      <alignment horizontal="center" vertical="center"/>
    </xf>
    <xf numFmtId="0" fontId="34" fillId="22" borderId="191" xfId="0" applyFont="1" applyFill="1" applyBorder="1" applyAlignment="1">
      <alignment horizontal="center" vertical="center"/>
    </xf>
    <xf numFmtId="0" fontId="34" fillId="22" borderId="192" xfId="0" applyFont="1" applyFill="1" applyBorder="1" applyAlignment="1">
      <alignment horizontal="center" vertical="center"/>
    </xf>
    <xf numFmtId="0" fontId="34" fillId="22" borderId="193" xfId="0" applyFont="1" applyFill="1" applyBorder="1" applyAlignment="1">
      <alignment horizontal="center" vertical="center"/>
    </xf>
    <xf numFmtId="0" fontId="21" fillId="82" borderId="150" xfId="0" applyFont="1" applyFill="1" applyBorder="1" applyAlignment="1">
      <alignment horizontal="center" vertical="center"/>
    </xf>
    <xf numFmtId="0" fontId="21" fillId="82" borderId="151" xfId="0" applyFont="1" applyFill="1" applyBorder="1" applyAlignment="1">
      <alignment horizontal="center" vertical="center"/>
    </xf>
    <xf numFmtId="0" fontId="21" fillId="82" borderId="152" xfId="0" applyFont="1" applyFill="1" applyBorder="1" applyAlignment="1">
      <alignment horizontal="center" vertical="center"/>
    </xf>
    <xf numFmtId="0" fontId="21" fillId="0" borderId="0" xfId="0" applyFont="1" applyAlignment="1">
      <alignment horizontal="center" vertical="center"/>
    </xf>
    <xf numFmtId="0" fontId="34" fillId="83" borderId="155" xfId="0" applyFont="1" applyFill="1" applyBorder="1" applyAlignment="1">
      <alignment horizontal="center" vertical="center"/>
    </xf>
    <xf numFmtId="0" fontId="34" fillId="83" borderId="31" xfId="0" applyFont="1" applyFill="1" applyBorder="1" applyAlignment="1">
      <alignment horizontal="center" vertical="center"/>
    </xf>
    <xf numFmtId="0" fontId="34" fillId="83" borderId="186" xfId="0" applyFont="1" applyFill="1" applyBorder="1" applyAlignment="1">
      <alignment horizontal="center" vertical="center"/>
    </xf>
    <xf numFmtId="0" fontId="34" fillId="83" borderId="113" xfId="0" applyFont="1" applyFill="1" applyBorder="1" applyAlignment="1">
      <alignment horizontal="center" vertical="center"/>
    </xf>
    <xf numFmtId="0" fontId="34" fillId="83" borderId="187" xfId="0" applyFont="1" applyFill="1" applyBorder="1" applyAlignment="1">
      <alignment horizontal="center" vertical="center"/>
    </xf>
    <xf numFmtId="0" fontId="21" fillId="82" borderId="188" xfId="0" applyFont="1" applyFill="1" applyBorder="1" applyAlignment="1">
      <alignment horizontal="center" vertical="center"/>
    </xf>
    <xf numFmtId="0" fontId="21" fillId="82" borderId="189" xfId="0" applyFont="1" applyFill="1" applyBorder="1" applyAlignment="1">
      <alignment horizontal="center" vertical="center"/>
    </xf>
    <xf numFmtId="0" fontId="21" fillId="82" borderId="190" xfId="0" applyFont="1" applyFill="1" applyBorder="1" applyAlignment="1">
      <alignment horizontal="center" vertical="center"/>
    </xf>
    <xf numFmtId="0" fontId="34" fillId="83" borderId="191" xfId="0" applyFont="1" applyFill="1" applyBorder="1" applyAlignment="1">
      <alignment horizontal="center" vertical="center"/>
    </xf>
    <xf numFmtId="0" fontId="34" fillId="83" borderId="192" xfId="0" applyFont="1" applyFill="1" applyBorder="1" applyAlignment="1">
      <alignment horizontal="center" vertical="center"/>
    </xf>
    <xf numFmtId="0" fontId="34" fillId="83" borderId="193" xfId="0" applyFont="1" applyFill="1" applyBorder="1" applyAlignment="1">
      <alignment horizontal="center" vertical="center"/>
    </xf>
    <xf numFmtId="0" fontId="84" fillId="24" borderId="0" xfId="0" applyFont="1" applyFill="1" applyProtection="1">
      <alignment vertical="center"/>
    </xf>
    <xf numFmtId="0" fontId="85" fillId="24" borderId="0" xfId="0" applyFont="1" applyFill="1" applyProtection="1">
      <alignment vertical="center"/>
    </xf>
    <xf numFmtId="0" fontId="85" fillId="4" borderId="0" xfId="0" applyFont="1" applyFill="1" applyProtection="1">
      <alignment vertical="center"/>
    </xf>
    <xf numFmtId="0" fontId="86" fillId="24" borderId="0" xfId="0" applyFont="1" applyFill="1" applyAlignment="1" applyProtection="1">
      <alignment vertical="center"/>
    </xf>
    <xf numFmtId="0" fontId="87" fillId="5" borderId="194" xfId="0" applyFont="1" applyFill="1" applyBorder="1" applyAlignment="1" applyProtection="1">
      <alignment horizontal="center" vertical="center"/>
    </xf>
    <xf numFmtId="0" fontId="87" fillId="5" borderId="195" xfId="0" applyFont="1" applyFill="1" applyBorder="1" applyAlignment="1" applyProtection="1">
      <alignment horizontal="center" vertical="center"/>
    </xf>
    <xf numFmtId="0" fontId="87" fillId="5" borderId="196" xfId="0" applyFont="1" applyFill="1" applyBorder="1" applyAlignment="1" applyProtection="1">
      <alignment horizontal="center" vertical="center"/>
    </xf>
    <xf numFmtId="0" fontId="87" fillId="5" borderId="197" xfId="0" applyFont="1" applyFill="1" applyBorder="1" applyAlignment="1" applyProtection="1">
      <alignment horizontal="center" vertical="center"/>
    </xf>
    <xf numFmtId="0" fontId="87" fillId="5" borderId="173" xfId="0" applyFont="1" applyFill="1" applyBorder="1" applyAlignment="1" applyProtection="1">
      <alignment horizontal="center" vertical="center"/>
    </xf>
    <xf numFmtId="0" fontId="87" fillId="5" borderId="198" xfId="0" applyFont="1" applyFill="1" applyBorder="1" applyAlignment="1" applyProtection="1">
      <alignment horizontal="center" vertical="center"/>
    </xf>
    <xf numFmtId="0" fontId="15" fillId="5" borderId="76" xfId="0" applyFont="1" applyFill="1" applyBorder="1" applyAlignment="1" applyProtection="1">
      <alignment horizontal="center" vertical="center" wrapText="1"/>
    </xf>
    <xf numFmtId="0" fontId="88" fillId="84" borderId="5" xfId="0" applyFont="1" applyFill="1" applyBorder="1" applyAlignment="1" applyProtection="1">
      <alignment horizontal="center" vertical="center" wrapText="1"/>
    </xf>
    <xf numFmtId="0" fontId="46" fillId="63" borderId="5" xfId="0" applyFont="1" applyFill="1" applyBorder="1" applyAlignment="1" applyProtection="1">
      <alignment horizontal="center" vertical="center" wrapText="1"/>
    </xf>
    <xf numFmtId="0" fontId="88" fillId="84" borderId="199" xfId="0" applyFont="1" applyFill="1" applyBorder="1" applyAlignment="1" applyProtection="1">
      <alignment horizontal="center" vertical="center" wrapText="1"/>
    </xf>
    <xf numFmtId="0" fontId="88" fillId="84" borderId="136" xfId="0" applyFont="1" applyFill="1" applyBorder="1" applyAlignment="1" applyProtection="1">
      <alignment horizontal="center" vertical="center" wrapText="1"/>
    </xf>
    <xf numFmtId="0" fontId="46" fillId="85" borderId="200" xfId="0" applyFont="1" applyFill="1" applyBorder="1" applyAlignment="1" applyProtection="1">
      <alignment horizontal="center" vertical="center"/>
    </xf>
    <xf numFmtId="0" fontId="46" fillId="86" borderId="200" xfId="0" applyFont="1" applyFill="1" applyBorder="1" applyAlignment="1" applyProtection="1">
      <alignment horizontal="center" vertical="center" wrapText="1"/>
    </xf>
    <xf numFmtId="0" fontId="46" fillId="87" borderId="200" xfId="0" applyFont="1" applyFill="1" applyBorder="1" applyAlignment="1" applyProtection="1">
      <alignment horizontal="center" vertical="center"/>
    </xf>
    <xf numFmtId="0" fontId="46" fillId="88" borderId="201" xfId="0" applyFont="1" applyFill="1" applyBorder="1" applyAlignment="1" applyProtection="1">
      <alignment horizontal="center" vertical="center"/>
    </xf>
    <xf numFmtId="0" fontId="89" fillId="89" borderId="202" xfId="0" applyFont="1" applyFill="1" applyBorder="1" applyAlignment="1" applyProtection="1">
      <alignment horizontal="center" vertical="center"/>
    </xf>
    <xf numFmtId="0" fontId="89" fillId="89" borderId="203" xfId="0" applyFont="1" applyFill="1" applyBorder="1" applyAlignment="1" applyProtection="1">
      <alignment horizontal="center" vertical="center"/>
    </xf>
    <xf numFmtId="0" fontId="89" fillId="19" borderId="0" xfId="0" applyFont="1" applyFill="1" applyAlignment="1" applyProtection="1">
      <alignment horizontal="left" vertical="center"/>
    </xf>
    <xf numFmtId="0" fontId="87" fillId="90" borderId="204" xfId="0" applyFont="1" applyFill="1" applyBorder="1" applyAlignment="1" applyProtection="1">
      <alignment horizontal="center" vertical="center"/>
    </xf>
    <xf numFmtId="0" fontId="87" fillId="90" borderId="205" xfId="0" applyFont="1" applyFill="1" applyBorder="1" applyAlignment="1" applyProtection="1">
      <alignment horizontal="center" vertical="center"/>
    </xf>
    <xf numFmtId="0" fontId="88" fillId="90" borderId="205" xfId="0" applyFont="1" applyFill="1" applyBorder="1" applyAlignment="1" applyProtection="1">
      <alignment horizontal="center" vertical="center"/>
    </xf>
    <xf numFmtId="0" fontId="46" fillId="90" borderId="205" xfId="0" applyFont="1" applyFill="1" applyBorder="1" applyAlignment="1" applyProtection="1">
      <alignment horizontal="center" vertical="center"/>
    </xf>
    <xf numFmtId="0" fontId="88" fillId="90" borderId="206" xfId="0" applyFont="1" applyFill="1" applyBorder="1" applyAlignment="1" applyProtection="1">
      <alignment horizontal="center" vertical="center"/>
    </xf>
    <xf numFmtId="0" fontId="85" fillId="4" borderId="197" xfId="0" applyFont="1" applyFill="1" applyBorder="1" applyAlignment="1" applyProtection="1">
      <alignment horizontal="center" vertical="center"/>
    </xf>
    <xf numFmtId="0" fontId="85" fillId="4" borderId="173" xfId="0" applyFont="1" applyFill="1" applyBorder="1" applyAlignment="1" applyProtection="1">
      <alignment horizontal="center" vertical="center"/>
    </xf>
    <xf numFmtId="0" fontId="85" fillId="4" borderId="198" xfId="0" applyFont="1" applyFill="1" applyBorder="1" applyAlignment="1" applyProtection="1">
      <alignment horizontal="center" vertical="center"/>
    </xf>
    <xf numFmtId="0" fontId="15" fillId="5" borderId="82" xfId="0" applyFont="1" applyFill="1" applyBorder="1" applyAlignment="1" applyProtection="1">
      <alignment horizontal="center" vertical="center" wrapText="1"/>
    </xf>
    <xf numFmtId="0" fontId="88" fillId="84" borderId="7" xfId="0" applyFont="1" applyFill="1" applyBorder="1" applyAlignment="1" applyProtection="1">
      <alignment horizontal="center" vertical="center" wrapText="1"/>
    </xf>
    <xf numFmtId="0" fontId="46" fillId="63" borderId="7" xfId="0" applyFont="1" applyFill="1" applyBorder="1" applyAlignment="1" applyProtection="1">
      <alignment horizontal="center" vertical="center"/>
    </xf>
    <xf numFmtId="0" fontId="46" fillId="2" borderId="18" xfId="0" applyFont="1" applyFill="1" applyBorder="1" applyAlignment="1" applyProtection="1">
      <alignment horizontal="center" vertical="center" wrapText="1"/>
    </xf>
    <xf numFmtId="0" fontId="46" fillId="85" borderId="18" xfId="0" applyFont="1" applyFill="1" applyBorder="1" applyAlignment="1" applyProtection="1">
      <alignment vertical="center"/>
    </xf>
    <xf numFmtId="0" fontId="46" fillId="86" borderId="18" xfId="0" applyFont="1" applyFill="1" applyBorder="1" applyAlignment="1" applyProtection="1">
      <alignment horizontal="center" vertical="center" wrapText="1"/>
    </xf>
    <xf numFmtId="0" fontId="46" fillId="87" borderId="18" xfId="0" applyFont="1" applyFill="1" applyBorder="1" applyAlignment="1" applyProtection="1">
      <alignment vertical="center"/>
    </xf>
    <xf numFmtId="0" fontId="46" fillId="88" borderId="19" xfId="0" applyFont="1" applyFill="1" applyBorder="1" applyAlignment="1" applyProtection="1">
      <alignment vertical="center"/>
    </xf>
    <xf numFmtId="0" fontId="84" fillId="24" borderId="143" xfId="0" applyFont="1" applyFill="1" applyBorder="1" applyProtection="1">
      <alignment vertical="center"/>
    </xf>
    <xf numFmtId="0" fontId="89" fillId="89" borderId="207" xfId="0" applyFont="1" applyFill="1" applyBorder="1" applyAlignment="1" applyProtection="1">
      <alignment horizontal="center" vertical="center"/>
    </xf>
    <xf numFmtId="0" fontId="89" fillId="89" borderId="208" xfId="0" applyFont="1" applyFill="1" applyBorder="1" applyAlignment="1" applyProtection="1">
      <alignment horizontal="center" vertical="center"/>
    </xf>
    <xf numFmtId="0" fontId="89" fillId="89" borderId="208" xfId="0" applyFont="1" applyFill="1" applyBorder="1" applyAlignment="1" applyProtection="1">
      <alignment horizontal="left" vertical="center"/>
    </xf>
    <xf numFmtId="0" fontId="89" fillId="89" borderId="209" xfId="0" applyFont="1" applyFill="1" applyBorder="1" applyAlignment="1" applyProtection="1">
      <alignment horizontal="left" vertical="center"/>
    </xf>
    <xf numFmtId="0" fontId="90" fillId="91" borderId="210" xfId="0" applyFont="1" applyFill="1" applyBorder="1" applyAlignment="1" applyProtection="1">
      <alignment horizontal="center" vertical="center" wrapText="1"/>
    </xf>
    <xf numFmtId="0" fontId="90" fillId="91" borderId="170" xfId="0" applyFont="1" applyFill="1" applyBorder="1" applyAlignment="1" applyProtection="1">
      <alignment horizontal="center" vertical="center" wrapText="1"/>
    </xf>
    <xf numFmtId="0" fontId="90" fillId="91" borderId="72" xfId="0" applyFont="1" applyFill="1" applyBorder="1" applyAlignment="1" applyProtection="1">
      <alignment horizontal="center" vertical="center" wrapText="1"/>
    </xf>
    <xf numFmtId="0" fontId="80" fillId="64" borderId="211" xfId="0" applyFont="1" applyFill="1" applyBorder="1" applyAlignment="1" applyProtection="1">
      <alignment horizontal="center" vertical="center" wrapText="1"/>
    </xf>
    <xf numFmtId="0" fontId="91" fillId="4" borderId="0" xfId="0" applyFont="1" applyFill="1" applyAlignment="1" applyProtection="1">
      <alignment horizontal="center" vertical="center"/>
    </xf>
    <xf numFmtId="0" fontId="92" fillId="64" borderId="177" xfId="0" applyFont="1" applyFill="1" applyBorder="1" applyAlignment="1" applyProtection="1">
      <alignment horizontal="center" vertical="center" wrapText="1"/>
    </xf>
    <xf numFmtId="0" fontId="92" fillId="64" borderId="72" xfId="0" applyFont="1" applyFill="1" applyBorder="1" applyAlignment="1" applyProtection="1">
      <alignment horizontal="center" vertical="center" wrapText="1"/>
    </xf>
    <xf numFmtId="0" fontId="92" fillId="64" borderId="212" xfId="0" applyFont="1" applyFill="1" applyBorder="1" applyAlignment="1" applyProtection="1">
      <alignment horizontal="center" vertical="center" wrapText="1"/>
    </xf>
    <xf numFmtId="0" fontId="85" fillId="4" borderId="89" xfId="0" applyFont="1" applyFill="1" applyBorder="1" applyAlignment="1" applyProtection="1">
      <alignment horizontal="center" vertical="center"/>
    </xf>
    <xf numFmtId="0" fontId="85" fillId="4" borderId="0" xfId="0" applyFont="1" applyFill="1" applyAlignment="1" applyProtection="1">
      <alignment horizontal="center" vertical="center"/>
    </xf>
    <xf numFmtId="0" fontId="85" fillId="4" borderId="167" xfId="0" applyFont="1" applyFill="1" applyBorder="1" applyAlignment="1" applyProtection="1">
      <alignment horizontal="center" vertical="center"/>
    </xf>
    <xf numFmtId="0" fontId="92" fillId="64" borderId="213" xfId="0" applyFont="1" applyFill="1" applyBorder="1" applyAlignment="1" applyProtection="1">
      <alignment horizontal="center" vertical="center" wrapText="1"/>
    </xf>
    <xf numFmtId="0" fontId="84" fillId="24" borderId="214" xfId="0" applyFont="1" applyFill="1" applyBorder="1" applyProtection="1">
      <alignment vertical="center"/>
    </xf>
    <xf numFmtId="0" fontId="93" fillId="5" borderId="0" xfId="0" applyFont="1" applyFill="1" applyBorder="1" applyAlignment="1" applyProtection="1">
      <alignment horizontal="center" vertical="center"/>
    </xf>
    <xf numFmtId="0" fontId="85" fillId="5" borderId="0" xfId="0" applyFont="1" applyFill="1" applyBorder="1" applyProtection="1">
      <alignment vertical="center"/>
    </xf>
    <xf numFmtId="0" fontId="84" fillId="24" borderId="215" xfId="0" applyFont="1" applyFill="1" applyBorder="1" applyProtection="1">
      <alignment vertical="center"/>
    </xf>
    <xf numFmtId="0" fontId="89" fillId="89" borderId="209" xfId="0" applyFont="1" applyFill="1" applyBorder="1" applyAlignment="1" applyProtection="1">
      <alignment horizontal="center" vertical="center"/>
    </xf>
    <xf numFmtId="0" fontId="94" fillId="91" borderId="210" xfId="0" applyFont="1" applyFill="1" applyBorder="1" applyAlignment="1" applyProtection="1">
      <alignment horizontal="center" vertical="center" wrapText="1"/>
    </xf>
    <xf numFmtId="0" fontId="94" fillId="91" borderId="170" xfId="0" applyFont="1" applyFill="1" applyBorder="1" applyAlignment="1" applyProtection="1">
      <alignment horizontal="center" vertical="center" wrapText="1"/>
    </xf>
    <xf numFmtId="0" fontId="94" fillId="91" borderId="72" xfId="0" applyFont="1" applyFill="1" applyBorder="1" applyAlignment="1" applyProtection="1">
      <alignment horizontal="center" vertical="center" wrapText="1"/>
    </xf>
    <xf numFmtId="0" fontId="95" fillId="64" borderId="211" xfId="0" applyFont="1" applyFill="1" applyBorder="1" applyAlignment="1" applyProtection="1">
      <alignment horizontal="center" vertical="center" wrapText="1"/>
    </xf>
    <xf numFmtId="0" fontId="96" fillId="4" borderId="0" xfId="0" applyFont="1" applyFill="1" applyAlignment="1" applyProtection="1">
      <alignment horizontal="center" vertical="center"/>
    </xf>
    <xf numFmtId="0" fontId="46" fillId="63" borderId="7" xfId="0" applyFont="1" applyFill="1" applyBorder="1" applyAlignment="1" applyProtection="1">
      <alignment horizontal="center" vertical="center" wrapText="1"/>
    </xf>
    <xf numFmtId="0" fontId="46" fillId="92" borderId="35" xfId="0" applyFont="1" applyFill="1" applyBorder="1" applyAlignment="1" applyProtection="1">
      <alignment horizontal="center" vertical="center"/>
    </xf>
    <xf numFmtId="0" fontId="46" fillId="93" borderId="35" xfId="0" applyFont="1" applyFill="1" applyBorder="1" applyAlignment="1" applyProtection="1">
      <alignment horizontal="center" vertical="center"/>
    </xf>
    <xf numFmtId="0" fontId="46" fillId="87" borderId="35" xfId="0" applyFont="1" applyFill="1" applyBorder="1" applyAlignment="1" applyProtection="1">
      <alignment horizontal="center" vertical="center"/>
    </xf>
    <xf numFmtId="0" fontId="46" fillId="94" borderId="216" xfId="0" applyFont="1" applyFill="1" applyBorder="1" applyAlignment="1" applyProtection="1">
      <alignment horizontal="center" vertical="center"/>
    </xf>
    <xf numFmtId="0" fontId="93" fillId="5" borderId="0" xfId="0" applyFont="1" applyFill="1" applyAlignment="1" applyProtection="1">
      <alignment horizontal="center" vertical="center"/>
    </xf>
    <xf numFmtId="0" fontId="85" fillId="5" borderId="0" xfId="0" applyFont="1" applyFill="1" applyProtection="1">
      <alignment vertical="center"/>
    </xf>
    <xf numFmtId="58" fontId="89" fillId="89" borderId="208" xfId="0" applyNumberFormat="1" applyFont="1" applyFill="1" applyBorder="1" applyAlignment="1" applyProtection="1">
      <alignment horizontal="left" vertical="center"/>
    </xf>
    <xf numFmtId="0" fontId="97" fillId="91" borderId="210" xfId="0" applyFont="1" applyFill="1" applyBorder="1" applyAlignment="1" applyProtection="1">
      <alignment horizontal="center" vertical="center" wrapText="1"/>
    </xf>
    <xf numFmtId="0" fontId="97" fillId="91" borderId="170" xfId="0" applyFont="1" applyFill="1" applyBorder="1" applyAlignment="1" applyProtection="1">
      <alignment horizontal="center" vertical="center" wrapText="1"/>
    </xf>
    <xf numFmtId="0" fontId="97" fillId="91" borderId="72" xfId="0" applyFont="1" applyFill="1" applyBorder="1" applyAlignment="1" applyProtection="1">
      <alignment horizontal="center" vertical="center" wrapText="1"/>
    </xf>
    <xf numFmtId="0" fontId="98" fillId="64" borderId="211" xfId="0" applyFont="1" applyFill="1" applyBorder="1" applyAlignment="1" applyProtection="1">
      <alignment horizontal="center" vertical="center" wrapText="1"/>
    </xf>
    <xf numFmtId="0" fontId="99" fillId="4" borderId="0" xfId="0" applyFont="1" applyFill="1" applyAlignment="1" applyProtection="1">
      <alignment horizontal="center" vertical="center"/>
    </xf>
    <xf numFmtId="0" fontId="46" fillId="92" borderId="18" xfId="0" applyFont="1" applyFill="1" applyBorder="1" applyAlignment="1" applyProtection="1">
      <alignment vertical="center"/>
    </xf>
    <xf numFmtId="0" fontId="46" fillId="93" borderId="18" xfId="0" applyFont="1" applyFill="1" applyBorder="1" applyAlignment="1" applyProtection="1">
      <alignment vertical="center"/>
    </xf>
    <xf numFmtId="0" fontId="46" fillId="94" borderId="19" xfId="0" applyFont="1" applyFill="1" applyBorder="1" applyAlignment="1" applyProtection="1">
      <alignment vertical="center"/>
    </xf>
    <xf numFmtId="0" fontId="100" fillId="91" borderId="210" xfId="0" applyFont="1" applyFill="1" applyBorder="1" applyAlignment="1" applyProtection="1">
      <alignment horizontal="center" vertical="center" wrapText="1"/>
    </xf>
    <xf numFmtId="0" fontId="100" fillId="91" borderId="170" xfId="0" applyFont="1" applyFill="1" applyBorder="1" applyAlignment="1" applyProtection="1">
      <alignment horizontal="center" vertical="center" wrapText="1"/>
    </xf>
    <xf numFmtId="0" fontId="100" fillId="91" borderId="72" xfId="0" applyFont="1" applyFill="1" applyBorder="1" applyAlignment="1" applyProtection="1">
      <alignment horizontal="center" vertical="center" wrapText="1"/>
    </xf>
    <xf numFmtId="0" fontId="101" fillId="64" borderId="211" xfId="0" applyFont="1" applyFill="1" applyBorder="1" applyAlignment="1" applyProtection="1">
      <alignment horizontal="center" vertical="center" wrapText="1"/>
    </xf>
    <xf numFmtId="0" fontId="102" fillId="4" borderId="0" xfId="0" applyFont="1" applyFill="1" applyAlignment="1" applyProtection="1">
      <alignment horizontal="center" vertical="center"/>
    </xf>
    <xf numFmtId="0" fontId="88" fillId="5" borderId="198" xfId="0" applyFont="1" applyFill="1" applyBorder="1" applyAlignment="1" applyProtection="1">
      <alignment horizontal="center" vertical="center" wrapText="1"/>
    </xf>
    <xf numFmtId="0" fontId="15" fillId="5" borderId="88" xfId="0" applyFont="1" applyFill="1" applyBorder="1" applyAlignment="1" applyProtection="1">
      <alignment horizontal="center" vertical="center" wrapText="1"/>
    </xf>
    <xf numFmtId="0" fontId="88" fillId="84" borderId="11" xfId="0" applyFont="1" applyFill="1" applyBorder="1" applyAlignment="1" applyProtection="1">
      <alignment horizontal="center" vertical="center" wrapText="1"/>
    </xf>
    <xf numFmtId="0" fontId="92" fillId="64" borderId="217" xfId="0" applyFont="1" applyFill="1" applyBorder="1" applyAlignment="1" applyProtection="1">
      <alignment horizontal="center" vertical="center" wrapText="1"/>
    </xf>
    <xf numFmtId="0" fontId="92" fillId="64" borderId="218" xfId="0" applyFont="1" applyFill="1" applyBorder="1" applyAlignment="1" applyProtection="1">
      <alignment horizontal="center" vertical="center" wrapText="1"/>
    </xf>
    <xf numFmtId="0" fontId="85" fillId="95" borderId="219" xfId="0" applyFont="1" applyFill="1" applyBorder="1" applyProtection="1">
      <alignment vertical="center"/>
    </xf>
    <xf numFmtId="0" fontId="85" fillId="6" borderId="220" xfId="0" applyFont="1" applyFill="1" applyBorder="1" applyProtection="1">
      <alignment vertical="center"/>
    </xf>
    <xf numFmtId="0" fontId="85" fillId="6" borderId="221" xfId="0" applyFont="1" applyFill="1" applyBorder="1" applyProtection="1">
      <alignment vertical="center"/>
    </xf>
    <xf numFmtId="0" fontId="84" fillId="24" borderId="0" xfId="0" applyFont="1" applyFill="1" applyBorder="1" applyProtection="1">
      <alignment vertical="center"/>
    </xf>
    <xf numFmtId="0" fontId="103" fillId="91" borderId="210" xfId="0" applyFont="1" applyFill="1" applyBorder="1" applyAlignment="1" applyProtection="1">
      <alignment horizontal="center" vertical="center" wrapText="1"/>
    </xf>
    <xf numFmtId="0" fontId="103" fillId="91" borderId="170" xfId="0" applyFont="1" applyFill="1" applyBorder="1" applyAlignment="1" applyProtection="1">
      <alignment horizontal="center" vertical="center" wrapText="1"/>
    </xf>
    <xf numFmtId="0" fontId="103" fillId="91" borderId="72" xfId="0" applyFont="1" applyFill="1" applyBorder="1" applyAlignment="1" applyProtection="1">
      <alignment horizontal="center" vertical="center" wrapText="1"/>
    </xf>
    <xf numFmtId="0" fontId="104" fillId="64" borderId="211" xfId="0" applyFont="1" applyFill="1" applyBorder="1" applyAlignment="1" applyProtection="1">
      <alignment horizontal="center" vertical="center" wrapText="1"/>
    </xf>
    <xf numFmtId="0" fontId="105" fillId="4" borderId="0" xfId="0" applyFont="1" applyFill="1" applyAlignment="1" applyProtection="1">
      <alignment horizontal="center" vertical="center"/>
    </xf>
    <xf numFmtId="0" fontId="88" fillId="5" borderId="167" xfId="0" applyFont="1" applyFill="1" applyBorder="1" applyAlignment="1" applyProtection="1">
      <alignment horizontal="center" vertical="center" wrapText="1"/>
    </xf>
    <xf numFmtId="0" fontId="85" fillId="25" borderId="0" xfId="0" applyFont="1" applyFill="1" applyAlignment="1" applyProtection="1">
      <alignment horizontal="center" vertical="center"/>
    </xf>
    <xf numFmtId="0" fontId="85" fillId="25" borderId="0" xfId="0" applyFont="1" applyFill="1" applyProtection="1">
      <alignment vertical="center"/>
    </xf>
    <xf numFmtId="0" fontId="85" fillId="6" borderId="222" xfId="0" applyFont="1" applyFill="1" applyBorder="1" applyProtection="1">
      <alignment vertical="center"/>
    </xf>
    <xf numFmtId="0" fontId="87" fillId="5" borderId="223" xfId="0" applyFont="1" applyFill="1" applyBorder="1" applyAlignment="1" applyProtection="1">
      <alignment horizontal="left" vertical="center"/>
    </xf>
    <xf numFmtId="0" fontId="106" fillId="96" borderId="224" xfId="0" applyFont="1" applyFill="1" applyBorder="1" applyAlignment="1" applyProtection="1">
      <alignment horizontal="center" vertical="center"/>
    </xf>
    <xf numFmtId="0" fontId="106" fillId="96" borderId="225" xfId="0" applyFont="1" applyFill="1" applyBorder="1" applyAlignment="1" applyProtection="1">
      <alignment horizontal="center" vertical="center"/>
    </xf>
    <xf numFmtId="0" fontId="85" fillId="6" borderId="226" xfId="0" applyFont="1" applyFill="1" applyBorder="1" applyProtection="1">
      <alignment vertical="center"/>
    </xf>
    <xf numFmtId="49" fontId="89" fillId="89" borderId="208" xfId="0" applyNumberFormat="1" applyFont="1" applyFill="1" applyBorder="1" applyAlignment="1" applyProtection="1">
      <alignment horizontal="center" vertical="center"/>
    </xf>
    <xf numFmtId="49" fontId="89" fillId="89" borderId="209" xfId="0" applyNumberFormat="1" applyFont="1" applyFill="1" applyBorder="1" applyAlignment="1" applyProtection="1">
      <alignment horizontal="center" vertical="center"/>
    </xf>
    <xf numFmtId="0" fontId="107" fillId="91" borderId="210" xfId="0" applyFont="1" applyFill="1" applyBorder="1" applyAlignment="1" applyProtection="1">
      <alignment horizontal="center" vertical="center" wrapText="1"/>
    </xf>
    <xf numFmtId="0" fontId="107" fillId="91" borderId="170" xfId="0" applyFont="1" applyFill="1" applyBorder="1" applyAlignment="1" applyProtection="1">
      <alignment horizontal="center" vertical="center" wrapText="1"/>
    </xf>
    <xf numFmtId="0" fontId="107" fillId="91" borderId="72" xfId="0" applyFont="1" applyFill="1" applyBorder="1" applyAlignment="1" applyProtection="1">
      <alignment horizontal="center" vertical="center" wrapText="1"/>
    </xf>
    <xf numFmtId="0" fontId="108" fillId="64" borderId="211" xfId="0" applyFont="1" applyFill="1" applyBorder="1" applyAlignment="1" applyProtection="1">
      <alignment horizontal="center" vertical="center" wrapText="1"/>
    </xf>
    <xf numFmtId="0" fontId="109" fillId="4" borderId="0" xfId="0" applyFont="1" applyFill="1" applyAlignment="1" applyProtection="1">
      <alignment horizontal="center" vertical="center"/>
    </xf>
    <xf numFmtId="0" fontId="88" fillId="5" borderId="212" xfId="0" applyFont="1" applyFill="1" applyBorder="1" applyAlignment="1" applyProtection="1">
      <alignment horizontal="center" vertical="center" wrapText="1"/>
    </xf>
    <xf numFmtId="0" fontId="85" fillId="5" borderId="135" xfId="0" applyFont="1" applyFill="1" applyBorder="1" applyAlignment="1" applyProtection="1">
      <alignment horizontal="center" vertical="center"/>
    </xf>
    <xf numFmtId="0" fontId="85" fillId="5" borderId="137" xfId="0" applyFont="1" applyFill="1" applyBorder="1" applyAlignment="1" applyProtection="1">
      <alignment horizontal="center" vertical="center"/>
    </xf>
    <xf numFmtId="0" fontId="110" fillId="5" borderId="136" xfId="0" applyFont="1" applyFill="1" applyBorder="1" applyAlignment="1" applyProtection="1">
      <alignment horizontal="right"/>
    </xf>
    <xf numFmtId="0" fontId="111" fillId="5" borderId="136" xfId="0" applyFont="1" applyFill="1" applyBorder="1" applyAlignment="1" applyProtection="1">
      <alignment horizontal="right"/>
    </xf>
    <xf numFmtId="0" fontId="111" fillId="5" borderId="137" xfId="0" applyFont="1" applyFill="1" applyBorder="1" applyAlignment="1" applyProtection="1">
      <alignment horizontal="right"/>
    </xf>
    <xf numFmtId="0" fontId="112" fillId="5" borderId="227" xfId="0" applyFont="1" applyFill="1" applyBorder="1" applyAlignment="1" applyProtection="1"/>
    <xf numFmtId="0" fontId="112" fillId="5" borderId="0" xfId="0" applyFont="1" applyFill="1" applyBorder="1" applyAlignment="1" applyProtection="1"/>
    <xf numFmtId="0" fontId="87" fillId="25" borderId="0" xfId="0" applyFont="1" applyFill="1" applyAlignment="1" applyProtection="1">
      <alignment horizontal="center" vertical="center" wrapText="1"/>
    </xf>
    <xf numFmtId="0" fontId="85" fillId="6" borderId="228" xfId="0" applyFont="1" applyFill="1" applyBorder="1" applyProtection="1">
      <alignment vertical="center"/>
    </xf>
    <xf numFmtId="0" fontId="113" fillId="96" borderId="224" xfId="0" applyFont="1" applyFill="1" applyBorder="1" applyAlignment="1" applyProtection="1">
      <alignment horizontal="center" vertical="center"/>
    </xf>
    <xf numFmtId="0" fontId="113" fillId="96" borderId="225" xfId="0" applyFont="1" applyFill="1" applyBorder="1" applyAlignment="1" applyProtection="1">
      <alignment horizontal="center" vertical="center"/>
    </xf>
    <xf numFmtId="0" fontId="85" fillId="6" borderId="229" xfId="0" applyFont="1" applyFill="1" applyBorder="1" applyProtection="1">
      <alignment vertical="center"/>
    </xf>
    <xf numFmtId="0" fontId="89" fillId="89" borderId="230" xfId="0" applyFont="1" applyFill="1" applyBorder="1" applyAlignment="1" applyProtection="1">
      <alignment horizontal="center" vertical="center"/>
    </xf>
    <xf numFmtId="0" fontId="89" fillId="89" borderId="231" xfId="0" applyFont="1" applyFill="1" applyBorder="1" applyAlignment="1" applyProtection="1">
      <alignment horizontal="center" vertical="center"/>
    </xf>
    <xf numFmtId="181" fontId="92" fillId="89" borderId="231" xfId="0" applyNumberFormat="1" applyFont="1" applyFill="1" applyBorder="1" applyAlignment="1" applyProtection="1">
      <alignment horizontal="center" vertical="center"/>
    </xf>
    <xf numFmtId="181" fontId="114" fillId="89" borderId="231" xfId="0" applyNumberFormat="1" applyFont="1" applyFill="1" applyBorder="1" applyAlignment="1" applyProtection="1">
      <alignment horizontal="center" vertical="center"/>
    </xf>
    <xf numFmtId="182" fontId="114" fillId="89" borderId="231" xfId="0" applyNumberFormat="1" applyFont="1" applyFill="1" applyBorder="1" applyAlignment="1" applyProtection="1">
      <alignment horizontal="center" vertical="center"/>
    </xf>
    <xf numFmtId="182" fontId="114" fillId="89" borderId="232" xfId="0" applyNumberFormat="1" applyFont="1" applyFill="1" applyBorder="1" applyAlignment="1" applyProtection="1">
      <alignment horizontal="center" vertical="center"/>
    </xf>
    <xf numFmtId="0" fontId="115" fillId="24" borderId="0" xfId="0" applyFont="1" applyFill="1" applyAlignment="1" applyProtection="1">
      <alignment horizontal="center" vertical="center"/>
    </xf>
    <xf numFmtId="0" fontId="116" fillId="91" borderId="210" xfId="0" applyFont="1" applyFill="1" applyBorder="1" applyAlignment="1" applyProtection="1">
      <alignment horizontal="center" vertical="center" wrapText="1"/>
    </xf>
    <xf numFmtId="0" fontId="116" fillId="91" borderId="170" xfId="0" applyFont="1" applyFill="1" applyBorder="1" applyAlignment="1" applyProtection="1">
      <alignment horizontal="center" vertical="center" wrapText="1"/>
    </xf>
    <xf numFmtId="0" fontId="116" fillId="91" borderId="72" xfId="0" applyFont="1" applyFill="1" applyBorder="1" applyAlignment="1" applyProtection="1">
      <alignment horizontal="center" vertical="center" wrapText="1"/>
    </xf>
    <xf numFmtId="0" fontId="117" fillId="64" borderId="211" xfId="0" applyFont="1" applyFill="1" applyBorder="1" applyAlignment="1" applyProtection="1">
      <alignment horizontal="center" vertical="center" wrapText="1"/>
    </xf>
    <xf numFmtId="0" fontId="118" fillId="4" borderId="170" xfId="0" applyFont="1" applyFill="1" applyBorder="1" applyAlignment="1" applyProtection="1">
      <alignment horizontal="center" vertical="center"/>
    </xf>
    <xf numFmtId="0" fontId="119" fillId="64" borderId="177" xfId="0" applyFont="1" applyFill="1" applyBorder="1" applyAlignment="1" applyProtection="1">
      <alignment horizontal="center" vertical="center" wrapText="1"/>
    </xf>
    <xf numFmtId="0" fontId="119" fillId="64" borderId="72" xfId="0" applyFont="1" applyFill="1" applyBorder="1" applyAlignment="1" applyProtection="1">
      <alignment horizontal="center" vertical="center" wrapText="1"/>
    </xf>
    <xf numFmtId="0" fontId="119" fillId="64" borderId="212" xfId="0" applyFont="1" applyFill="1" applyBorder="1" applyAlignment="1" applyProtection="1">
      <alignment horizontal="center" vertical="center" wrapText="1"/>
    </xf>
    <xf numFmtId="0" fontId="85" fillId="4" borderId="210" xfId="0" applyFont="1" applyFill="1" applyBorder="1" applyAlignment="1" applyProtection="1">
      <alignment horizontal="center" vertical="center"/>
    </xf>
    <xf numFmtId="0" fontId="85" fillId="4" borderId="170" xfId="0" applyFont="1" applyFill="1" applyBorder="1" applyAlignment="1" applyProtection="1">
      <alignment horizontal="center" vertical="center"/>
    </xf>
    <xf numFmtId="0" fontId="85" fillId="4" borderId="212" xfId="0" applyFont="1" applyFill="1" applyBorder="1" applyAlignment="1" applyProtection="1">
      <alignment horizontal="center" vertical="center"/>
    </xf>
    <xf numFmtId="0" fontId="85" fillId="5" borderId="28" xfId="0" applyFont="1" applyFill="1" applyBorder="1" applyAlignment="1" applyProtection="1">
      <alignment horizontal="center" vertical="center"/>
    </xf>
    <xf numFmtId="0" fontId="85" fillId="5" borderId="106" xfId="0" applyFont="1" applyFill="1" applyBorder="1" applyAlignment="1" applyProtection="1">
      <alignment horizontal="center" vertical="center"/>
    </xf>
    <xf numFmtId="0" fontId="111" fillId="5" borderId="0" xfId="0" applyFont="1" applyFill="1" applyAlignment="1" applyProtection="1">
      <alignment horizontal="right"/>
    </xf>
    <xf numFmtId="0" fontId="111" fillId="5" borderId="106" xfId="0" applyFont="1" applyFill="1" applyBorder="1" applyAlignment="1" applyProtection="1">
      <alignment horizontal="right"/>
    </xf>
    <xf numFmtId="0" fontId="120" fillId="5" borderId="0" xfId="0" applyFont="1" applyFill="1" applyAlignment="1" applyProtection="1">
      <alignment horizontal="left" shrinkToFit="1"/>
    </xf>
    <xf numFmtId="0" fontId="121" fillId="5" borderId="0" xfId="0" applyFont="1" applyFill="1" applyAlignment="1" applyProtection="1">
      <alignment horizontal="left" shrinkToFit="1"/>
    </xf>
    <xf numFmtId="0" fontId="85" fillId="6" borderId="233" xfId="0" applyFont="1" applyFill="1" applyBorder="1" applyProtection="1">
      <alignment vertical="center"/>
    </xf>
    <xf numFmtId="0" fontId="122" fillId="24" borderId="0" xfId="0" applyFont="1" applyFill="1" applyAlignment="1" applyProtection="1">
      <alignment horizontal="center" vertical="center"/>
    </xf>
    <xf numFmtId="0" fontId="123" fillId="24" borderId="0" xfId="0" applyFont="1" applyFill="1" applyAlignment="1" applyProtection="1">
      <alignment horizontal="center" vertical="center"/>
    </xf>
    <xf numFmtId="0" fontId="124" fillId="24" borderId="0" xfId="0" applyFont="1" applyFill="1" applyAlignment="1" applyProtection="1">
      <alignment horizontal="center" vertical="center"/>
    </xf>
    <xf numFmtId="0" fontId="85" fillId="5" borderId="144" xfId="0" applyFont="1" applyFill="1" applyBorder="1" applyAlignment="1" applyProtection="1">
      <alignment horizontal="center" vertical="center"/>
    </xf>
    <xf numFmtId="0" fontId="85" fillId="5" borderId="218" xfId="0" applyFont="1" applyFill="1" applyBorder="1" applyAlignment="1" applyProtection="1">
      <alignment horizontal="center" vertical="center"/>
    </xf>
    <xf numFmtId="0" fontId="111" fillId="5" borderId="227" xfId="0" applyFont="1" applyFill="1" applyBorder="1" applyAlignment="1" applyProtection="1">
      <alignment horizontal="right"/>
    </xf>
    <xf numFmtId="0" fontId="111" fillId="5" borderId="218" xfId="0" applyFont="1" applyFill="1" applyBorder="1" applyAlignment="1" applyProtection="1">
      <alignment horizontal="right"/>
    </xf>
    <xf numFmtId="0" fontId="85" fillId="95" borderId="224" xfId="0" applyFont="1" applyFill="1" applyBorder="1" applyProtection="1">
      <alignment vertical="center"/>
    </xf>
    <xf numFmtId="0" fontId="85" fillId="6" borderId="234" xfId="0" applyFont="1" applyFill="1" applyBorder="1" applyProtection="1">
      <alignment vertical="center"/>
    </xf>
    <xf numFmtId="0" fontId="87" fillId="5" borderId="135" xfId="0" applyFont="1" applyFill="1" applyBorder="1" applyAlignment="1" applyProtection="1">
      <alignment horizontal="center" vertical="center"/>
    </xf>
    <xf numFmtId="0" fontId="87" fillId="5" borderId="136" xfId="0" applyFont="1" applyFill="1" applyBorder="1" applyAlignment="1" applyProtection="1">
      <alignment horizontal="center" vertical="center"/>
    </xf>
    <xf numFmtId="0" fontId="87" fillId="5" borderId="137" xfId="0" applyFont="1" applyFill="1" applyBorder="1" applyAlignment="1" applyProtection="1">
      <alignment horizontal="center" vertical="center"/>
    </xf>
    <xf numFmtId="0" fontId="89" fillId="5" borderId="173" xfId="0" applyFont="1" applyFill="1" applyBorder="1" applyAlignment="1" applyProtection="1">
      <alignment horizontal="center" vertical="center"/>
    </xf>
    <xf numFmtId="0" fontId="89" fillId="5" borderId="198" xfId="0" applyFont="1" applyFill="1" applyBorder="1" applyAlignment="1" applyProtection="1">
      <alignment horizontal="center" vertical="center"/>
    </xf>
    <xf numFmtId="0" fontId="85" fillId="84" borderId="0" xfId="0" applyFont="1" applyFill="1" applyProtection="1">
      <alignment vertical="center"/>
    </xf>
    <xf numFmtId="0" fontId="88" fillId="6" borderId="235" xfId="0" applyFont="1" applyFill="1" applyBorder="1" applyAlignment="1" applyProtection="1">
      <alignment horizontal="center" vertical="center" wrapText="1"/>
    </xf>
    <xf numFmtId="0" fontId="88" fillId="6" borderId="78" xfId="0" applyFont="1" applyFill="1" applyBorder="1" applyAlignment="1" applyProtection="1">
      <alignment horizontal="center" vertical="center" wrapText="1"/>
    </xf>
    <xf numFmtId="0" fontId="88" fillId="6" borderId="80" xfId="0" applyFont="1" applyFill="1" applyBorder="1" applyAlignment="1" applyProtection="1">
      <alignment horizontal="center" vertical="center"/>
    </xf>
    <xf numFmtId="0" fontId="88" fillId="6" borderId="78" xfId="0" applyFont="1" applyFill="1" applyBorder="1" applyAlignment="1" applyProtection="1">
      <alignment vertical="center"/>
    </xf>
    <xf numFmtId="0" fontId="88" fillId="6" borderId="205" xfId="0" applyFont="1" applyFill="1" applyBorder="1" applyAlignment="1" applyProtection="1">
      <alignment horizontal="center" vertical="center" wrapText="1"/>
    </xf>
    <xf numFmtId="0" fontId="88" fillId="6" borderId="236" xfId="0" applyFont="1" applyFill="1" applyBorder="1" applyAlignment="1" applyProtection="1">
      <alignment horizontal="center" vertical="center" wrapText="1"/>
    </xf>
    <xf numFmtId="0" fontId="125" fillId="38" borderId="237" xfId="0" applyFont="1" applyFill="1" applyBorder="1" applyAlignment="1" applyProtection="1">
      <alignment horizontal="center" vertical="center"/>
    </xf>
    <xf numFmtId="0" fontId="125" fillId="38" borderId="79" xfId="0" applyFont="1" applyFill="1" applyBorder="1" applyAlignment="1" applyProtection="1">
      <alignment horizontal="center" vertical="center"/>
    </xf>
    <xf numFmtId="0" fontId="125" fillId="12" borderId="79" xfId="0" applyFont="1" applyFill="1" applyBorder="1" applyAlignment="1" applyProtection="1">
      <alignment horizontal="center" vertical="center"/>
    </xf>
    <xf numFmtId="0" fontId="125" fillId="13" borderId="79" xfId="0" applyFont="1" applyFill="1" applyBorder="1" applyAlignment="1" applyProtection="1">
      <alignment horizontal="center" vertical="center"/>
    </xf>
    <xf numFmtId="0" fontId="125" fillId="13" borderId="238" xfId="0" applyFont="1" applyFill="1" applyBorder="1" applyAlignment="1" applyProtection="1">
      <alignment horizontal="center" vertical="center"/>
    </xf>
    <xf numFmtId="0" fontId="85" fillId="14" borderId="239" xfId="0" applyFont="1" applyFill="1" applyBorder="1" applyProtection="1">
      <alignment vertical="center"/>
    </xf>
    <xf numFmtId="0" fontId="85" fillId="14" borderId="240" xfId="0" applyFont="1" applyFill="1" applyBorder="1" applyProtection="1">
      <alignment vertical="center"/>
    </xf>
    <xf numFmtId="0" fontId="15" fillId="14" borderId="241" xfId="0" applyFont="1" applyFill="1" applyBorder="1" applyAlignment="1" applyProtection="1">
      <alignment horizontal="center" vertical="center" wrapText="1"/>
    </xf>
    <xf numFmtId="0" fontId="85" fillId="4" borderId="240" xfId="0" applyFont="1" applyFill="1" applyBorder="1" applyAlignment="1" applyProtection="1">
      <alignment horizontal="center" vertical="center"/>
    </xf>
    <xf numFmtId="0" fontId="87" fillId="97" borderId="242" xfId="0" applyFont="1" applyFill="1" applyBorder="1" applyAlignment="1" applyProtection="1">
      <alignment horizontal="center" vertical="center" wrapText="1"/>
    </xf>
    <xf numFmtId="0" fontId="126" fillId="4" borderId="240" xfId="0" applyFont="1" applyFill="1" applyBorder="1" applyAlignment="1" applyProtection="1">
      <alignment horizontal="left" vertical="center" wrapText="1"/>
    </xf>
    <xf numFmtId="0" fontId="126" fillId="4" borderId="243" xfId="0" applyFont="1" applyFill="1" applyBorder="1" applyAlignment="1" applyProtection="1">
      <alignment horizontal="left" vertical="center" wrapText="1"/>
    </xf>
    <xf numFmtId="0" fontId="127" fillId="61" borderId="144" xfId="0" applyFont="1" applyFill="1" applyBorder="1" applyAlignment="1" applyProtection="1">
      <alignment horizontal="center" vertical="center" wrapText="1"/>
    </xf>
    <xf numFmtId="0" fontId="127" fillId="61" borderId="23" xfId="0" applyFont="1" applyFill="1" applyBorder="1" applyAlignment="1" applyProtection="1">
      <alignment horizontal="center" vertical="center" wrapText="1"/>
    </xf>
    <xf numFmtId="0" fontId="127" fillId="61" borderId="24" xfId="0" applyFont="1" applyFill="1" applyBorder="1" applyAlignment="1" applyProtection="1">
      <alignment horizontal="center" vertical="center" wrapText="1"/>
    </xf>
    <xf numFmtId="0" fontId="128" fillId="61" borderId="24" xfId="0" applyFont="1" applyFill="1" applyBorder="1" applyAlignment="1" applyProtection="1">
      <alignment horizontal="center" vertical="center" wrapText="1"/>
    </xf>
    <xf numFmtId="0" fontId="128" fillId="61" borderId="106" xfId="0" applyFont="1" applyFill="1" applyBorder="1" applyAlignment="1" applyProtection="1">
      <alignment horizontal="center" vertical="center" wrapText="1"/>
    </xf>
    <xf numFmtId="0" fontId="89" fillId="40" borderId="244" xfId="0" applyFont="1" applyFill="1" applyBorder="1" applyAlignment="1" applyProtection="1">
      <alignment horizontal="center" vertical="center"/>
    </xf>
    <xf numFmtId="0" fontId="89" fillId="40" borderId="18" xfId="0" applyFont="1" applyFill="1" applyBorder="1" applyAlignment="1" applyProtection="1">
      <alignment horizontal="center" vertical="center"/>
    </xf>
    <xf numFmtId="0" fontId="129" fillId="9" borderId="18" xfId="0" applyFont="1" applyFill="1" applyBorder="1" applyAlignment="1" applyProtection="1">
      <alignment horizontal="center" vertical="center"/>
    </xf>
    <xf numFmtId="0" fontId="89" fillId="10" borderId="18" xfId="0" applyFont="1" applyFill="1" applyBorder="1" applyAlignment="1" applyProtection="1">
      <alignment horizontal="center" vertical="center"/>
    </xf>
    <xf numFmtId="0" fontId="89" fillId="10" borderId="245" xfId="0" applyFont="1" applyFill="1" applyBorder="1" applyAlignment="1" applyProtection="1">
      <alignment horizontal="center" vertical="center"/>
    </xf>
    <xf numFmtId="0" fontId="85" fillId="14" borderId="246" xfId="0" applyFont="1" applyFill="1" applyBorder="1" applyProtection="1">
      <alignment vertical="center"/>
    </xf>
    <xf numFmtId="0" fontId="85" fillId="14" borderId="0" xfId="0" applyFont="1" applyFill="1" applyAlignment="1" applyProtection="1">
      <alignment horizontal="center" vertical="center"/>
    </xf>
    <xf numFmtId="0" fontId="130" fillId="14" borderId="0" xfId="0" applyFont="1" applyFill="1" applyAlignment="1" applyProtection="1">
      <alignment vertical="center" wrapText="1"/>
    </xf>
    <xf numFmtId="0" fontId="131" fillId="14" borderId="0" xfId="0" applyFont="1" applyFill="1" applyAlignment="1" applyProtection="1">
      <alignment horizontal="left" vertical="center" wrapText="1"/>
    </xf>
    <xf numFmtId="0" fontId="132" fillId="14" borderId="247" xfId="0" applyFont="1" applyFill="1" applyBorder="1" applyAlignment="1" applyProtection="1">
      <alignment horizontal="center" vertical="center"/>
    </xf>
    <xf numFmtId="0" fontId="132" fillId="14" borderId="248" xfId="0" applyFont="1" applyFill="1" applyBorder="1" applyAlignment="1" applyProtection="1">
      <alignment horizontal="center" vertical="center"/>
    </xf>
    <xf numFmtId="0" fontId="85" fillId="14" borderId="0" xfId="0" applyFont="1" applyFill="1" applyProtection="1">
      <alignment vertical="center"/>
    </xf>
    <xf numFmtId="0" fontId="15" fillId="14" borderId="28" xfId="0" applyFont="1" applyFill="1" applyBorder="1" applyAlignment="1" applyProtection="1">
      <alignment horizontal="center" vertical="center" wrapText="1"/>
    </xf>
    <xf numFmtId="0" fontId="87" fillId="97" borderId="89" xfId="0" applyFont="1" applyFill="1" applyBorder="1" applyAlignment="1" applyProtection="1">
      <alignment horizontal="center" vertical="center" wrapText="1"/>
    </xf>
    <xf numFmtId="0" fontId="126" fillId="4" borderId="0" xfId="0" applyFont="1" applyFill="1" applyAlignment="1" applyProtection="1">
      <alignment horizontal="left" vertical="center" wrapText="1"/>
    </xf>
    <xf numFmtId="0" fontId="126" fillId="4" borderId="249" xfId="0" applyFont="1" applyFill="1" applyBorder="1" applyAlignment="1" applyProtection="1">
      <alignment horizontal="left" vertical="center" wrapText="1"/>
    </xf>
    <xf numFmtId="0" fontId="87" fillId="6" borderId="250" xfId="0" applyFont="1" applyFill="1" applyBorder="1" applyAlignment="1" applyProtection="1">
      <alignment horizontal="center" vertical="center" wrapText="1"/>
    </xf>
    <xf numFmtId="0" fontId="16" fillId="0" borderId="163" xfId="0" applyFont="1" applyBorder="1" applyAlignment="1" applyProtection="1">
      <alignment horizontal="center" vertical="center"/>
    </xf>
    <xf numFmtId="0" fontId="87" fillId="6" borderId="108" xfId="0" applyFont="1" applyFill="1" applyBorder="1" applyAlignment="1" applyProtection="1">
      <alignment horizontal="center" vertical="center" wrapText="1"/>
    </xf>
    <xf numFmtId="0" fontId="16" fillId="0" borderId="251" xfId="0" applyFont="1" applyBorder="1" applyAlignment="1" applyProtection="1">
      <alignment horizontal="center" vertical="center"/>
    </xf>
    <xf numFmtId="0" fontId="133" fillId="98" borderId="110" xfId="0" applyFont="1" applyFill="1" applyBorder="1" applyAlignment="1" applyProtection="1">
      <alignment horizontal="left" vertical="top" wrapText="1"/>
    </xf>
    <xf numFmtId="0" fontId="133" fillId="98" borderId="7" xfId="0" applyFont="1" applyFill="1" applyBorder="1" applyAlignment="1" applyProtection="1">
      <alignment horizontal="left" vertical="top" wrapText="1"/>
    </xf>
    <xf numFmtId="0" fontId="133" fillId="99" borderId="7" xfId="0" applyFont="1" applyFill="1" applyBorder="1" applyAlignment="1" applyProtection="1">
      <alignment horizontal="left" vertical="top" wrapText="1"/>
    </xf>
    <xf numFmtId="0" fontId="133" fillId="100" borderId="7" xfId="0" applyFont="1" applyFill="1" applyBorder="1" applyAlignment="1" applyProtection="1">
      <alignment horizontal="left" vertical="top" wrapText="1"/>
    </xf>
    <xf numFmtId="0" fontId="133" fillId="100" borderId="164" xfId="0" applyFont="1" applyFill="1" applyBorder="1" applyAlignment="1" applyProtection="1">
      <alignment horizontal="left" vertical="top" wrapText="1"/>
    </xf>
    <xf numFmtId="0" fontId="132" fillId="14" borderId="252" xfId="0" applyFont="1" applyFill="1" applyBorder="1" applyAlignment="1" applyProtection="1">
      <alignment horizontal="center" vertical="center"/>
    </xf>
    <xf numFmtId="0" fontId="132" fillId="14" borderId="253" xfId="0" applyFont="1" applyFill="1" applyBorder="1" applyAlignment="1" applyProtection="1">
      <alignment horizontal="center" vertical="center"/>
    </xf>
    <xf numFmtId="0" fontId="87" fillId="6" borderId="82" xfId="0" applyFont="1" applyFill="1" applyBorder="1" applyAlignment="1" applyProtection="1">
      <alignment horizontal="center" vertical="center" wrapText="1"/>
    </xf>
    <xf numFmtId="0" fontId="16" fillId="0" borderId="7" xfId="0" applyFont="1" applyBorder="1" applyAlignment="1" applyProtection="1">
      <alignment horizontal="center" vertical="center"/>
    </xf>
    <xf numFmtId="0" fontId="87" fillId="6" borderId="110" xfId="0" applyFont="1" applyFill="1" applyBorder="1" applyAlignment="1" applyProtection="1">
      <alignment horizontal="center" vertical="center" wrapText="1"/>
    </xf>
    <xf numFmtId="0" fontId="132" fillId="14" borderId="254" xfId="0" applyFont="1" applyFill="1" applyBorder="1" applyAlignment="1" applyProtection="1">
      <alignment horizontal="center" vertical="center"/>
    </xf>
    <xf numFmtId="0" fontId="132" fillId="14" borderId="255" xfId="0" applyFont="1" applyFill="1" applyBorder="1" applyAlignment="1" applyProtection="1">
      <alignment horizontal="center" vertical="center"/>
    </xf>
    <xf numFmtId="0" fontId="85" fillId="14" borderId="256" xfId="0" applyFont="1" applyFill="1" applyBorder="1" applyAlignment="1" applyProtection="1">
      <alignment vertical="center"/>
    </xf>
    <xf numFmtId="0" fontId="15" fillId="14" borderId="257" xfId="0" applyFont="1" applyFill="1" applyBorder="1" applyAlignment="1" applyProtection="1">
      <alignment horizontal="center" vertical="center" wrapText="1"/>
    </xf>
    <xf numFmtId="0" fontId="87" fillId="97" borderId="210" xfId="0" applyFont="1" applyFill="1" applyBorder="1" applyAlignment="1" applyProtection="1">
      <alignment horizontal="center" vertical="center" wrapText="1"/>
    </xf>
    <xf numFmtId="0" fontId="126" fillId="4" borderId="170" xfId="0" applyFont="1" applyFill="1" applyBorder="1" applyAlignment="1" applyProtection="1">
      <alignment horizontal="left" vertical="center" wrapText="1"/>
    </xf>
    <xf numFmtId="0" fontId="126" fillId="4" borderId="258" xfId="0" applyFont="1" applyFill="1" applyBorder="1" applyAlignment="1" applyProtection="1">
      <alignment horizontal="left" vertical="center" wrapText="1"/>
    </xf>
    <xf numFmtId="0" fontId="87" fillId="6" borderId="259" xfId="0" applyFont="1" applyFill="1" applyBorder="1" applyAlignment="1" applyProtection="1">
      <alignment horizontal="center" vertical="center" wrapText="1"/>
    </xf>
    <xf numFmtId="0" fontId="16" fillId="0" borderId="35" xfId="0" applyFont="1" applyBorder="1" applyAlignment="1" applyProtection="1">
      <alignment horizontal="center" vertical="center" wrapText="1"/>
    </xf>
    <xf numFmtId="0" fontId="87" fillId="6" borderId="260" xfId="0" applyFont="1" applyFill="1" applyBorder="1" applyAlignment="1" applyProtection="1">
      <alignment horizontal="center" vertical="center" wrapText="1"/>
    </xf>
    <xf numFmtId="0" fontId="134" fillId="14" borderId="0" xfId="0" applyFont="1" applyFill="1" applyProtection="1">
      <alignment vertical="center"/>
    </xf>
    <xf numFmtId="0" fontId="41" fillId="14" borderId="215" xfId="0" applyFont="1" applyFill="1" applyBorder="1" applyAlignment="1" applyProtection="1">
      <alignment horizontal="center" vertical="center" wrapText="1"/>
    </xf>
    <xf numFmtId="183" fontId="89" fillId="4" borderId="170" xfId="0" applyNumberFormat="1" applyFont="1" applyFill="1" applyBorder="1" applyAlignment="1" applyProtection="1">
      <alignment horizontal="left"/>
    </xf>
    <xf numFmtId="0" fontId="135" fillId="4" borderId="0" xfId="0" applyFont="1" applyFill="1" applyAlignment="1" applyProtection="1">
      <alignment horizontal="center" vertical="center"/>
    </xf>
    <xf numFmtId="0" fontId="135" fillId="4" borderId="249" xfId="0" applyFont="1" applyFill="1" applyBorder="1" applyAlignment="1" applyProtection="1">
      <alignment horizontal="center" vertical="center"/>
    </xf>
    <xf numFmtId="0" fontId="87" fillId="6" borderId="261" xfId="0" applyFont="1" applyFill="1" applyBorder="1" applyAlignment="1" applyProtection="1">
      <alignment horizontal="center" vertical="center" wrapText="1"/>
    </xf>
    <xf numFmtId="0" fontId="87" fillId="6" borderId="173" xfId="0" applyFont="1" applyFill="1" applyBorder="1" applyAlignment="1" applyProtection="1">
      <alignment horizontal="center" vertical="center" wrapText="1"/>
    </xf>
    <xf numFmtId="0" fontId="16" fillId="0" borderId="119" xfId="0" applyFont="1" applyBorder="1" applyAlignment="1" applyProtection="1">
      <alignment horizontal="center" vertical="center" wrapText="1"/>
    </xf>
    <xf numFmtId="0" fontId="16" fillId="0" borderId="262" xfId="0" applyFont="1" applyBorder="1" applyAlignment="1" applyProtection="1">
      <alignment horizontal="center" vertical="center" wrapText="1"/>
    </xf>
    <xf numFmtId="0" fontId="16" fillId="0" borderId="263" xfId="0" applyFont="1" applyBorder="1" applyAlignment="1" applyProtection="1">
      <alignment horizontal="center" vertical="center" wrapText="1"/>
    </xf>
    <xf numFmtId="0" fontId="87" fillId="14" borderId="0" xfId="0" applyFont="1" applyFill="1" applyAlignment="1" applyProtection="1">
      <alignment horizontal="left" vertical="top" wrapText="1"/>
    </xf>
    <xf numFmtId="0" fontId="92" fillId="4" borderId="63" xfId="0" applyFont="1" applyFill="1" applyBorder="1" applyAlignment="1" applyProtection="1">
      <alignment horizontal="center" vertical="center" wrapText="1"/>
    </xf>
    <xf numFmtId="0" fontId="92" fillId="4" borderId="264" xfId="0" applyFont="1" applyFill="1" applyBorder="1" applyAlignment="1" applyProtection="1">
      <alignment horizontal="center" vertical="center" wrapText="1"/>
    </xf>
    <xf numFmtId="0" fontId="85" fillId="4" borderId="265" xfId="0" applyFont="1" applyFill="1" applyBorder="1" applyAlignment="1" applyProtection="1">
      <alignment horizontal="left" vertical="center" wrapText="1"/>
    </xf>
    <xf numFmtId="0" fontId="85" fillId="4" borderId="0" xfId="0" applyFont="1" applyFill="1" applyAlignment="1" applyProtection="1">
      <alignment horizontal="left" vertical="center" wrapText="1"/>
    </xf>
    <xf numFmtId="0" fontId="85" fillId="4" borderId="249" xfId="0" applyFont="1" applyFill="1" applyBorder="1" applyAlignment="1" applyProtection="1">
      <alignment vertical="top"/>
    </xf>
    <xf numFmtId="0" fontId="87" fillId="6" borderId="144" xfId="0" applyFont="1" applyFill="1" applyBorder="1" applyAlignment="1" applyProtection="1">
      <alignment horizontal="center" vertical="center" wrapText="1"/>
    </xf>
    <xf numFmtId="0" fontId="87" fillId="6" borderId="227" xfId="0" applyFont="1" applyFill="1" applyBorder="1" applyAlignment="1" applyProtection="1">
      <alignment horizontal="center" vertical="center" wrapText="1"/>
    </xf>
    <xf numFmtId="0" fontId="16" fillId="0" borderId="266" xfId="0" applyFont="1" applyBorder="1" applyAlignment="1" applyProtection="1">
      <alignment horizontal="center" vertical="center" wrapText="1"/>
    </xf>
    <xf numFmtId="0" fontId="16" fillId="0" borderId="10" xfId="0" applyFont="1" applyBorder="1" applyAlignment="1" applyProtection="1">
      <alignment horizontal="center" vertical="center" wrapText="1"/>
    </xf>
    <xf numFmtId="0" fontId="16" fillId="0" borderId="267" xfId="0" applyFont="1" applyBorder="1" applyAlignment="1" applyProtection="1">
      <alignment horizontal="center" vertical="center" wrapText="1"/>
    </xf>
    <xf numFmtId="0" fontId="133" fillId="98" borderId="120" xfId="0" applyFont="1" applyFill="1" applyBorder="1" applyAlignment="1" applyProtection="1">
      <alignment horizontal="left" vertical="top" wrapText="1"/>
    </xf>
    <xf numFmtId="0" fontId="133" fillId="98" borderId="161" xfId="0" applyFont="1" applyFill="1" applyBorder="1" applyAlignment="1" applyProtection="1">
      <alignment horizontal="left" vertical="top" wrapText="1"/>
    </xf>
    <xf numFmtId="0" fontId="133" fillId="99" borderId="161" xfId="0" applyFont="1" applyFill="1" applyBorder="1" applyAlignment="1" applyProtection="1">
      <alignment horizontal="left" vertical="top" wrapText="1"/>
    </xf>
    <xf numFmtId="0" fontId="133" fillId="100" borderId="161" xfId="0" applyFont="1" applyFill="1" applyBorder="1" applyAlignment="1" applyProtection="1">
      <alignment horizontal="left" vertical="top" wrapText="1"/>
    </xf>
    <xf numFmtId="0" fontId="133" fillId="100" borderId="162" xfId="0" applyFont="1" applyFill="1" applyBorder="1" applyAlignment="1" applyProtection="1">
      <alignment horizontal="left" vertical="top" wrapText="1"/>
    </xf>
    <xf numFmtId="0" fontId="84" fillId="24" borderId="0" xfId="0" applyFont="1" applyFill="1" applyAlignment="1" applyProtection="1">
      <alignment horizontal="center" vertical="center"/>
    </xf>
    <xf numFmtId="0" fontId="84" fillId="24" borderId="106" xfId="0" applyFont="1" applyFill="1" applyBorder="1" applyAlignment="1" applyProtection="1">
      <alignment horizontal="center" vertical="center"/>
    </xf>
    <xf numFmtId="0" fontId="41" fillId="5" borderId="76" xfId="0" applyFont="1" applyFill="1" applyBorder="1" applyAlignment="1" applyProtection="1">
      <alignment horizontal="center" vertical="center"/>
    </xf>
    <xf numFmtId="0" fontId="41" fillId="5" borderId="5" xfId="0" applyFont="1" applyFill="1" applyBorder="1" applyAlignment="1" applyProtection="1">
      <alignment horizontal="center" vertical="center"/>
    </xf>
    <xf numFmtId="0" fontId="41" fillId="5" borderId="6" xfId="0" applyFont="1" applyFill="1" applyBorder="1" applyAlignment="1" applyProtection="1">
      <alignment horizontal="center" vertical="center"/>
    </xf>
    <xf numFmtId="0" fontId="136" fillId="14" borderId="268" xfId="0" applyFont="1" applyFill="1" applyBorder="1" applyProtection="1">
      <alignment vertical="center"/>
    </xf>
    <xf numFmtId="0" fontId="85" fillId="14" borderId="268" xfId="0" applyFont="1" applyFill="1" applyBorder="1" applyProtection="1">
      <alignment vertical="center"/>
    </xf>
    <xf numFmtId="0" fontId="85" fillId="14" borderId="0" xfId="0" applyFont="1" applyFill="1" applyBorder="1" applyProtection="1">
      <alignment vertical="center"/>
    </xf>
    <xf numFmtId="0" fontId="92" fillId="4" borderId="269" xfId="0" applyFont="1" applyFill="1" applyBorder="1" applyAlignment="1" applyProtection="1">
      <alignment horizontal="center" vertical="center" wrapText="1"/>
    </xf>
    <xf numFmtId="0" fontId="92" fillId="4" borderId="270" xfId="0" applyFont="1" applyFill="1" applyBorder="1" applyAlignment="1" applyProtection="1">
      <alignment horizontal="center" vertical="center" wrapText="1"/>
    </xf>
    <xf numFmtId="0" fontId="85" fillId="4" borderId="271" xfId="0" applyFont="1" applyFill="1" applyBorder="1" applyAlignment="1" applyProtection="1">
      <alignment horizontal="left" vertical="center" wrapText="1"/>
    </xf>
    <xf numFmtId="0" fontId="85" fillId="4" borderId="272" xfId="0" applyFont="1" applyFill="1" applyBorder="1" applyAlignment="1" applyProtection="1">
      <alignment horizontal="left" vertical="center" wrapText="1"/>
    </xf>
    <xf numFmtId="0" fontId="41" fillId="5" borderId="259" xfId="0" applyFont="1" applyFill="1" applyBorder="1" applyAlignment="1" applyProtection="1">
      <alignment horizontal="center" vertical="center"/>
    </xf>
    <xf numFmtId="0" fontId="41" fillId="5" borderId="35" xfId="0" applyFont="1" applyFill="1" applyBorder="1" applyAlignment="1" applyProtection="1">
      <alignment horizontal="center" vertical="center"/>
    </xf>
    <xf numFmtId="0" fontId="41" fillId="5" borderId="216" xfId="0" applyFont="1" applyFill="1" applyBorder="1" applyAlignment="1" applyProtection="1">
      <alignment horizontal="center" vertical="center"/>
    </xf>
    <xf numFmtId="0" fontId="85" fillId="6" borderId="246" xfId="0" applyFont="1" applyFill="1" applyBorder="1" applyProtection="1">
      <alignment vertical="center"/>
    </xf>
    <xf numFmtId="0" fontId="136" fillId="14" borderId="0" xfId="0" applyFont="1" applyFill="1" applyProtection="1">
      <alignment vertical="center"/>
    </xf>
    <xf numFmtId="0" fontId="85" fillId="6" borderId="0" xfId="0" applyFont="1" applyFill="1" applyProtection="1">
      <alignment vertical="center"/>
    </xf>
    <xf numFmtId="0" fontId="137" fillId="6" borderId="0" xfId="0" applyFont="1" applyFill="1" applyProtection="1">
      <alignment vertical="center"/>
    </xf>
    <xf numFmtId="0" fontId="92" fillId="4" borderId="63" xfId="0" applyFont="1" applyFill="1" applyBorder="1" applyAlignment="1" applyProtection="1">
      <alignment horizontal="center" vertical="center"/>
    </xf>
    <xf numFmtId="0" fontId="92" fillId="4" borderId="264" xfId="0" applyFont="1" applyFill="1" applyBorder="1" applyAlignment="1" applyProtection="1">
      <alignment horizontal="center" vertical="center"/>
    </xf>
    <xf numFmtId="0" fontId="85" fillId="4" borderId="273" xfId="0" applyFont="1" applyFill="1" applyBorder="1" applyAlignment="1" applyProtection="1">
      <alignment horizontal="left" vertical="center" wrapText="1"/>
    </xf>
    <xf numFmtId="0" fontId="85" fillId="4" borderId="274" xfId="0" applyFont="1" applyFill="1" applyBorder="1" applyAlignment="1" applyProtection="1">
      <alignment horizontal="left" vertical="center" wrapText="1"/>
    </xf>
    <xf numFmtId="0" fontId="85" fillId="4" borderId="249" xfId="0" applyFont="1" applyFill="1" applyBorder="1" applyProtection="1">
      <alignment vertical="center"/>
    </xf>
    <xf numFmtId="0" fontId="87" fillId="84" borderId="235" xfId="0" applyFont="1" applyFill="1" applyBorder="1" applyAlignment="1" applyProtection="1">
      <alignment horizontal="center" vertical="center"/>
    </xf>
    <xf numFmtId="0" fontId="87" fillId="84" borderId="205" xfId="0" applyFont="1" applyFill="1" applyBorder="1" applyAlignment="1" applyProtection="1">
      <alignment horizontal="center" vertical="center"/>
    </xf>
    <xf numFmtId="0" fontId="88" fillId="84" borderId="205" xfId="0" applyFont="1" applyFill="1" applyBorder="1" applyAlignment="1" applyProtection="1">
      <alignment horizontal="center" vertical="center"/>
    </xf>
    <xf numFmtId="0" fontId="88" fillId="84" borderId="173" xfId="0" applyFont="1" applyFill="1" applyBorder="1" applyAlignment="1" applyProtection="1">
      <alignment horizontal="center" vertical="center"/>
    </xf>
    <xf numFmtId="0" fontId="46" fillId="84" borderId="173" xfId="0" applyFont="1" applyFill="1" applyBorder="1" applyAlignment="1" applyProtection="1">
      <alignment horizontal="center" vertical="center"/>
    </xf>
    <xf numFmtId="0" fontId="87" fillId="84" borderId="173" xfId="0" applyFont="1" applyFill="1" applyBorder="1" applyProtection="1">
      <alignment vertical="center"/>
    </xf>
    <xf numFmtId="0" fontId="46" fillId="84" borderId="275" xfId="0" applyFont="1" applyFill="1" applyBorder="1" applyAlignment="1" applyProtection="1">
      <alignment horizontal="center" vertical="center"/>
    </xf>
    <xf numFmtId="0" fontId="101" fillId="96" borderId="224" xfId="0" applyFont="1" applyFill="1" applyBorder="1" applyAlignment="1" applyProtection="1">
      <alignment horizontal="right" vertical="center"/>
    </xf>
    <xf numFmtId="176" fontId="101" fillId="96" borderId="224" xfId="0" applyNumberFormat="1" applyFont="1" applyFill="1" applyBorder="1" applyAlignment="1" applyProtection="1">
      <alignment horizontal="left" vertical="center"/>
    </xf>
    <xf numFmtId="0" fontId="138" fillId="96" borderId="224" xfId="0" applyFont="1" applyFill="1" applyBorder="1" applyAlignment="1" applyProtection="1">
      <alignment horizontal="center" vertical="center"/>
    </xf>
    <xf numFmtId="0" fontId="139" fillId="96" borderId="224" xfId="0" applyFont="1" applyFill="1" applyBorder="1" applyProtection="1">
      <alignment vertical="center"/>
    </xf>
    <xf numFmtId="176" fontId="139" fillId="96" borderId="224" xfId="0" applyNumberFormat="1" applyFont="1" applyFill="1" applyBorder="1" applyProtection="1">
      <alignment vertical="center"/>
    </xf>
    <xf numFmtId="0" fontId="139" fillId="96" borderId="225" xfId="0" applyFont="1" applyFill="1" applyBorder="1" applyAlignment="1" applyProtection="1">
      <alignment horizontal="center" vertical="center"/>
    </xf>
    <xf numFmtId="0" fontId="92" fillId="4" borderId="269" xfId="0" applyFont="1" applyFill="1" applyBorder="1" applyAlignment="1" applyProtection="1">
      <alignment horizontal="center" vertical="center"/>
    </xf>
    <xf numFmtId="0" fontId="92" fillId="4" borderId="270" xfId="0" applyFont="1" applyFill="1" applyBorder="1" applyAlignment="1" applyProtection="1">
      <alignment horizontal="center" vertical="center"/>
    </xf>
    <xf numFmtId="0" fontId="85" fillId="4" borderId="249" xfId="0" applyFont="1" applyFill="1" applyBorder="1" applyAlignment="1" applyProtection="1">
      <alignment horizontal="left" vertical="top" wrapText="1" indent="2"/>
    </xf>
    <xf numFmtId="0" fontId="87" fillId="101" borderId="276" xfId="0" applyFont="1" applyFill="1" applyBorder="1" applyAlignment="1" applyProtection="1">
      <alignment vertical="center"/>
    </xf>
    <xf numFmtId="0" fontId="87" fillId="101" borderId="262" xfId="0" applyFont="1" applyFill="1" applyBorder="1" applyAlignment="1" applyProtection="1">
      <alignment horizontal="center" vertical="center"/>
    </xf>
    <xf numFmtId="0" fontId="140" fillId="102" borderId="277" xfId="0" applyFont="1" applyFill="1" applyBorder="1" applyAlignment="1" applyProtection="1">
      <alignment horizontal="center" vertical="center"/>
    </xf>
    <xf numFmtId="0" fontId="140" fillId="102" borderId="262" xfId="0" applyFont="1" applyFill="1" applyBorder="1" applyAlignment="1" applyProtection="1">
      <alignment horizontal="center" vertical="center"/>
    </xf>
    <xf numFmtId="0" fontId="87" fillId="103" borderId="56" xfId="0" applyFont="1" applyFill="1" applyBorder="1" applyAlignment="1" applyProtection="1">
      <alignment vertical="center"/>
    </xf>
    <xf numFmtId="0" fontId="87" fillId="103" borderId="41" xfId="0" applyFont="1" applyFill="1" applyBorder="1" applyAlignment="1" applyProtection="1">
      <alignment horizontal="center" vertical="center"/>
    </xf>
    <xf numFmtId="0" fontId="141" fillId="103" borderId="278" xfId="0" applyFont="1" applyFill="1" applyBorder="1" applyAlignment="1" applyProtection="1">
      <alignment horizontal="center" vertical="center"/>
    </xf>
    <xf numFmtId="0" fontId="141" fillId="103" borderId="41" xfId="0" applyFont="1" applyFill="1" applyBorder="1" applyAlignment="1" applyProtection="1">
      <alignment horizontal="center" vertical="center"/>
    </xf>
    <xf numFmtId="0" fontId="87" fillId="104" borderId="279" xfId="0" applyFont="1" applyFill="1" applyBorder="1" applyAlignment="1" applyProtection="1">
      <alignment vertical="center"/>
    </xf>
    <xf numFmtId="0" fontId="87" fillId="104" borderId="280" xfId="0" applyFont="1" applyFill="1" applyBorder="1" applyAlignment="1" applyProtection="1">
      <alignment horizontal="center" vertical="center"/>
    </xf>
    <xf numFmtId="0" fontId="141" fillId="104" borderId="281" xfId="0" applyFont="1" applyFill="1" applyBorder="1" applyAlignment="1" applyProtection="1">
      <alignment horizontal="center" vertical="center"/>
    </xf>
    <xf numFmtId="0" fontId="141" fillId="104" borderId="280" xfId="0" applyFont="1" applyFill="1" applyBorder="1" applyAlignment="1" applyProtection="1">
      <alignment horizontal="center" vertical="center"/>
    </xf>
    <xf numFmtId="0" fontId="141" fillId="104" borderId="282" xfId="0" applyFont="1" applyFill="1" applyBorder="1" applyAlignment="1" applyProtection="1">
      <alignment horizontal="center" vertical="center"/>
    </xf>
    <xf numFmtId="0" fontId="88" fillId="105" borderId="41" xfId="0" applyFont="1" applyFill="1" applyBorder="1" applyAlignment="1" applyProtection="1">
      <alignment vertical="center"/>
    </xf>
    <xf numFmtId="0" fontId="88" fillId="105" borderId="41" xfId="0" applyFont="1" applyFill="1" applyBorder="1" applyAlignment="1" applyProtection="1">
      <alignment horizontal="center" vertical="center"/>
    </xf>
    <xf numFmtId="0" fontId="88" fillId="105" borderId="283" xfId="0" applyFont="1" applyFill="1" applyBorder="1" applyAlignment="1" applyProtection="1">
      <alignment horizontal="center" vertical="center"/>
    </xf>
    <xf numFmtId="0" fontId="141" fillId="105" borderId="284" xfId="0" applyFont="1" applyFill="1" applyBorder="1" applyAlignment="1" applyProtection="1">
      <alignment horizontal="center" vertical="center"/>
    </xf>
    <xf numFmtId="0" fontId="141" fillId="105" borderId="41" xfId="0" applyFont="1" applyFill="1" applyBorder="1" applyAlignment="1" applyProtection="1">
      <alignment horizontal="center" vertical="center"/>
    </xf>
    <xf numFmtId="0" fontId="141" fillId="105" borderId="285" xfId="0" applyFont="1" applyFill="1" applyBorder="1" applyAlignment="1" applyProtection="1">
      <alignment horizontal="center" vertical="center"/>
    </xf>
    <xf numFmtId="0" fontId="98" fillId="96" borderId="224" xfId="0" applyFont="1" applyFill="1" applyBorder="1" applyAlignment="1" applyProtection="1">
      <alignment horizontal="right" vertical="center"/>
    </xf>
    <xf numFmtId="176" fontId="98" fillId="96" borderId="224" xfId="0" applyNumberFormat="1" applyFont="1" applyFill="1" applyBorder="1" applyAlignment="1" applyProtection="1">
      <alignment horizontal="left" vertical="center"/>
    </xf>
    <xf numFmtId="0" fontId="142" fillId="96" borderId="224" xfId="0" applyFont="1" applyFill="1" applyBorder="1" applyAlignment="1" applyProtection="1">
      <alignment horizontal="center" vertical="center"/>
    </xf>
    <xf numFmtId="0" fontId="143" fillId="96" borderId="224" xfId="0" applyFont="1" applyFill="1" applyBorder="1" applyProtection="1">
      <alignment vertical="center"/>
    </xf>
    <xf numFmtId="176" fontId="143" fillId="96" borderId="224" xfId="0" applyNumberFormat="1" applyFont="1" applyFill="1" applyBorder="1" applyProtection="1">
      <alignment vertical="center"/>
    </xf>
    <xf numFmtId="0" fontId="143" fillId="96" borderId="225" xfId="0" applyFont="1" applyFill="1" applyBorder="1" applyAlignment="1" applyProtection="1">
      <alignment horizontal="center" vertical="center"/>
    </xf>
    <xf numFmtId="0" fontId="125" fillId="85" borderId="3" xfId="0" applyFont="1" applyFill="1" applyBorder="1" applyAlignment="1" applyProtection="1">
      <alignment horizontal="center" vertical="center"/>
    </xf>
    <xf numFmtId="0" fontId="83" fillId="85" borderId="4" xfId="0" applyFont="1" applyFill="1" applyBorder="1" applyAlignment="1" applyProtection="1">
      <alignment horizontal="center" vertical="center"/>
    </xf>
    <xf numFmtId="0" fontId="144" fillId="85" borderId="30" xfId="0" applyFont="1" applyFill="1" applyBorder="1" applyAlignment="1" applyProtection="1">
      <alignment horizontal="center" vertical="center" shrinkToFit="1"/>
    </xf>
    <xf numFmtId="0" fontId="145" fillId="4" borderId="7" xfId="0" applyFont="1" applyFill="1" applyBorder="1" applyAlignment="1" applyProtection="1">
      <alignment horizontal="center" vertical="center"/>
    </xf>
    <xf numFmtId="0" fontId="145" fillId="69" borderId="22" xfId="0" applyFont="1" applyFill="1" applyBorder="1" applyAlignment="1" applyProtection="1">
      <alignment horizontal="center" vertical="center"/>
    </xf>
    <xf numFmtId="0" fontId="114" fillId="4" borderId="30" xfId="0" applyFont="1" applyFill="1" applyBorder="1" applyAlignment="1" applyProtection="1">
      <alignment horizontal="center" vertical="center"/>
    </xf>
    <xf numFmtId="0" fontId="125" fillId="87" borderId="53" xfId="0" applyFont="1" applyFill="1" applyBorder="1" applyAlignment="1" applyProtection="1">
      <alignment horizontal="center" vertical="center"/>
    </xf>
    <xf numFmtId="0" fontId="83" fillId="87" borderId="46" xfId="0" applyFont="1" applyFill="1" applyBorder="1" applyAlignment="1" applyProtection="1">
      <alignment horizontal="center" vertical="center"/>
    </xf>
    <xf numFmtId="0" fontId="144" fillId="49" borderId="31" xfId="0" applyFont="1" applyFill="1" applyBorder="1" applyAlignment="1" applyProtection="1">
      <alignment horizontal="center" vertical="center" wrapText="1" shrinkToFit="1"/>
    </xf>
    <xf numFmtId="0" fontId="145" fillId="4" borderId="0" xfId="0" applyFont="1" applyFill="1" applyAlignment="1" applyProtection="1">
      <alignment horizontal="center" vertical="center"/>
    </xf>
    <xf numFmtId="0" fontId="145" fillId="78" borderId="31" xfId="0" applyFont="1" applyFill="1" applyBorder="1" applyAlignment="1" applyProtection="1">
      <alignment horizontal="center" vertical="center"/>
    </xf>
    <xf numFmtId="0" fontId="145" fillId="4" borderId="286" xfId="0" applyFont="1" applyFill="1" applyBorder="1" applyAlignment="1" applyProtection="1">
      <alignment horizontal="center" vertical="center"/>
    </xf>
    <xf numFmtId="0" fontId="125" fillId="88" borderId="287" xfId="0" applyFont="1" applyFill="1" applyBorder="1" applyAlignment="1" applyProtection="1">
      <alignment horizontal="center" vertical="center"/>
    </xf>
    <xf numFmtId="0" fontId="83" fillId="88" borderId="46" xfId="0" applyFont="1" applyFill="1" applyBorder="1" applyAlignment="1" applyProtection="1">
      <alignment horizontal="center" vertical="center"/>
    </xf>
    <xf numFmtId="0" fontId="144" fillId="88" borderId="31" xfId="0" applyFont="1" applyFill="1" applyBorder="1" applyAlignment="1" applyProtection="1">
      <alignment horizontal="center" vertical="center" wrapText="1" shrinkToFit="1"/>
    </xf>
    <xf numFmtId="0" fontId="145" fillId="106" borderId="31" xfId="0" applyFont="1" applyFill="1" applyBorder="1" applyAlignment="1" applyProtection="1">
      <alignment horizontal="center" vertical="center"/>
    </xf>
    <xf numFmtId="0" fontId="145" fillId="4" borderId="288" xfId="0" applyFont="1" applyFill="1" applyBorder="1" applyAlignment="1" applyProtection="1">
      <alignment horizontal="center" vertical="center"/>
    </xf>
    <xf numFmtId="0" fontId="125" fillId="86" borderId="46" xfId="0" applyFont="1" applyFill="1" applyBorder="1" applyAlignment="1" applyProtection="1">
      <alignment horizontal="center" vertical="center"/>
    </xf>
    <xf numFmtId="0" fontId="146" fillId="86" borderId="46" xfId="0" applyFont="1" applyFill="1" applyBorder="1" applyAlignment="1" applyProtection="1">
      <alignment horizontal="center" vertical="center"/>
    </xf>
    <xf numFmtId="0" fontId="144" fillId="107" borderId="31" xfId="0" applyFont="1" applyFill="1" applyBorder="1" applyAlignment="1" applyProtection="1">
      <alignment horizontal="center" vertical="center" shrinkToFit="1"/>
    </xf>
    <xf numFmtId="0" fontId="145" fillId="108" borderId="31" xfId="0" applyFont="1" applyFill="1" applyBorder="1" applyAlignment="1" applyProtection="1">
      <alignment horizontal="center" vertical="center"/>
    </xf>
    <xf numFmtId="0" fontId="145" fillId="4" borderId="289" xfId="0" applyFont="1" applyFill="1" applyBorder="1" applyAlignment="1" applyProtection="1">
      <alignment horizontal="center" vertical="center"/>
    </xf>
    <xf numFmtId="0" fontId="87" fillId="5" borderId="234" xfId="0" applyFont="1" applyFill="1" applyBorder="1" applyAlignment="1" applyProtection="1">
      <alignment horizontal="left" vertical="center"/>
    </xf>
    <xf numFmtId="0" fontId="87" fillId="5" borderId="225" xfId="0" applyFont="1" applyFill="1" applyBorder="1" applyAlignment="1" applyProtection="1">
      <alignment horizontal="left" vertical="center"/>
    </xf>
    <xf numFmtId="0" fontId="108" fillId="96" borderId="224" xfId="0" applyFont="1" applyFill="1" applyBorder="1" applyAlignment="1" applyProtection="1">
      <alignment horizontal="right" vertical="center"/>
    </xf>
    <xf numFmtId="176" fontId="108" fillId="96" borderId="224" xfId="0" applyNumberFormat="1" applyFont="1" applyFill="1" applyBorder="1" applyAlignment="1" applyProtection="1">
      <alignment horizontal="left" vertical="center"/>
    </xf>
    <xf numFmtId="0" fontId="147" fillId="96" borderId="224" xfId="0" applyFont="1" applyFill="1" applyBorder="1" applyAlignment="1" applyProtection="1">
      <alignment horizontal="center" vertical="center"/>
    </xf>
    <xf numFmtId="0" fontId="148" fillId="96" borderId="224" xfId="0" applyFont="1" applyFill="1" applyBorder="1" applyProtection="1">
      <alignment vertical="center"/>
    </xf>
    <xf numFmtId="176" fontId="148" fillId="96" borderId="224" xfId="0" applyNumberFormat="1" applyFont="1" applyFill="1" applyBorder="1" applyProtection="1">
      <alignment vertical="center"/>
    </xf>
    <xf numFmtId="0" fontId="148" fillId="96" borderId="225" xfId="0" applyFont="1" applyFill="1" applyBorder="1" applyAlignment="1" applyProtection="1">
      <alignment horizontal="center" vertical="center"/>
    </xf>
    <xf numFmtId="0" fontId="149" fillId="109" borderId="3" xfId="0" applyFont="1" applyFill="1" applyBorder="1" applyAlignment="1" applyProtection="1">
      <alignment horizontal="center" vertical="center"/>
    </xf>
    <xf numFmtId="0" fontId="129" fillId="109" borderId="4" xfId="0" applyFont="1" applyFill="1" applyBorder="1" applyAlignment="1" applyProtection="1">
      <alignment horizontal="left" vertical="center"/>
    </xf>
    <xf numFmtId="0" fontId="150" fillId="109" borderId="22" xfId="0" applyFont="1" applyFill="1" applyBorder="1" applyAlignment="1" applyProtection="1">
      <alignment horizontal="left" vertical="center"/>
    </xf>
    <xf numFmtId="0" fontId="145" fillId="69" borderId="7" xfId="0" applyFont="1" applyFill="1" applyBorder="1" applyAlignment="1" applyProtection="1">
      <alignment horizontal="center" vertical="center"/>
    </xf>
    <xf numFmtId="0" fontId="149" fillId="110" borderId="53" xfId="0" applyFont="1" applyFill="1" applyBorder="1" applyAlignment="1" applyProtection="1">
      <alignment horizontal="center" vertical="center"/>
    </xf>
    <xf numFmtId="0" fontId="151" fillId="110" borderId="46" xfId="0" applyFont="1" applyFill="1" applyBorder="1" applyAlignment="1" applyProtection="1">
      <alignment horizontal="left" vertical="center"/>
    </xf>
    <xf numFmtId="0" fontId="151" fillId="110" borderId="37" xfId="0" applyFont="1" applyFill="1" applyBorder="1" applyAlignment="1" applyProtection="1">
      <alignment horizontal="left" vertical="center"/>
    </xf>
    <xf numFmtId="0" fontId="145" fillId="78" borderId="286" xfId="0" applyNumberFormat="1" applyFont="1" applyFill="1" applyBorder="1" applyAlignment="1" applyProtection="1">
      <alignment horizontal="center" vertical="center"/>
    </xf>
    <xf numFmtId="0" fontId="91" fillId="4" borderId="35" xfId="0" applyNumberFormat="1" applyFont="1" applyFill="1" applyBorder="1" applyAlignment="1" applyProtection="1">
      <alignment horizontal="center" vertical="center"/>
    </xf>
    <xf numFmtId="0" fontId="145" fillId="4" borderId="286" xfId="0" applyNumberFormat="1" applyFont="1" applyFill="1" applyBorder="1" applyAlignment="1" applyProtection="1">
      <alignment horizontal="center" vertical="center"/>
    </xf>
    <xf numFmtId="0" fontId="149" fillId="111" borderId="287" xfId="0" applyFont="1" applyFill="1" applyBorder="1" applyAlignment="1" applyProtection="1">
      <alignment horizontal="center" vertical="center"/>
    </xf>
    <xf numFmtId="0" fontId="150" fillId="111" borderId="46" xfId="0" applyNumberFormat="1" applyFont="1" applyFill="1" applyBorder="1" applyAlignment="1" applyProtection="1">
      <alignment horizontal="left" vertical="center"/>
    </xf>
    <xf numFmtId="0" fontId="150" fillId="111" borderId="37" xfId="0" applyNumberFormat="1" applyFont="1" applyFill="1" applyBorder="1" applyAlignment="1" applyProtection="1">
      <alignment horizontal="left" vertical="center"/>
    </xf>
    <xf numFmtId="0" fontId="145" fillId="106" borderId="286" xfId="0" applyNumberFormat="1" applyFont="1" applyFill="1" applyBorder="1" applyAlignment="1" applyProtection="1">
      <alignment horizontal="center" vertical="center"/>
    </xf>
    <xf numFmtId="0" fontId="91" fillId="4" borderId="35" xfId="0" applyFont="1" applyFill="1" applyBorder="1" applyAlignment="1" applyProtection="1">
      <alignment horizontal="center" vertical="center"/>
    </xf>
    <xf numFmtId="0" fontId="145" fillId="4" borderId="288" xfId="0" applyNumberFormat="1" applyFont="1" applyFill="1" applyBorder="1" applyAlignment="1" applyProtection="1">
      <alignment horizontal="center" vertical="center"/>
    </xf>
    <xf numFmtId="0" fontId="149" fillId="112" borderId="46" xfId="0" applyFont="1" applyFill="1" applyBorder="1" applyAlignment="1" applyProtection="1">
      <alignment horizontal="center" vertical="center"/>
    </xf>
    <xf numFmtId="0" fontId="150" fillId="113" borderId="46" xfId="0" applyFont="1" applyFill="1" applyBorder="1" applyAlignment="1" applyProtection="1">
      <alignment horizontal="left" vertical="center"/>
    </xf>
    <xf numFmtId="0" fontId="150" fillId="113" borderId="37" xfId="0" applyFont="1" applyFill="1" applyBorder="1" applyAlignment="1" applyProtection="1">
      <alignment horizontal="left" vertical="center"/>
    </xf>
    <xf numFmtId="0" fontId="80" fillId="108" borderId="31" xfId="0" applyFont="1" applyFill="1" applyBorder="1" applyAlignment="1" applyProtection="1">
      <alignment horizontal="center" vertical="center"/>
    </xf>
    <xf numFmtId="0" fontId="91" fillId="4" borderId="31" xfId="0" applyFont="1" applyFill="1" applyBorder="1" applyAlignment="1" applyProtection="1">
      <alignment horizontal="center" vertical="center"/>
    </xf>
    <xf numFmtId="0" fontId="145" fillId="4" borderId="8" xfId="0" applyFont="1" applyFill="1" applyBorder="1" applyAlignment="1" applyProtection="1">
      <alignment horizontal="center" vertical="center"/>
    </xf>
    <xf numFmtId="0" fontId="87" fillId="5" borderId="290" xfId="0" applyFont="1" applyFill="1" applyBorder="1" applyAlignment="1" applyProtection="1">
      <alignment horizontal="left" vertical="center"/>
    </xf>
    <xf numFmtId="176" fontId="152" fillId="62" borderId="291" xfId="0" applyNumberFormat="1" applyFont="1" applyFill="1" applyBorder="1" applyAlignment="1" applyProtection="1">
      <alignment horizontal="center" vertical="center"/>
    </xf>
    <xf numFmtId="0" fontId="150" fillId="109" borderId="3" xfId="0" applyFont="1" applyFill="1" applyBorder="1" applyAlignment="1" applyProtection="1">
      <alignment horizontal="center" vertical="center"/>
    </xf>
    <xf numFmtId="0" fontId="145" fillId="4" borderId="30" xfId="0" applyFont="1" applyFill="1" applyBorder="1" applyAlignment="1" applyProtection="1">
      <alignment horizontal="center" vertical="center"/>
    </xf>
    <xf numFmtId="0" fontId="150" fillId="110" borderId="53" xfId="0" applyFont="1" applyFill="1" applyBorder="1" applyAlignment="1" applyProtection="1">
      <alignment horizontal="center" vertical="center"/>
    </xf>
    <xf numFmtId="0" fontId="145" fillId="78" borderId="286" xfId="0" applyFont="1" applyFill="1" applyBorder="1" applyAlignment="1" applyProtection="1">
      <alignment horizontal="center" vertical="center"/>
    </xf>
    <xf numFmtId="0" fontId="91" fillId="4" borderId="17" xfId="0" applyFont="1" applyFill="1" applyBorder="1" applyAlignment="1" applyProtection="1">
      <alignment horizontal="center" vertical="center"/>
    </xf>
    <xf numFmtId="0" fontId="150" fillId="111" borderId="287" xfId="0" applyFont="1" applyFill="1" applyBorder="1" applyAlignment="1" applyProtection="1">
      <alignment vertical="center"/>
    </xf>
    <xf numFmtId="0" fontId="145" fillId="106" borderId="286" xfId="0" applyFont="1" applyFill="1" applyBorder="1" applyAlignment="1" applyProtection="1">
      <alignment horizontal="center" vertical="center"/>
    </xf>
    <xf numFmtId="0" fontId="145" fillId="4" borderId="164" xfId="0" applyFont="1" applyFill="1" applyBorder="1" applyAlignment="1" applyProtection="1">
      <alignment horizontal="center" vertical="center"/>
    </xf>
    <xf numFmtId="0" fontId="150" fillId="113" borderId="46" xfId="0" applyFont="1" applyFill="1" applyBorder="1" applyAlignment="1" applyProtection="1">
      <alignment horizontal="center" vertical="center"/>
    </xf>
    <xf numFmtId="0" fontId="150" fillId="113" borderId="37" xfId="0" applyFont="1" applyFill="1" applyBorder="1" applyAlignment="1" applyProtection="1">
      <alignment horizontal="center" vertical="center"/>
    </xf>
    <xf numFmtId="0" fontId="85" fillId="6" borderId="0" xfId="0" applyFont="1" applyFill="1" applyBorder="1" applyProtection="1">
      <alignment vertical="center"/>
    </xf>
    <xf numFmtId="0" fontId="137" fillId="6" borderId="0" xfId="0" applyFont="1" applyFill="1" applyBorder="1" applyAlignment="1" applyProtection="1">
      <alignment vertical="center"/>
    </xf>
    <xf numFmtId="0" fontId="83" fillId="114" borderId="292" xfId="0" applyFont="1" applyFill="1" applyBorder="1" applyAlignment="1" applyProtection="1">
      <alignment horizontal="center" vertical="center" wrapText="1"/>
    </xf>
    <xf numFmtId="0" fontId="83" fillId="114" borderId="44" xfId="0" applyFont="1" applyFill="1" applyBorder="1" applyAlignment="1" applyProtection="1">
      <alignment horizontal="center" vertical="center" wrapText="1"/>
    </xf>
    <xf numFmtId="0" fontId="87" fillId="97" borderId="56" xfId="0" applyFont="1" applyFill="1" applyBorder="1" applyAlignment="1" applyProtection="1">
      <alignment horizontal="center" vertical="center"/>
    </xf>
    <xf numFmtId="0" fontId="87" fillId="97" borderId="283" xfId="0" applyFont="1" applyFill="1" applyBorder="1" applyAlignment="1" applyProtection="1">
      <alignment horizontal="center" vertical="center"/>
    </xf>
    <xf numFmtId="0" fontId="145" fillId="4" borderId="189" xfId="0" applyFont="1" applyFill="1" applyBorder="1" applyAlignment="1" applyProtection="1">
      <alignment horizontal="center" vertical="center"/>
    </xf>
    <xf numFmtId="0" fontId="83" fillId="97" borderId="189" xfId="0" applyFont="1" applyFill="1" applyBorder="1" applyAlignment="1" applyProtection="1">
      <alignment horizontal="center" vertical="center"/>
    </xf>
    <xf numFmtId="0" fontId="87" fillId="97" borderId="189" xfId="0" applyFont="1" applyFill="1" applyBorder="1" applyAlignment="1" applyProtection="1">
      <alignment horizontal="center" vertical="center"/>
    </xf>
    <xf numFmtId="0" fontId="145" fillId="4" borderId="284" xfId="0" applyFont="1" applyFill="1" applyBorder="1" applyAlignment="1" applyProtection="1">
      <alignment horizontal="center" vertical="center"/>
    </xf>
    <xf numFmtId="0" fontId="91" fillId="4" borderId="18" xfId="0" applyFont="1" applyFill="1" applyBorder="1" applyAlignment="1" applyProtection="1">
      <alignment horizontal="center" vertical="center"/>
    </xf>
    <xf numFmtId="0" fontId="80" fillId="108" borderId="113" xfId="0" applyFont="1" applyFill="1" applyBorder="1" applyAlignment="1" applyProtection="1">
      <alignment horizontal="center" vertical="center"/>
    </xf>
    <xf numFmtId="0" fontId="91" fillId="4" borderId="113" xfId="0" applyFont="1" applyFill="1" applyBorder="1" applyAlignment="1" applyProtection="1">
      <alignment horizontal="center" vertical="center"/>
    </xf>
    <xf numFmtId="0" fontId="145" fillId="4" borderId="293" xfId="0" applyFont="1" applyFill="1" applyBorder="1" applyAlignment="1" applyProtection="1">
      <alignment horizontal="center" vertical="center"/>
    </xf>
    <xf numFmtId="0" fontId="83" fillId="114" borderId="246" xfId="0" applyFont="1" applyFill="1" applyBorder="1" applyAlignment="1" applyProtection="1">
      <alignment horizontal="center" vertical="center" wrapText="1"/>
    </xf>
    <xf numFmtId="0" fontId="83" fillId="114" borderId="0" xfId="0" applyFont="1" applyFill="1" applyAlignment="1" applyProtection="1">
      <alignment horizontal="center" vertical="center" wrapText="1"/>
    </xf>
    <xf numFmtId="0" fontId="83" fillId="97" borderId="53" xfId="0" applyFont="1" applyFill="1" applyBorder="1" applyAlignment="1" applyProtection="1">
      <alignment horizontal="center" vertical="center"/>
    </xf>
    <xf numFmtId="0" fontId="83" fillId="97" borderId="37" xfId="0" applyFont="1" applyFill="1" applyBorder="1" applyAlignment="1" applyProtection="1">
      <alignment horizontal="center" vertical="center"/>
    </xf>
    <xf numFmtId="0" fontId="145" fillId="4" borderId="31" xfId="0" applyFont="1" applyFill="1" applyBorder="1" applyAlignment="1" applyProtection="1">
      <alignment horizontal="center" vertical="center"/>
    </xf>
    <xf numFmtId="0" fontId="46" fillId="97" borderId="31" xfId="0" applyFont="1" applyFill="1" applyBorder="1" applyAlignment="1" applyProtection="1">
      <alignment horizontal="center" vertical="center"/>
    </xf>
    <xf numFmtId="0" fontId="88" fillId="97" borderId="31" xfId="0" applyFont="1" applyFill="1" applyBorder="1" applyAlignment="1" applyProtection="1">
      <alignment horizontal="center" vertical="center"/>
    </xf>
    <xf numFmtId="0" fontId="87" fillId="87" borderId="53" xfId="0" applyFont="1" applyFill="1" applyBorder="1" applyAlignment="1" applyProtection="1">
      <alignment horizontal="center" vertical="center"/>
    </xf>
    <xf numFmtId="0" fontId="82" fillId="0" borderId="286" xfId="0" applyFont="1" applyBorder="1" applyAlignment="1" applyProtection="1">
      <alignment horizontal="center" vertical="center"/>
    </xf>
    <xf numFmtId="0" fontId="87" fillId="94" borderId="287" xfId="0" applyFont="1" applyFill="1" applyBorder="1" applyAlignment="1" applyProtection="1">
      <alignment horizontal="center" vertical="center"/>
    </xf>
    <xf numFmtId="0" fontId="83" fillId="94" borderId="46" xfId="0" applyFont="1" applyFill="1" applyBorder="1" applyAlignment="1" applyProtection="1">
      <alignment horizontal="center" vertical="center"/>
    </xf>
    <xf numFmtId="0" fontId="144" fillId="88" borderId="34" xfId="0" applyFont="1" applyFill="1" applyBorder="1" applyAlignment="1" applyProtection="1">
      <alignment horizontal="center" vertical="center" wrapText="1" shrinkToFit="1"/>
    </xf>
    <xf numFmtId="0" fontId="87" fillId="115" borderId="41" xfId="0" applyFont="1" applyFill="1" applyBorder="1" applyAlignment="1" applyProtection="1">
      <alignment horizontal="center" vertical="center"/>
    </xf>
    <xf numFmtId="0" fontId="141" fillId="115" borderId="278" xfId="0" applyFont="1" applyFill="1" applyBorder="1" applyAlignment="1" applyProtection="1">
      <alignment horizontal="center" vertical="center"/>
    </xf>
    <xf numFmtId="0" fontId="141" fillId="115" borderId="41" xfId="0" applyFont="1" applyFill="1" applyBorder="1" applyAlignment="1" applyProtection="1">
      <alignment horizontal="center" vertical="center"/>
    </xf>
    <xf numFmtId="0" fontId="141" fillId="115" borderId="285" xfId="0" applyFont="1" applyFill="1" applyBorder="1" applyAlignment="1" applyProtection="1">
      <alignment horizontal="center" vertical="center"/>
    </xf>
    <xf numFmtId="0" fontId="83" fillId="97" borderId="31" xfId="0" applyFont="1" applyFill="1" applyBorder="1" applyAlignment="1" applyProtection="1">
      <alignment horizontal="center" vertical="center"/>
    </xf>
    <xf numFmtId="0" fontId="87" fillId="97" borderId="31" xfId="0" applyFont="1" applyFill="1" applyBorder="1" applyAlignment="1" applyProtection="1">
      <alignment horizontal="center" vertical="center"/>
    </xf>
    <xf numFmtId="0" fontId="150" fillId="110" borderId="53" xfId="0" applyFont="1" applyFill="1" applyBorder="1" applyAlignment="1" applyProtection="1">
      <alignment vertical="center"/>
    </xf>
    <xf numFmtId="0" fontId="150" fillId="110" borderId="46" xfId="0" applyNumberFormat="1" applyFont="1" applyFill="1" applyBorder="1" applyAlignment="1" applyProtection="1">
      <alignment horizontal="left" vertical="center"/>
    </xf>
    <xf numFmtId="0" fontId="150" fillId="110" borderId="37" xfId="0" applyNumberFormat="1" applyFont="1" applyFill="1" applyBorder="1" applyAlignment="1" applyProtection="1">
      <alignment horizontal="left" vertical="center"/>
    </xf>
    <xf numFmtId="0" fontId="87" fillId="92" borderId="46" xfId="0" applyFont="1" applyFill="1" applyBorder="1" applyAlignment="1" applyProtection="1">
      <alignment horizontal="center" vertical="center"/>
    </xf>
    <xf numFmtId="0" fontId="83" fillId="92" borderId="46" xfId="0" applyFont="1" applyFill="1" applyBorder="1" applyAlignment="1" applyProtection="1">
      <alignment horizontal="center" vertical="center"/>
    </xf>
    <xf numFmtId="0" fontId="144" fillId="70" borderId="31" xfId="0" applyFont="1" applyFill="1" applyBorder="1" applyAlignment="1" applyProtection="1">
      <alignment horizontal="center" vertical="center" shrinkToFit="1"/>
    </xf>
    <xf numFmtId="0" fontId="145" fillId="116" borderId="31" xfId="0" applyFont="1" applyFill="1" applyBorder="1" applyAlignment="1" applyProtection="1">
      <alignment horizontal="center" vertical="center"/>
    </xf>
    <xf numFmtId="0" fontId="83" fillId="114" borderId="294" xfId="0" applyFont="1" applyFill="1" applyBorder="1" applyAlignment="1" applyProtection="1">
      <alignment horizontal="center" vertical="center" wrapText="1"/>
    </xf>
    <xf numFmtId="0" fontId="83" fillId="114" borderId="295" xfId="0" applyFont="1" applyFill="1" applyBorder="1" applyAlignment="1" applyProtection="1">
      <alignment horizontal="center" vertical="center" wrapText="1"/>
    </xf>
    <xf numFmtId="0" fontId="87" fillId="97" borderId="296" xfId="0" applyFont="1" applyFill="1" applyBorder="1" applyAlignment="1" applyProtection="1">
      <alignment horizontal="center" vertical="center"/>
    </xf>
    <xf numFmtId="0" fontId="87" fillId="97" borderId="297" xfId="0" applyFont="1" applyFill="1" applyBorder="1" applyAlignment="1" applyProtection="1">
      <alignment horizontal="center" vertical="center"/>
    </xf>
    <xf numFmtId="0" fontId="145" fillId="4" borderId="298" xfId="0" applyFont="1" applyFill="1" applyBorder="1" applyAlignment="1" applyProtection="1">
      <alignment horizontal="center" vertical="center"/>
    </xf>
    <xf numFmtId="0" fontId="87" fillId="97" borderId="298" xfId="0" applyFont="1" applyFill="1" applyBorder="1" applyAlignment="1" applyProtection="1">
      <alignment horizontal="center" vertical="center"/>
    </xf>
    <xf numFmtId="0" fontId="145" fillId="4" borderId="299" xfId="0" applyFont="1" applyFill="1" applyBorder="1" applyAlignment="1" applyProtection="1">
      <alignment horizontal="center" vertical="center"/>
    </xf>
    <xf numFmtId="0" fontId="41" fillId="14" borderId="300" xfId="0" applyFont="1" applyFill="1" applyBorder="1" applyAlignment="1" applyProtection="1">
      <alignment horizontal="center" vertical="center" wrapText="1"/>
    </xf>
    <xf numFmtId="0" fontId="92" fillId="4" borderId="301" xfId="0" applyFont="1" applyFill="1" applyBorder="1" applyAlignment="1" applyProtection="1">
      <alignment horizontal="center" vertical="center"/>
    </xf>
    <xf numFmtId="0" fontId="92" fillId="4" borderId="302" xfId="0" applyFont="1" applyFill="1" applyBorder="1" applyAlignment="1" applyProtection="1">
      <alignment horizontal="center" vertical="center"/>
    </xf>
    <xf numFmtId="0" fontId="85" fillId="4" borderId="303" xfId="0" applyFont="1" applyFill="1" applyBorder="1" applyAlignment="1" applyProtection="1">
      <alignment horizontal="left" vertical="center" wrapText="1"/>
    </xf>
    <xf numFmtId="0" fontId="85" fillId="4" borderId="295" xfId="0" applyFont="1" applyFill="1" applyBorder="1" applyAlignment="1" applyProtection="1">
      <alignment horizontal="left" vertical="center" wrapText="1"/>
    </xf>
    <xf numFmtId="0" fontId="85" fillId="4" borderId="304" xfId="0" applyFont="1" applyFill="1" applyBorder="1" applyAlignment="1" applyProtection="1">
      <alignment horizontal="left" vertical="top" wrapText="1" indent="2"/>
    </xf>
    <xf numFmtId="0" fontId="150" fillId="109" borderId="305" xfId="0" applyFont="1" applyFill="1" applyBorder="1" applyAlignment="1" applyProtection="1">
      <alignment horizontal="center" vertical="center"/>
    </xf>
    <xf numFmtId="0" fontId="129" fillId="109" borderId="306" xfId="0" applyFont="1" applyFill="1" applyBorder="1" applyAlignment="1" applyProtection="1">
      <alignment horizontal="left" vertical="center"/>
    </xf>
    <xf numFmtId="0" fontId="150" fillId="109" borderId="307" xfId="0" applyFont="1" applyFill="1" applyBorder="1" applyAlignment="1" applyProtection="1">
      <alignment horizontal="left" vertical="center"/>
    </xf>
    <xf numFmtId="0" fontId="145" fillId="69" borderId="308" xfId="0" applyFont="1" applyFill="1" applyBorder="1" applyAlignment="1" applyProtection="1">
      <alignment horizontal="center" vertical="center"/>
    </xf>
    <xf numFmtId="0" fontId="91" fillId="4" borderId="58" xfId="0" applyFont="1" applyFill="1" applyBorder="1" applyAlignment="1" applyProtection="1">
      <alignment horizontal="center" vertical="center"/>
    </xf>
    <xf numFmtId="0" fontId="145" fillId="4" borderId="309" xfId="0" applyFont="1" applyFill="1" applyBorder="1" applyAlignment="1" applyProtection="1">
      <alignment horizontal="center" vertical="center"/>
    </xf>
    <xf numFmtId="0" fontId="150" fillId="117" borderId="46" xfId="0" applyFont="1" applyFill="1" applyBorder="1" applyAlignment="1" applyProtection="1">
      <alignment vertical="center"/>
    </xf>
    <xf numFmtId="0" fontId="150" fillId="117" borderId="46" xfId="0" applyNumberFormat="1" applyFont="1" applyFill="1" applyBorder="1" applyAlignment="1" applyProtection="1">
      <alignment horizontal="left" vertical="center"/>
    </xf>
    <xf numFmtId="0" fontId="150" fillId="117" borderId="37" xfId="0" applyNumberFormat="1" applyFont="1" applyFill="1" applyBorder="1" applyAlignment="1" applyProtection="1">
      <alignment horizontal="left" vertical="center"/>
    </xf>
    <xf numFmtId="0" fontId="83" fillId="5" borderId="215" xfId="0" applyFont="1" applyFill="1" applyBorder="1" applyAlignment="1" applyProtection="1">
      <alignment horizontal="center" vertical="center" wrapText="1"/>
    </xf>
    <xf numFmtId="0" fontId="87" fillId="6" borderId="111" xfId="0" applyFont="1" applyFill="1" applyBorder="1" applyAlignment="1" applyProtection="1">
      <alignment horizontal="center" vertical="center"/>
    </xf>
    <xf numFmtId="0" fontId="87" fillId="6" borderId="18" xfId="0" applyFont="1" applyFill="1" applyBorder="1" applyAlignment="1" applyProtection="1">
      <alignment horizontal="center" vertical="center"/>
    </xf>
    <xf numFmtId="0" fontId="89" fillId="118" borderId="175" xfId="0" applyFont="1" applyFill="1" applyBorder="1" applyAlignment="1" applyProtection="1">
      <alignment horizontal="center" vertical="center"/>
    </xf>
    <xf numFmtId="0" fontId="89" fillId="118" borderId="310" xfId="0" applyFont="1" applyFill="1" applyBorder="1" applyAlignment="1" applyProtection="1">
      <alignment horizontal="center" vertical="center"/>
    </xf>
    <xf numFmtId="0" fontId="87" fillId="6" borderId="61" xfId="0" applyFont="1" applyFill="1" applyBorder="1" applyAlignment="1" applyProtection="1">
      <alignment horizontal="center" vertical="center" wrapText="1"/>
    </xf>
    <xf numFmtId="0" fontId="87" fillId="6" borderId="57" xfId="0" applyFont="1" applyFill="1" applyBorder="1" applyAlignment="1" applyProtection="1">
      <alignment horizontal="center" vertical="center" wrapText="1"/>
    </xf>
    <xf numFmtId="0" fontId="85" fillId="4" borderId="311" xfId="0" applyFont="1" applyFill="1" applyBorder="1" applyAlignment="1" applyProtection="1">
      <alignment horizontal="center" vertical="center"/>
    </xf>
    <xf numFmtId="0" fontId="85" fillId="4" borderId="312" xfId="0" applyFont="1" applyFill="1" applyBorder="1" applyAlignment="1" applyProtection="1">
      <alignment horizontal="center" vertical="center"/>
    </xf>
    <xf numFmtId="0" fontId="85" fillId="4" borderId="313" xfId="0" applyFont="1" applyFill="1" applyBorder="1" applyAlignment="1" applyProtection="1">
      <alignment horizontal="center" vertical="center"/>
    </xf>
    <xf numFmtId="0" fontId="87" fillId="119" borderId="314" xfId="0" applyFont="1" applyFill="1" applyBorder="1" applyAlignment="1" applyProtection="1">
      <alignment horizontal="center" vertical="center"/>
    </xf>
    <xf numFmtId="0" fontId="87" fillId="119" borderId="54" xfId="0" applyFont="1" applyFill="1" applyBorder="1" applyAlignment="1" applyProtection="1">
      <alignment horizontal="center" vertical="center"/>
    </xf>
    <xf numFmtId="0" fontId="141" fillId="119" borderId="310" xfId="0" applyFont="1" applyFill="1" applyBorder="1" applyAlignment="1" applyProtection="1">
      <alignment horizontal="center" vertical="center"/>
    </xf>
    <xf numFmtId="0" fontId="141" fillId="119" borderId="54" xfId="0" applyFont="1" applyFill="1" applyBorder="1" applyAlignment="1" applyProtection="1">
      <alignment horizontal="center" vertical="center"/>
    </xf>
    <xf numFmtId="0" fontId="87" fillId="5" borderId="215" xfId="0" applyFont="1" applyFill="1" applyBorder="1" applyAlignment="1" applyProtection="1">
      <alignment horizontal="center" vertical="center" wrapText="1"/>
    </xf>
    <xf numFmtId="0" fontId="83" fillId="6" borderId="111" xfId="0" applyFont="1" applyFill="1" applyBorder="1" applyAlignment="1" applyProtection="1">
      <alignment horizontal="center" vertical="center"/>
    </xf>
    <xf numFmtId="0" fontId="89" fillId="118" borderId="17" xfId="0" applyFont="1" applyFill="1" applyBorder="1" applyAlignment="1" applyProtection="1">
      <alignment horizontal="center" vertical="center"/>
    </xf>
    <xf numFmtId="0" fontId="89" fillId="118" borderId="24" xfId="0" applyFont="1" applyFill="1" applyBorder="1" applyAlignment="1" applyProtection="1">
      <alignment horizontal="center" vertical="center"/>
    </xf>
    <xf numFmtId="0" fontId="87" fillId="6" borderId="63" xfId="0" applyFont="1" applyFill="1" applyBorder="1" applyAlignment="1" applyProtection="1">
      <alignment horizontal="center" vertical="center" wrapText="1"/>
    </xf>
    <xf numFmtId="0" fontId="87" fillId="6" borderId="65" xfId="0" applyFont="1" applyFill="1" applyBorder="1" applyAlignment="1" applyProtection="1">
      <alignment horizontal="center" vertical="center" wrapText="1"/>
    </xf>
    <xf numFmtId="0" fontId="85" fillId="4" borderId="315" xfId="0" applyFont="1" applyFill="1" applyBorder="1" applyAlignment="1" applyProtection="1">
      <alignment horizontal="center" vertical="center"/>
    </xf>
    <xf numFmtId="0" fontId="85" fillId="4" borderId="316" xfId="0" applyFont="1" applyFill="1" applyBorder="1" applyAlignment="1" applyProtection="1">
      <alignment horizontal="center" vertical="center"/>
    </xf>
    <xf numFmtId="0" fontId="85" fillId="4" borderId="317" xfId="0" applyFont="1" applyFill="1" applyBorder="1" applyAlignment="1" applyProtection="1">
      <alignment horizontal="center" vertical="center"/>
    </xf>
    <xf numFmtId="0" fontId="87" fillId="93" borderId="318" xfId="0" applyFont="1" applyFill="1" applyBorder="1" applyAlignment="1" applyProtection="1">
      <alignment horizontal="center" vertical="center"/>
    </xf>
    <xf numFmtId="0" fontId="83" fillId="93" borderId="46" xfId="0" applyFont="1" applyFill="1" applyBorder="1" applyAlignment="1" applyProtection="1">
      <alignment horizontal="center" vertical="center"/>
    </xf>
    <xf numFmtId="0" fontId="144" fillId="93" borderId="31" xfId="0" applyFont="1" applyFill="1" applyBorder="1" applyAlignment="1" applyProtection="1">
      <alignment horizontal="center" vertical="center" shrinkToFit="1"/>
    </xf>
    <xf numFmtId="0" fontId="145" fillId="74" borderId="31" xfId="0" applyFont="1" applyFill="1" applyBorder="1" applyAlignment="1" applyProtection="1">
      <alignment horizontal="center" vertical="center"/>
    </xf>
    <xf numFmtId="0" fontId="150" fillId="111" borderId="319" xfId="0" applyFont="1" applyFill="1" applyBorder="1" applyAlignment="1" applyProtection="1">
      <alignment vertical="center"/>
    </xf>
    <xf numFmtId="0" fontId="150" fillId="111" borderId="320" xfId="0" applyNumberFormat="1" applyFont="1" applyFill="1" applyBorder="1" applyAlignment="1" applyProtection="1">
      <alignment horizontal="left" vertical="center"/>
    </xf>
    <xf numFmtId="0" fontId="150" fillId="111" borderId="321" xfId="0" applyNumberFormat="1" applyFont="1" applyFill="1" applyBorder="1" applyAlignment="1" applyProtection="1">
      <alignment horizontal="left" vertical="center"/>
    </xf>
    <xf numFmtId="0" fontId="145" fillId="106" borderId="322" xfId="0" applyFont="1" applyFill="1" applyBorder="1" applyAlignment="1" applyProtection="1">
      <alignment horizontal="center" vertical="center"/>
    </xf>
    <xf numFmtId="0" fontId="91" fillId="4" borderId="73" xfId="0" applyFont="1" applyFill="1" applyBorder="1" applyAlignment="1" applyProtection="1">
      <alignment horizontal="center" vertical="center"/>
    </xf>
    <xf numFmtId="0" fontId="145" fillId="4" borderId="193" xfId="0" applyFont="1" applyFill="1" applyBorder="1" applyAlignment="1" applyProtection="1">
      <alignment horizontal="center" vertical="center"/>
    </xf>
    <xf numFmtId="0" fontId="87" fillId="14" borderId="22" xfId="0" applyFont="1" applyFill="1" applyBorder="1" applyAlignment="1" applyProtection="1">
      <alignment horizontal="center" vertical="center"/>
    </xf>
    <xf numFmtId="0" fontId="87" fillId="14" borderId="7" xfId="0" applyFont="1" applyFill="1" applyBorder="1" applyAlignment="1" applyProtection="1">
      <alignment horizontal="center" vertical="center"/>
    </xf>
    <xf numFmtId="0" fontId="89" fillId="4" borderId="323" xfId="0" applyFont="1" applyFill="1" applyBorder="1" applyAlignment="1" applyProtection="1">
      <alignment horizontal="center" vertical="center"/>
    </xf>
    <xf numFmtId="0" fontId="89" fillId="4" borderId="324" xfId="0" applyFont="1" applyFill="1" applyBorder="1" applyAlignment="1" applyProtection="1">
      <alignment horizontal="center" vertical="center"/>
    </xf>
    <xf numFmtId="0" fontId="83" fillId="14" borderId="324" xfId="0" applyFont="1" applyFill="1" applyBorder="1" applyAlignment="1" applyProtection="1">
      <alignment horizontal="center" vertical="center"/>
    </xf>
    <xf numFmtId="0" fontId="87" fillId="14" borderId="325" xfId="0" applyFont="1" applyFill="1" applyBorder="1" applyAlignment="1" applyProtection="1">
      <alignment horizontal="center" vertical="center"/>
    </xf>
    <xf numFmtId="0" fontId="145" fillId="4" borderId="323" xfId="0" applyFont="1" applyFill="1" applyBorder="1" applyAlignment="1" applyProtection="1">
      <alignment horizontal="center" vertical="center"/>
    </xf>
    <xf numFmtId="0" fontId="145" fillId="4" borderId="46" xfId="0" applyFont="1" applyFill="1" applyBorder="1" applyAlignment="1" applyProtection="1">
      <alignment horizontal="center" vertical="center"/>
    </xf>
    <xf numFmtId="0" fontId="85" fillId="4" borderId="326" xfId="0" applyFont="1" applyFill="1" applyBorder="1" applyAlignment="1" applyProtection="1">
      <alignment horizontal="center" vertical="center"/>
    </xf>
    <xf numFmtId="0" fontId="85" fillId="4" borderId="327" xfId="0" applyFont="1" applyFill="1" applyBorder="1" applyAlignment="1" applyProtection="1">
      <alignment horizontal="center" vertical="center"/>
    </xf>
    <xf numFmtId="0" fontId="85" fillId="4" borderId="328" xfId="0" applyFont="1" applyFill="1" applyBorder="1" applyAlignment="1" applyProtection="1">
      <alignment horizontal="center" vertical="center"/>
    </xf>
    <xf numFmtId="0" fontId="150" fillId="120" borderId="318" xfId="0" applyFont="1" applyFill="1" applyBorder="1" applyAlignment="1" applyProtection="1">
      <alignment horizontal="center" vertical="center"/>
    </xf>
    <xf numFmtId="0" fontId="150" fillId="120" borderId="46" xfId="0" applyFont="1" applyFill="1" applyBorder="1" applyAlignment="1" applyProtection="1">
      <alignment horizontal="left" vertical="center"/>
    </xf>
    <xf numFmtId="0" fontId="150" fillId="120" borderId="37" xfId="0" applyFont="1" applyFill="1" applyBorder="1" applyAlignment="1" applyProtection="1">
      <alignment horizontal="left" vertical="center"/>
    </xf>
    <xf numFmtId="0" fontId="145" fillId="74" borderId="286" xfId="0" applyFont="1" applyFill="1" applyBorder="1" applyAlignment="1" applyProtection="1">
      <alignment horizontal="center" vertical="center"/>
    </xf>
    <xf numFmtId="0" fontId="145" fillId="74" borderId="37" xfId="0" applyFont="1" applyFill="1" applyBorder="1" applyAlignment="1" applyProtection="1">
      <alignment horizontal="center" vertical="center"/>
    </xf>
    <xf numFmtId="0" fontId="87" fillId="84" borderId="329" xfId="0" applyFont="1" applyFill="1" applyBorder="1" applyAlignment="1" applyProtection="1">
      <alignment horizontal="center" vertical="center"/>
    </xf>
    <xf numFmtId="0" fontId="87" fillId="84" borderId="330" xfId="0" applyFont="1" applyFill="1" applyBorder="1" applyAlignment="1" applyProtection="1">
      <alignment horizontal="center" vertical="center"/>
    </xf>
    <xf numFmtId="0" fontId="87" fillId="84" borderId="331" xfId="0" applyFont="1" applyFill="1" applyBorder="1" applyAlignment="1" applyProtection="1">
      <alignment horizontal="center" vertical="center"/>
    </xf>
    <xf numFmtId="0" fontId="87" fillId="92" borderId="53" xfId="0" applyFont="1" applyFill="1" applyBorder="1" applyAlignment="1" applyProtection="1">
      <alignment horizontal="center" vertical="center"/>
    </xf>
    <xf numFmtId="0" fontId="89" fillId="4" borderId="18" xfId="0" applyFont="1" applyFill="1" applyBorder="1" applyAlignment="1" applyProtection="1">
      <alignment horizontal="center" vertical="center"/>
    </xf>
    <xf numFmtId="0" fontId="87" fillId="14" borderId="17" xfId="0" applyFont="1" applyFill="1" applyBorder="1" applyAlignment="1" applyProtection="1">
      <alignment horizontal="center" vertical="center"/>
    </xf>
    <xf numFmtId="0" fontId="89" fillId="4" borderId="332" xfId="0" applyFont="1" applyFill="1" applyBorder="1" applyAlignment="1" applyProtection="1">
      <alignment horizontal="center" vertical="center"/>
    </xf>
    <xf numFmtId="0" fontId="88" fillId="90" borderId="333" xfId="0" applyFont="1" applyFill="1" applyBorder="1" applyAlignment="1" applyProtection="1">
      <alignment horizontal="center" vertical="center" wrapText="1"/>
    </xf>
    <xf numFmtId="0" fontId="89" fillId="118" borderId="334" xfId="0" applyFont="1" applyFill="1" applyBorder="1" applyAlignment="1" applyProtection="1">
      <alignment horizontal="left" vertical="center"/>
    </xf>
    <xf numFmtId="0" fontId="89" fillId="118" borderId="335" xfId="0" applyFont="1" applyFill="1" applyBorder="1" applyAlignment="1" applyProtection="1">
      <alignment horizontal="left" vertical="center"/>
    </xf>
    <xf numFmtId="0" fontId="150" fillId="121" borderId="336" xfId="0" applyFont="1" applyFill="1" applyBorder="1" applyAlignment="1" applyProtection="1">
      <alignment horizontal="center" vertical="center"/>
    </xf>
    <xf numFmtId="0" fontId="150" fillId="121" borderId="7" xfId="0" applyFont="1" applyFill="1" applyBorder="1" applyAlignment="1" applyProtection="1">
      <alignment horizontal="center" vertical="center"/>
    </xf>
    <xf numFmtId="0" fontId="82" fillId="118" borderId="18" xfId="0" applyFont="1" applyFill="1" applyBorder="1" applyAlignment="1" applyProtection="1">
      <alignment horizontal="center" vertical="center"/>
    </xf>
    <xf numFmtId="0" fontId="153" fillId="4" borderId="0" xfId="0" applyFont="1" applyFill="1" applyAlignment="1" applyProtection="1">
      <alignment horizontal="center" vertical="center"/>
    </xf>
    <xf numFmtId="0" fontId="82" fillId="0" borderId="337" xfId="0" applyFont="1" applyBorder="1" applyAlignment="1" applyProtection="1">
      <alignment horizontal="center" vertical="center"/>
    </xf>
    <xf numFmtId="0" fontId="150" fillId="117" borderId="53" xfId="0" applyFont="1" applyFill="1" applyBorder="1" applyAlignment="1" applyProtection="1">
      <alignment vertical="center"/>
    </xf>
    <xf numFmtId="0" fontId="89" fillId="4" borderId="7" xfId="0" applyFont="1" applyFill="1" applyBorder="1" applyAlignment="1" applyProtection="1">
      <alignment horizontal="center" vertical="center"/>
    </xf>
    <xf numFmtId="0" fontId="87" fillId="14" borderId="35" xfId="0" applyFont="1" applyFill="1" applyBorder="1" applyAlignment="1" applyProtection="1">
      <alignment horizontal="center" vertical="center"/>
    </xf>
    <xf numFmtId="0" fontId="114" fillId="4" borderId="35" xfId="0" applyFont="1" applyFill="1" applyBorder="1" applyAlignment="1" applyProtection="1">
      <alignment horizontal="center" vertical="center"/>
    </xf>
    <xf numFmtId="0" fontId="114" fillId="4" borderId="338" xfId="0" applyFont="1" applyFill="1" applyBorder="1" applyAlignment="1" applyProtection="1">
      <alignment horizontal="center" vertical="center"/>
    </xf>
    <xf numFmtId="0" fontId="46" fillId="90" borderId="339" xfId="0" applyFont="1" applyFill="1" applyBorder="1" applyAlignment="1" applyProtection="1">
      <alignment horizontal="center" vertical="center" wrapText="1"/>
    </xf>
    <xf numFmtId="0" fontId="85" fillId="4" borderId="340" xfId="0" applyFont="1" applyFill="1" applyBorder="1" applyAlignment="1" applyProtection="1">
      <alignment horizontal="left" vertical="center" wrapText="1"/>
    </xf>
    <xf numFmtId="0" fontId="85" fillId="4" borderId="25" xfId="0" applyFont="1" applyFill="1" applyBorder="1" applyAlignment="1" applyProtection="1">
      <alignment horizontal="left" vertical="center" wrapText="1"/>
    </xf>
    <xf numFmtId="0" fontId="82" fillId="0" borderId="341" xfId="0" applyFont="1" applyBorder="1" applyAlignment="1" applyProtection="1">
      <alignment horizontal="center" vertical="center"/>
    </xf>
    <xf numFmtId="0" fontId="82" fillId="118" borderId="7" xfId="0" applyFont="1" applyFill="1" applyBorder="1" applyAlignment="1" applyProtection="1">
      <alignment horizontal="center" vertical="center"/>
    </xf>
    <xf numFmtId="0" fontId="82" fillId="0" borderId="342" xfId="0" applyFont="1" applyBorder="1" applyAlignment="1" applyProtection="1">
      <alignment horizontal="center" vertical="center"/>
    </xf>
    <xf numFmtId="0" fontId="89" fillId="4" borderId="111" xfId="0" applyFont="1" applyFill="1" applyBorder="1" applyAlignment="1" applyProtection="1">
      <alignment horizontal="center" vertical="center"/>
    </xf>
    <xf numFmtId="0" fontId="114" fillId="4" borderId="7" xfId="0" applyFont="1" applyFill="1" applyBorder="1" applyAlignment="1" applyProtection="1">
      <alignment horizontal="center" vertical="center"/>
    </xf>
    <xf numFmtId="0" fontId="88" fillId="90" borderId="339" xfId="0" applyFont="1" applyFill="1" applyBorder="1" applyAlignment="1" applyProtection="1">
      <alignment horizontal="center" vertical="center" wrapText="1"/>
    </xf>
    <xf numFmtId="0" fontId="85" fillId="4" borderId="0" xfId="0" applyFont="1" applyFill="1" applyBorder="1" applyAlignment="1" applyProtection="1">
      <alignment horizontal="left" vertical="center" wrapText="1"/>
    </xf>
    <xf numFmtId="0" fontId="85" fillId="4" borderId="23" xfId="0" applyFont="1" applyFill="1" applyBorder="1" applyAlignment="1" applyProtection="1">
      <alignment horizontal="left" vertical="center" wrapText="1"/>
    </xf>
    <xf numFmtId="0" fontId="151" fillId="110" borderId="46" xfId="0" applyNumberFormat="1" applyFont="1" applyFill="1" applyBorder="1" applyAlignment="1" applyProtection="1">
      <alignment horizontal="left" vertical="center"/>
    </xf>
    <xf numFmtId="0" fontId="151" fillId="110" borderId="37" xfId="0" applyNumberFormat="1" applyFont="1" applyFill="1" applyBorder="1" applyAlignment="1" applyProtection="1">
      <alignment horizontal="left" vertical="center"/>
    </xf>
    <xf numFmtId="0" fontId="150" fillId="117" borderId="55" xfId="0" applyFont="1" applyFill="1" applyBorder="1" applyAlignment="1" applyProtection="1">
      <alignment vertical="center"/>
    </xf>
    <xf numFmtId="0" fontId="150" fillId="117" borderId="51" xfId="0" applyNumberFormat="1" applyFont="1" applyFill="1" applyBorder="1" applyAlignment="1" applyProtection="1">
      <alignment horizontal="left" vertical="center"/>
    </xf>
    <xf numFmtId="0" fontId="150" fillId="117" borderId="343" xfId="0" applyNumberFormat="1" applyFont="1" applyFill="1" applyBorder="1" applyAlignment="1" applyProtection="1">
      <alignment horizontal="left" vertical="center"/>
    </xf>
    <xf numFmtId="0" fontId="145" fillId="116" borderId="113" xfId="0" applyFont="1" applyFill="1" applyBorder="1" applyAlignment="1" applyProtection="1">
      <alignment horizontal="center" vertical="center"/>
    </xf>
    <xf numFmtId="0" fontId="87" fillId="14" borderId="25" xfId="0" applyFont="1" applyFill="1" applyBorder="1" applyAlignment="1" applyProtection="1">
      <alignment horizontal="center" vertical="center"/>
    </xf>
    <xf numFmtId="0" fontId="114" fillId="4" borderId="332" xfId="0" applyFont="1" applyFill="1" applyBorder="1" applyAlignment="1" applyProtection="1">
      <alignment horizontal="center" vertical="center"/>
    </xf>
    <xf numFmtId="0" fontId="114" fillId="4" borderId="111" xfId="0" applyFont="1" applyFill="1" applyBorder="1" applyAlignment="1" applyProtection="1">
      <alignment horizontal="center" vertical="center"/>
    </xf>
    <xf numFmtId="0" fontId="114" fillId="4" borderId="4" xfId="0" applyFont="1" applyFill="1" applyBorder="1" applyAlignment="1" applyProtection="1">
      <alignment horizontal="center" vertical="center"/>
    </xf>
    <xf numFmtId="0" fontId="88" fillId="90" borderId="344" xfId="0" applyFont="1" applyFill="1" applyBorder="1" applyAlignment="1" applyProtection="1">
      <alignment horizontal="center" vertical="center" wrapText="1"/>
    </xf>
    <xf numFmtId="0" fontId="85" fillId="4" borderId="170" xfId="0" applyFont="1" applyFill="1" applyBorder="1" applyAlignment="1" applyProtection="1">
      <alignment horizontal="left" vertical="center" wrapText="1"/>
    </xf>
    <xf numFmtId="0" fontId="85" fillId="4" borderId="72" xfId="0" applyFont="1" applyFill="1" applyBorder="1" applyAlignment="1" applyProtection="1">
      <alignment horizontal="left" vertical="center" wrapText="1"/>
    </xf>
    <xf numFmtId="0" fontId="129" fillId="121" borderId="345" xfId="0" applyFont="1" applyFill="1" applyBorder="1" applyAlignment="1" applyProtection="1">
      <alignment horizontal="center" vertical="center"/>
    </xf>
    <xf numFmtId="0" fontId="150" fillId="121" borderId="35" xfId="0" applyFont="1" applyFill="1" applyBorder="1" applyAlignment="1" applyProtection="1">
      <alignment horizontal="center" vertical="center"/>
    </xf>
    <xf numFmtId="0" fontId="87" fillId="84" borderId="346" xfId="0" applyFont="1" applyFill="1" applyBorder="1" applyAlignment="1" applyProtection="1">
      <alignment horizontal="center" vertical="center"/>
    </xf>
    <xf numFmtId="0" fontId="87" fillId="84" borderId="347" xfId="0" applyFont="1" applyFill="1" applyBorder="1" applyAlignment="1" applyProtection="1">
      <alignment horizontal="center" vertical="center"/>
    </xf>
    <xf numFmtId="0" fontId="87" fillId="84" borderId="348" xfId="0" applyFont="1" applyFill="1" applyBorder="1" applyAlignment="1" applyProtection="1">
      <alignment horizontal="center" vertical="center"/>
    </xf>
    <xf numFmtId="0" fontId="114" fillId="4" borderId="24" xfId="0" applyFont="1" applyFill="1" applyBorder="1" applyAlignment="1" applyProtection="1">
      <alignment horizontal="center" vertical="center"/>
    </xf>
    <xf numFmtId="0" fontId="114" fillId="4" borderId="23" xfId="0" applyFont="1" applyFill="1" applyBorder="1" applyAlignment="1" applyProtection="1">
      <alignment horizontal="center" vertical="center"/>
    </xf>
    <xf numFmtId="0" fontId="114" fillId="4" borderId="0" xfId="0" applyFont="1" applyFill="1" applyBorder="1" applyAlignment="1" applyProtection="1">
      <alignment horizontal="center" vertical="center"/>
    </xf>
    <xf numFmtId="0" fontId="88" fillId="90" borderId="349" xfId="0" applyFont="1" applyFill="1" applyBorder="1" applyAlignment="1" applyProtection="1">
      <alignment horizontal="center" vertical="center" wrapText="1"/>
    </xf>
    <xf numFmtId="0" fontId="150" fillId="121" borderId="350" xfId="0" applyFont="1" applyFill="1" applyBorder="1" applyAlignment="1" applyProtection="1">
      <alignment vertical="center"/>
    </xf>
    <xf numFmtId="0" fontId="150" fillId="121" borderId="351" xfId="0" applyNumberFormat="1" applyFont="1" applyFill="1" applyBorder="1" applyAlignment="1" applyProtection="1">
      <alignment horizontal="left" vertical="center"/>
    </xf>
    <xf numFmtId="0" fontId="150" fillId="121" borderId="111" xfId="0" applyNumberFormat="1" applyFont="1" applyFill="1" applyBorder="1" applyAlignment="1" applyProtection="1">
      <alignment horizontal="left" vertical="center"/>
    </xf>
    <xf numFmtId="0" fontId="87" fillId="90" borderId="338" xfId="0" applyFont="1" applyFill="1" applyBorder="1" applyAlignment="1" applyProtection="1">
      <alignment horizontal="center" vertical="center" wrapText="1"/>
    </xf>
    <xf numFmtId="0" fontId="87" fillId="90" borderId="25" xfId="0" applyFont="1" applyFill="1" applyBorder="1" applyAlignment="1" applyProtection="1">
      <alignment horizontal="center" vertical="center"/>
    </xf>
    <xf numFmtId="0" fontId="154" fillId="122" borderId="338" xfId="0" applyFont="1" applyFill="1" applyBorder="1" applyAlignment="1" applyProtection="1">
      <alignment horizontal="center" vertical="center" wrapText="1"/>
    </xf>
    <xf numFmtId="0" fontId="154" fillId="122" borderId="340" xfId="0" applyFont="1" applyFill="1" applyBorder="1" applyAlignment="1" applyProtection="1">
      <alignment horizontal="center" vertical="center" wrapText="1"/>
    </xf>
    <xf numFmtId="0" fontId="150" fillId="120" borderId="352" xfId="0" applyFont="1" applyFill="1" applyBorder="1" applyAlignment="1" applyProtection="1">
      <alignment horizontal="center" vertical="center"/>
    </xf>
    <xf numFmtId="0" fontId="150" fillId="120" borderId="353" xfId="0" applyFont="1" applyFill="1" applyBorder="1" applyAlignment="1" applyProtection="1">
      <alignment horizontal="left" vertical="center"/>
    </xf>
    <xf numFmtId="0" fontId="150" fillId="120" borderId="354" xfId="0" applyFont="1" applyFill="1" applyBorder="1" applyAlignment="1" applyProtection="1">
      <alignment horizontal="left" vertical="center"/>
    </xf>
    <xf numFmtId="0" fontId="145" fillId="74" borderId="355" xfId="0" applyFont="1" applyFill="1" applyBorder="1" applyAlignment="1" applyProtection="1">
      <alignment horizontal="center" vertical="center"/>
    </xf>
    <xf numFmtId="0" fontId="91" fillId="4" borderId="27" xfId="0" applyFont="1" applyFill="1" applyBorder="1" applyAlignment="1" applyProtection="1">
      <alignment horizontal="center" vertical="center"/>
    </xf>
    <xf numFmtId="0" fontId="145" fillId="74" borderId="354" xfId="0" applyFont="1" applyFill="1" applyBorder="1" applyAlignment="1" applyProtection="1">
      <alignment horizontal="center" vertical="center"/>
    </xf>
    <xf numFmtId="0" fontId="145" fillId="4" borderId="355" xfId="0" applyFont="1" applyFill="1" applyBorder="1" applyAlignment="1" applyProtection="1">
      <alignment horizontal="center" vertical="center"/>
    </xf>
    <xf numFmtId="0" fontId="150" fillId="110" borderId="356" xfId="0" applyFont="1" applyFill="1" applyBorder="1" applyAlignment="1" applyProtection="1">
      <alignment vertical="center"/>
    </xf>
    <xf numFmtId="0" fontId="151" fillId="110" borderId="353" xfId="0" applyNumberFormat="1" applyFont="1" applyFill="1" applyBorder="1" applyAlignment="1" applyProtection="1">
      <alignment horizontal="left" vertical="center"/>
    </xf>
    <xf numFmtId="0" fontId="151" fillId="110" borderId="354" xfId="0" applyNumberFormat="1" applyFont="1" applyFill="1" applyBorder="1" applyAlignment="1" applyProtection="1">
      <alignment horizontal="left" vertical="center"/>
    </xf>
    <xf numFmtId="0" fontId="145" fillId="78" borderId="355" xfId="0" applyFont="1" applyFill="1" applyBorder="1" applyAlignment="1" applyProtection="1">
      <alignment horizontal="center" vertical="center"/>
    </xf>
    <xf numFmtId="0" fontId="145" fillId="78" borderId="357" xfId="0" applyFont="1" applyFill="1" applyBorder="1" applyAlignment="1" applyProtection="1">
      <alignment horizontal="center" vertical="center"/>
    </xf>
    <xf numFmtId="0" fontId="82" fillId="0" borderId="358" xfId="0" applyFont="1" applyBorder="1" applyAlignment="1" applyProtection="1">
      <alignment horizontal="center" vertical="center"/>
    </xf>
    <xf numFmtId="0" fontId="129" fillId="121" borderId="359" xfId="0" applyFont="1" applyFill="1" applyBorder="1" applyAlignment="1" applyProtection="1">
      <alignment horizontal="center" vertical="center"/>
    </xf>
    <xf numFmtId="0" fontId="150" fillId="121" borderId="11" xfId="0" applyFont="1" applyFill="1" applyBorder="1" applyAlignment="1" applyProtection="1">
      <alignment horizontal="center" vertical="center"/>
    </xf>
    <xf numFmtId="0" fontId="82" fillId="118" borderId="27" xfId="0" applyFont="1" applyFill="1" applyBorder="1" applyAlignment="1" applyProtection="1">
      <alignment horizontal="center" vertical="center"/>
    </xf>
    <xf numFmtId="0" fontId="153" fillId="4" borderId="227" xfId="0" applyFont="1" applyFill="1" applyBorder="1" applyAlignment="1" applyProtection="1">
      <alignment horizontal="center" vertical="center"/>
    </xf>
    <xf numFmtId="0" fontId="82" fillId="118" borderId="11" xfId="0" applyFont="1" applyFill="1" applyBorder="1" applyAlignment="1" applyProtection="1">
      <alignment horizontal="center" vertical="center"/>
    </xf>
    <xf numFmtId="0" fontId="82" fillId="0" borderId="360" xfId="0" applyFont="1" applyBorder="1" applyAlignment="1" applyProtection="1">
      <alignment horizontal="center" vertical="center"/>
    </xf>
    <xf numFmtId="0" fontId="129" fillId="121" borderId="361" xfId="0" applyFont="1" applyFill="1" applyBorder="1" applyAlignment="1" applyProtection="1">
      <alignment vertical="center"/>
    </xf>
    <xf numFmtId="0" fontId="129" fillId="121" borderId="10" xfId="0" applyNumberFormat="1" applyFont="1" applyFill="1" applyBorder="1" applyAlignment="1" applyProtection="1">
      <alignment horizontal="left" vertical="center"/>
    </xf>
    <xf numFmtId="0" fontId="129" fillId="121" borderId="105" xfId="0" applyNumberFormat="1" applyFont="1" applyFill="1" applyBorder="1" applyAlignment="1" applyProtection="1">
      <alignment horizontal="left" vertical="center"/>
    </xf>
    <xf numFmtId="0" fontId="145" fillId="4" borderId="362" xfId="0" applyFont="1" applyFill="1" applyBorder="1" applyAlignment="1" applyProtection="1">
      <alignment horizontal="center" vertical="center"/>
    </xf>
    <xf numFmtId="0" fontId="87" fillId="90" borderId="24" xfId="0" applyFont="1" applyFill="1" applyBorder="1" applyAlignment="1" applyProtection="1">
      <alignment horizontal="center" vertical="center"/>
    </xf>
    <xf numFmtId="0" fontId="87" fillId="90" borderId="23" xfId="0" applyFont="1" applyFill="1" applyBorder="1" applyAlignment="1" applyProtection="1">
      <alignment horizontal="center" vertical="center"/>
    </xf>
    <xf numFmtId="0" fontId="154" fillId="122" borderId="24" xfId="0" applyFont="1" applyFill="1" applyBorder="1" applyAlignment="1" applyProtection="1">
      <alignment horizontal="center" vertical="center" wrapText="1"/>
    </xf>
    <xf numFmtId="0" fontId="154" fillId="122" borderId="0" xfId="0" applyFont="1" applyFill="1" applyAlignment="1" applyProtection="1">
      <alignment horizontal="center" vertical="center" wrapText="1"/>
    </xf>
    <xf numFmtId="0" fontId="154" fillId="122" borderId="0" xfId="0" applyFont="1" applyFill="1" applyBorder="1" applyAlignment="1" applyProtection="1">
      <alignment horizontal="center" vertical="center" wrapText="1"/>
    </xf>
    <xf numFmtId="0" fontId="154" fillId="122" borderId="74" xfId="0" applyFont="1" applyFill="1" applyBorder="1" applyAlignment="1" applyProtection="1">
      <alignment horizontal="center" vertical="center" wrapText="1"/>
    </xf>
    <xf numFmtId="0" fontId="154" fillId="122" borderId="170" xfId="0" applyFont="1" applyFill="1" applyBorder="1" applyAlignment="1" applyProtection="1">
      <alignment horizontal="center" vertical="center" wrapText="1"/>
    </xf>
    <xf numFmtId="0" fontId="88" fillId="90" borderId="363" xfId="0" applyFont="1" applyFill="1" applyBorder="1" applyAlignment="1" applyProtection="1">
      <alignment horizontal="center" vertical="center" wrapText="1"/>
    </xf>
    <xf numFmtId="0" fontId="87" fillId="123" borderId="364" xfId="0" applyFont="1" applyFill="1" applyBorder="1" applyAlignment="1" applyProtection="1">
      <alignment horizontal="center" vertical="center" wrapText="1"/>
    </xf>
    <xf numFmtId="0" fontId="87" fillId="123" borderId="200" xfId="0" applyFont="1" applyFill="1" applyBorder="1" applyAlignment="1" applyProtection="1">
      <alignment horizontal="center" vertical="center" wrapText="1"/>
    </xf>
    <xf numFmtId="0" fontId="87" fillId="123" borderId="201" xfId="0" applyFont="1" applyFill="1" applyBorder="1" applyAlignment="1" applyProtection="1">
      <alignment horizontal="center" vertical="center" wrapText="1"/>
    </xf>
    <xf numFmtId="0" fontId="83" fillId="5" borderId="365" xfId="0" applyFont="1" applyFill="1" applyBorder="1" applyAlignment="1" applyProtection="1">
      <alignment horizontal="center" vertical="center" wrapText="1"/>
    </xf>
    <xf numFmtId="0" fontId="87" fillId="6" borderId="163" xfId="0" applyFont="1" applyFill="1" applyBorder="1" applyAlignment="1" applyProtection="1">
      <alignment horizontal="center" vertical="center"/>
    </xf>
    <xf numFmtId="0" fontId="89" fillId="118" borderId="18" xfId="0" applyFont="1" applyFill="1" applyBorder="1" applyAlignment="1" applyProtection="1">
      <alignment horizontal="center" vertical="center"/>
    </xf>
    <xf numFmtId="0" fontId="89" fillId="118" borderId="332" xfId="0" applyFont="1" applyFill="1" applyBorder="1" applyAlignment="1" applyProtection="1">
      <alignment horizontal="center" vertical="center"/>
    </xf>
    <xf numFmtId="0" fontId="87" fillId="6" borderId="56" xfId="0" applyFont="1" applyFill="1" applyBorder="1" applyAlignment="1" applyProtection="1">
      <alignment horizontal="center" vertical="center" wrapText="1"/>
    </xf>
    <xf numFmtId="0" fontId="88" fillId="90" borderId="366" xfId="0" applyFont="1" applyFill="1" applyBorder="1" applyAlignment="1" applyProtection="1">
      <alignment horizontal="center" vertical="center" wrapText="1"/>
    </xf>
    <xf numFmtId="0" fontId="89" fillId="118" borderId="189" xfId="0" applyFont="1" applyFill="1" applyBorder="1" applyAlignment="1" applyProtection="1">
      <alignment horizontal="left" vertical="center"/>
    </xf>
    <xf numFmtId="0" fontId="21" fillId="13" borderId="367" xfId="0" applyFont="1" applyFill="1" applyBorder="1" applyAlignment="1" applyProtection="1">
      <alignment horizontal="center" vertical="center" wrapText="1"/>
    </xf>
    <xf numFmtId="0" fontId="83" fillId="49" borderId="163" xfId="0" applyFont="1" applyFill="1" applyBorder="1" applyAlignment="1" applyProtection="1">
      <alignment horizontal="center" vertical="center"/>
    </xf>
    <xf numFmtId="0" fontId="87" fillId="49" borderId="163" xfId="0" applyFont="1" applyFill="1" applyBorder="1" applyAlignment="1" applyProtection="1">
      <alignment horizontal="center" vertical="center"/>
    </xf>
    <xf numFmtId="0" fontId="114" fillId="4" borderId="163" xfId="0" applyFont="1" applyFill="1" applyBorder="1" applyAlignment="1" applyProtection="1">
      <alignment horizontal="center" vertical="center" wrapText="1"/>
    </xf>
    <xf numFmtId="0" fontId="114" fillId="4" borderId="119" xfId="0" applyFont="1" applyFill="1" applyBorder="1" applyAlignment="1" applyProtection="1">
      <alignment horizontal="center" vertical="center" wrapText="1"/>
    </xf>
    <xf numFmtId="0" fontId="155" fillId="13" borderId="163" xfId="0" applyFont="1" applyFill="1" applyBorder="1" applyAlignment="1" applyProtection="1">
      <alignment horizontal="center" vertical="center" wrapText="1"/>
    </xf>
    <xf numFmtId="0" fontId="83" fillId="49" borderId="368" xfId="0" applyFont="1" applyFill="1" applyBorder="1" applyAlignment="1" applyProtection="1">
      <alignment horizontal="center" vertical="center" wrapText="1"/>
    </xf>
    <xf numFmtId="0" fontId="87" fillId="49" borderId="180" xfId="0" applyFont="1" applyFill="1" applyBorder="1" applyAlignment="1" applyProtection="1">
      <alignment horizontal="center" vertical="center" wrapText="1"/>
    </xf>
    <xf numFmtId="0" fontId="156" fillId="10" borderId="180" xfId="0" applyFont="1" applyFill="1" applyBorder="1" applyAlignment="1" applyProtection="1">
      <alignment horizontal="left" vertical="center" wrapText="1"/>
    </xf>
    <xf numFmtId="0" fontId="87" fillId="49" borderId="180" xfId="0" applyFont="1" applyFill="1" applyBorder="1" applyAlignment="1" applyProtection="1">
      <alignment horizontal="center" vertical="center"/>
    </xf>
    <xf numFmtId="0" fontId="85" fillId="10" borderId="180" xfId="0" applyFont="1" applyFill="1" applyBorder="1" applyAlignment="1" applyProtection="1">
      <alignment horizontal="center" vertical="center" wrapText="1"/>
    </xf>
    <xf numFmtId="0" fontId="85" fillId="10" borderId="369" xfId="0" applyFont="1" applyFill="1" applyBorder="1" applyAlignment="1" applyProtection="1">
      <alignment horizontal="center" vertical="center" wrapText="1"/>
    </xf>
    <xf numFmtId="0" fontId="89" fillId="4" borderId="30" xfId="0" applyFont="1" applyFill="1" applyBorder="1" applyAlignment="1" applyProtection="1">
      <alignment horizontal="center" vertical="center"/>
    </xf>
    <xf numFmtId="0" fontId="87" fillId="6" borderId="53" xfId="0" applyFont="1" applyFill="1" applyBorder="1" applyAlignment="1" applyProtection="1">
      <alignment horizontal="center" vertical="center" wrapText="1"/>
    </xf>
    <xf numFmtId="0" fontId="88" fillId="90" borderId="118" xfId="0" applyFont="1" applyFill="1" applyBorder="1" applyAlignment="1" applyProtection="1">
      <alignment horizontal="center" vertical="center" wrapText="1"/>
    </xf>
    <xf numFmtId="0" fontId="89" fillId="118" borderId="31" xfId="0" applyFont="1" applyFill="1" applyBorder="1" applyAlignment="1" applyProtection="1">
      <alignment horizontal="left" vertical="center"/>
    </xf>
    <xf numFmtId="0" fontId="15" fillId="13" borderId="82" xfId="0" applyFont="1" applyFill="1" applyBorder="1" applyAlignment="1" applyProtection="1">
      <alignment horizontal="center" vertical="center" wrapText="1"/>
    </xf>
    <xf numFmtId="0" fontId="87" fillId="49" borderId="7" xfId="0" applyFont="1" applyFill="1" applyBorder="1" applyAlignment="1" applyProtection="1">
      <alignment horizontal="center" vertical="center"/>
    </xf>
    <xf numFmtId="0" fontId="114" fillId="4" borderId="7" xfId="0" applyFont="1" applyFill="1" applyBorder="1" applyAlignment="1" applyProtection="1">
      <alignment horizontal="center" vertical="center" wrapText="1"/>
    </xf>
    <xf numFmtId="0" fontId="114" fillId="4" borderId="30" xfId="0" applyFont="1" applyFill="1" applyBorder="1" applyAlignment="1" applyProtection="1">
      <alignment horizontal="center" vertical="center" wrapText="1"/>
    </xf>
    <xf numFmtId="0" fontId="125" fillId="13" borderId="7" xfId="0" applyFont="1" applyFill="1" applyBorder="1" applyAlignment="1" applyProtection="1">
      <alignment horizontal="center" vertical="center" wrapText="1"/>
    </xf>
    <xf numFmtId="0" fontId="87" fillId="49" borderId="370" xfId="0" applyFont="1" applyFill="1" applyBorder="1" applyAlignment="1" applyProtection="1">
      <alignment horizontal="center" vertical="center" wrapText="1"/>
    </xf>
    <xf numFmtId="0" fontId="87" fillId="49" borderId="181" xfId="0" applyFont="1" applyFill="1" applyBorder="1" applyAlignment="1" applyProtection="1">
      <alignment horizontal="center" vertical="center" wrapText="1"/>
    </xf>
    <xf numFmtId="0" fontId="150" fillId="4" borderId="181" xfId="0" applyFont="1" applyFill="1" applyBorder="1" applyAlignment="1" applyProtection="1">
      <alignment horizontal="left" vertical="center" wrapText="1"/>
    </xf>
    <xf numFmtId="0" fontId="87" fillId="13" borderId="181" xfId="0" applyFont="1" applyFill="1" applyBorder="1" applyAlignment="1" applyProtection="1">
      <alignment horizontal="center" vertical="center" wrapText="1"/>
    </xf>
    <xf numFmtId="0" fontId="85" fillId="124" borderId="7" xfId="0" applyFont="1" applyFill="1" applyBorder="1" applyAlignment="1" applyProtection="1">
      <alignment horizontal="left" vertical="top" wrapText="1" indent="1"/>
    </xf>
    <xf numFmtId="0" fontId="85" fillId="124" borderId="8" xfId="0" applyFont="1" applyFill="1" applyBorder="1" applyAlignment="1" applyProtection="1">
      <alignment horizontal="left" vertical="top" wrapText="1" indent="1"/>
    </xf>
    <xf numFmtId="0" fontId="87" fillId="38" borderId="7" xfId="0" applyFont="1" applyFill="1" applyBorder="1" applyAlignment="1" applyProtection="1">
      <alignment horizontal="center" vertical="center"/>
    </xf>
    <xf numFmtId="176" fontId="114" fillId="4" borderId="7" xfId="0" applyNumberFormat="1" applyFont="1" applyFill="1" applyBorder="1" applyAlignment="1" applyProtection="1">
      <alignment horizontal="center" vertical="center"/>
    </xf>
    <xf numFmtId="0" fontId="87" fillId="11" borderId="7" xfId="0" applyFont="1" applyFill="1" applyBorder="1" applyAlignment="1" applyProtection="1">
      <alignment horizontal="center" vertical="center"/>
    </xf>
    <xf numFmtId="176" fontId="114" fillId="4" borderId="30" xfId="0" applyNumberFormat="1" applyFont="1" applyFill="1" applyBorder="1" applyAlignment="1" applyProtection="1">
      <alignment horizontal="center" vertical="center"/>
    </xf>
    <xf numFmtId="0" fontId="46" fillId="90" borderId="118" xfId="0" applyFont="1" applyFill="1" applyBorder="1" applyAlignment="1" applyProtection="1">
      <alignment horizontal="center" vertical="center" wrapText="1"/>
    </xf>
    <xf numFmtId="0" fontId="85" fillId="4" borderId="31" xfId="0" applyFont="1" applyFill="1" applyBorder="1" applyAlignment="1" applyProtection="1">
      <alignment horizontal="left" vertical="center" wrapText="1"/>
    </xf>
    <xf numFmtId="0" fontId="157" fillId="10" borderId="7" xfId="0" applyFont="1" applyFill="1" applyBorder="1" applyAlignment="1" applyProtection="1">
      <alignment horizontal="center" vertical="center" wrapText="1"/>
    </xf>
    <xf numFmtId="0" fontId="157" fillId="10" borderId="30" xfId="0" applyFont="1" applyFill="1" applyBorder="1" applyAlignment="1" applyProtection="1">
      <alignment horizontal="center" vertical="center" wrapText="1"/>
    </xf>
    <xf numFmtId="0" fontId="85" fillId="122" borderId="338" xfId="0" applyFont="1" applyFill="1" applyBorder="1" applyAlignment="1" applyProtection="1">
      <alignment horizontal="center" vertical="center" wrapText="1"/>
    </xf>
    <xf numFmtId="0" fontId="85" fillId="122" borderId="340" xfId="0" applyFont="1" applyFill="1" applyBorder="1" applyAlignment="1" applyProtection="1">
      <alignment horizontal="center" vertical="center" wrapText="1"/>
    </xf>
    <xf numFmtId="0" fontId="85" fillId="122" borderId="24" xfId="0" applyFont="1" applyFill="1" applyBorder="1" applyAlignment="1" applyProtection="1">
      <alignment horizontal="center" vertical="center" wrapText="1"/>
    </xf>
    <xf numFmtId="0" fontId="85" fillId="122" borderId="0" xfId="0" applyFont="1" applyFill="1" applyAlignment="1" applyProtection="1">
      <alignment horizontal="center" vertical="center" wrapText="1"/>
    </xf>
    <xf numFmtId="0" fontId="85" fillId="122" borderId="0" xfId="0" applyFont="1" applyFill="1" applyBorder="1" applyAlignment="1" applyProtection="1">
      <alignment horizontal="center" vertical="center" wrapText="1"/>
    </xf>
    <xf numFmtId="0" fontId="15" fillId="13" borderId="371" xfId="0" applyFont="1" applyFill="1" applyBorder="1" applyAlignment="1" applyProtection="1">
      <alignment horizontal="center" vertical="center" wrapText="1"/>
    </xf>
    <xf numFmtId="0" fontId="87" fillId="49" borderId="161" xfId="0" applyFont="1" applyFill="1" applyBorder="1" applyAlignment="1" applyProtection="1">
      <alignment horizontal="center" vertical="center"/>
    </xf>
    <xf numFmtId="0" fontId="89" fillId="4" borderId="161" xfId="0" applyFont="1" applyFill="1" applyBorder="1" applyAlignment="1" applyProtection="1">
      <alignment horizontal="center" vertical="center" wrapText="1"/>
    </xf>
    <xf numFmtId="0" fontId="89" fillId="4" borderId="121" xfId="0" applyFont="1" applyFill="1" applyBorder="1" applyAlignment="1" applyProtection="1">
      <alignment horizontal="center" vertical="center" wrapText="1"/>
    </xf>
    <xf numFmtId="0" fontId="125" fillId="13" borderId="161" xfId="0" applyFont="1" applyFill="1" applyBorder="1" applyAlignment="1" applyProtection="1">
      <alignment horizontal="center" vertical="center" wrapText="1"/>
    </xf>
    <xf numFmtId="0" fontId="87" fillId="49" borderId="372" xfId="0" applyFont="1" applyFill="1" applyBorder="1" applyAlignment="1" applyProtection="1">
      <alignment horizontal="center" vertical="center" wrapText="1"/>
    </xf>
    <xf numFmtId="0" fontId="87" fillId="49" borderId="185" xfId="0" applyFont="1" applyFill="1" applyBorder="1" applyAlignment="1" applyProtection="1">
      <alignment horizontal="center" vertical="center" wrapText="1"/>
    </xf>
    <xf numFmtId="0" fontId="150" fillId="4" borderId="185" xfId="0" applyFont="1" applyFill="1" applyBorder="1" applyAlignment="1" applyProtection="1">
      <alignment horizontal="left" vertical="center" wrapText="1"/>
    </xf>
    <xf numFmtId="0" fontId="87" fillId="13" borderId="185" xfId="0" applyFont="1" applyFill="1" applyBorder="1" applyAlignment="1" applyProtection="1">
      <alignment horizontal="center" vertical="center" wrapText="1"/>
    </xf>
    <xf numFmtId="0" fontId="85" fillId="122" borderId="74" xfId="0" applyFont="1" applyFill="1" applyBorder="1" applyAlignment="1" applyProtection="1">
      <alignment horizontal="center" vertical="center" wrapText="1"/>
    </xf>
    <xf numFmtId="0" fontId="85" fillId="122" borderId="170" xfId="0" applyFont="1" applyFill="1" applyBorder="1" applyAlignment="1" applyProtection="1">
      <alignment horizontal="center" vertical="center" wrapText="1"/>
    </xf>
    <xf numFmtId="0" fontId="87" fillId="6" borderId="60" xfId="0" applyFont="1" applyFill="1" applyBorder="1" applyAlignment="1" applyProtection="1">
      <alignment horizontal="center" vertical="center" wrapText="1"/>
    </xf>
    <xf numFmtId="0" fontId="46" fillId="90" borderId="373" xfId="0" applyFont="1" applyFill="1" applyBorder="1" applyAlignment="1" applyProtection="1">
      <alignment horizontal="center" vertical="center" wrapText="1"/>
    </xf>
    <xf numFmtId="0" fontId="85" fillId="4" borderId="97" xfId="0" applyFont="1" applyFill="1" applyBorder="1" applyAlignment="1" applyProtection="1">
      <alignment horizontal="left" vertical="center" wrapText="1"/>
    </xf>
    <xf numFmtId="0" fontId="21" fillId="125" borderId="250" xfId="0" applyFont="1" applyFill="1" applyBorder="1" applyAlignment="1" applyProtection="1">
      <alignment horizontal="center" vertical="center" wrapText="1"/>
    </xf>
    <xf numFmtId="0" fontId="83" fillId="126" borderId="18" xfId="0" applyFont="1" applyFill="1" applyBorder="1" applyAlignment="1" applyProtection="1">
      <alignment horizontal="center" vertical="center"/>
    </xf>
    <xf numFmtId="0" fontId="87" fillId="126" borderId="18" xfId="0" applyFont="1" applyFill="1" applyBorder="1" applyAlignment="1" applyProtection="1">
      <alignment horizontal="center" vertical="center"/>
    </xf>
    <xf numFmtId="0" fontId="114" fillId="4" borderId="351" xfId="0" applyFont="1" applyFill="1" applyBorder="1" applyAlignment="1" applyProtection="1">
      <alignment horizontal="center" vertical="center"/>
    </xf>
    <xf numFmtId="0" fontId="125" fillId="125" borderId="332" xfId="0" applyFont="1" applyFill="1" applyBorder="1" applyAlignment="1" applyProtection="1">
      <alignment horizontal="center" vertical="center" wrapText="1"/>
    </xf>
    <xf numFmtId="0" fontId="83" fillId="126" borderId="180" xfId="0" applyFont="1" applyFill="1" applyBorder="1" applyAlignment="1" applyProtection="1">
      <alignment horizontal="center" vertical="center" wrapText="1"/>
    </xf>
    <xf numFmtId="0" fontId="87" fillId="126" borderId="180" xfId="0" applyFont="1" applyFill="1" applyBorder="1" applyAlignment="1" applyProtection="1">
      <alignment horizontal="center" vertical="center" wrapText="1"/>
    </xf>
    <xf numFmtId="0" fontId="156" fillId="127" borderId="180" xfId="0" applyFont="1" applyFill="1" applyBorder="1" applyAlignment="1" applyProtection="1">
      <alignment horizontal="left" vertical="center" wrapText="1"/>
    </xf>
    <xf numFmtId="0" fontId="156" fillId="127" borderId="369" xfId="0" applyFont="1" applyFill="1" applyBorder="1" applyAlignment="1" applyProtection="1">
      <alignment horizontal="left" vertical="center" wrapText="1"/>
    </xf>
    <xf numFmtId="0" fontId="83" fillId="5" borderId="374" xfId="0" applyFont="1" applyFill="1" applyBorder="1" applyAlignment="1" applyProtection="1">
      <alignment horizontal="center" vertical="center" wrapText="1"/>
    </xf>
    <xf numFmtId="0" fontId="87" fillId="90" borderId="375" xfId="0" applyFont="1" applyFill="1" applyBorder="1" applyAlignment="1" applyProtection="1">
      <alignment horizontal="center" vertical="center"/>
    </xf>
    <xf numFmtId="0" fontId="87" fillId="90" borderId="376" xfId="0" applyFont="1" applyFill="1" applyBorder="1" applyAlignment="1" applyProtection="1">
      <alignment horizontal="center" vertical="center"/>
    </xf>
    <xf numFmtId="0" fontId="87" fillId="90" borderId="377" xfId="0" applyFont="1" applyFill="1" applyBorder="1" applyAlignment="1" applyProtection="1">
      <alignment horizontal="center" vertical="center"/>
    </xf>
    <xf numFmtId="0" fontId="87" fillId="90" borderId="378" xfId="0" applyFont="1" applyFill="1" applyBorder="1" applyAlignment="1" applyProtection="1">
      <alignment horizontal="center" vertical="center"/>
    </xf>
    <xf numFmtId="0" fontId="83" fillId="5" borderId="43" xfId="0" applyFont="1" applyFill="1" applyBorder="1" applyAlignment="1" applyProtection="1">
      <alignment horizontal="center" vertical="center" wrapText="1"/>
    </xf>
    <xf numFmtId="0" fontId="89" fillId="122" borderId="72" xfId="0" applyFont="1" applyFill="1" applyBorder="1" applyAlignment="1" applyProtection="1">
      <alignment horizontal="left" vertical="center"/>
    </xf>
    <xf numFmtId="0" fontId="89" fillId="122" borderId="73" xfId="0" applyFont="1" applyFill="1" applyBorder="1" applyAlignment="1" applyProtection="1">
      <alignment horizontal="left" vertical="center"/>
    </xf>
    <xf numFmtId="0" fontId="85" fillId="4" borderId="24" xfId="0" applyFont="1" applyFill="1" applyBorder="1" applyAlignment="1" applyProtection="1">
      <alignment horizontal="left" vertical="center" wrapText="1"/>
    </xf>
    <xf numFmtId="0" fontId="85" fillId="4" borderId="106" xfId="0" applyFont="1" applyFill="1" applyBorder="1" applyAlignment="1" applyProtection="1">
      <alignment horizontal="left" vertical="center" wrapText="1"/>
    </xf>
    <xf numFmtId="0" fontId="15" fillId="125" borderId="82" xfId="0" applyFont="1" applyFill="1" applyBorder="1" applyAlignment="1" applyProtection="1">
      <alignment horizontal="center" vertical="center" wrapText="1"/>
    </xf>
    <xf numFmtId="0" fontId="87" fillId="126" borderId="7" xfId="0" applyFont="1" applyFill="1" applyBorder="1" applyAlignment="1" applyProtection="1">
      <alignment horizontal="center" vertical="center"/>
    </xf>
    <xf numFmtId="0" fontId="125" fillId="125" borderId="30" xfId="0" applyFont="1" applyFill="1" applyBorder="1" applyAlignment="1" applyProtection="1">
      <alignment horizontal="center" vertical="center" wrapText="1"/>
    </xf>
    <xf numFmtId="0" fontId="87" fillId="126" borderId="181" xfId="0" applyFont="1" applyFill="1" applyBorder="1" applyAlignment="1" applyProtection="1">
      <alignment horizontal="center" vertical="center" wrapText="1"/>
    </xf>
    <xf numFmtId="0" fontId="150" fillId="4" borderId="379" xfId="0" applyFont="1" applyFill="1" applyBorder="1" applyAlignment="1" applyProtection="1">
      <alignment horizontal="left" vertical="center" wrapText="1"/>
    </xf>
    <xf numFmtId="0" fontId="83" fillId="5" borderId="48" xfId="0" applyFont="1" applyFill="1" applyBorder="1" applyAlignment="1" applyProtection="1">
      <alignment horizontal="center" vertical="center" wrapText="1"/>
    </xf>
    <xf numFmtId="0" fontId="89" fillId="122" borderId="380" xfId="0" applyFont="1" applyFill="1" applyBorder="1" applyAlignment="1" applyProtection="1">
      <alignment horizontal="left" vertical="center"/>
    </xf>
    <xf numFmtId="0" fontId="89" fillId="122" borderId="381" xfId="0" applyFont="1" applyFill="1" applyBorder="1" applyAlignment="1" applyProtection="1">
      <alignment horizontal="left" vertical="center"/>
    </xf>
    <xf numFmtId="0" fontId="85" fillId="4" borderId="382" xfId="0" applyFont="1" applyFill="1" applyBorder="1" applyAlignment="1" applyProtection="1">
      <alignment horizontal="left" vertical="center" wrapText="1"/>
    </xf>
    <xf numFmtId="0" fontId="85" fillId="4" borderId="58" xfId="0" applyFont="1" applyFill="1" applyBorder="1" applyAlignment="1" applyProtection="1">
      <alignment horizontal="left" vertical="center" wrapText="1"/>
    </xf>
    <xf numFmtId="0" fontId="85" fillId="4" borderId="383" xfId="0" applyFont="1" applyFill="1" applyBorder="1" applyAlignment="1" applyProtection="1">
      <alignment horizontal="left" vertical="center" wrapText="1"/>
    </xf>
    <xf numFmtId="0" fontId="157" fillId="127" borderId="7" xfId="0" applyFont="1" applyFill="1" applyBorder="1" applyAlignment="1" applyProtection="1">
      <alignment horizontal="center" vertical="center" wrapText="1"/>
    </xf>
    <xf numFmtId="0" fontId="157" fillId="127" borderId="30" xfId="0" applyFont="1" applyFill="1" applyBorder="1" applyAlignment="1" applyProtection="1">
      <alignment horizontal="center" vertical="center" wrapText="1"/>
    </xf>
    <xf numFmtId="0" fontId="89" fillId="122" borderId="78" xfId="0" applyFont="1" applyFill="1" applyBorder="1" applyAlignment="1" applyProtection="1">
      <alignment horizontal="left" vertical="center"/>
    </xf>
    <xf numFmtId="0" fontId="89" fillId="122" borderId="79" xfId="0" applyFont="1" applyFill="1" applyBorder="1" applyAlignment="1" applyProtection="1">
      <alignment horizontal="left" vertical="center"/>
    </xf>
    <xf numFmtId="0" fontId="85" fillId="4" borderId="74" xfId="0" applyFont="1" applyFill="1" applyBorder="1" applyAlignment="1" applyProtection="1">
      <alignment horizontal="left" vertical="center" wrapText="1"/>
    </xf>
    <xf numFmtId="0" fontId="15" fillId="125" borderId="371" xfId="0" applyFont="1" applyFill="1" applyBorder="1" applyAlignment="1" applyProtection="1">
      <alignment horizontal="center" vertical="center" wrapText="1"/>
    </xf>
    <xf numFmtId="0" fontId="87" fillId="126" borderId="161" xfId="0" applyFont="1" applyFill="1" applyBorder="1" applyAlignment="1" applyProtection="1">
      <alignment horizontal="center" vertical="center"/>
    </xf>
    <xf numFmtId="0" fontId="114" fillId="4" borderId="161" xfId="0" applyFont="1" applyFill="1" applyBorder="1" applyAlignment="1" applyProtection="1">
      <alignment horizontal="center" vertical="center" wrapText="1"/>
    </xf>
    <xf numFmtId="0" fontId="114" fillId="4" borderId="121" xfId="0" applyFont="1" applyFill="1" applyBorder="1" applyAlignment="1" applyProtection="1">
      <alignment horizontal="center" vertical="center" wrapText="1"/>
    </xf>
    <xf numFmtId="0" fontId="125" fillId="125" borderId="121" xfId="0" applyFont="1" applyFill="1" applyBorder="1" applyAlignment="1" applyProtection="1">
      <alignment horizontal="center" vertical="center" wrapText="1"/>
    </xf>
    <xf numFmtId="0" fontId="87" fillId="126" borderId="185" xfId="0" applyFont="1" applyFill="1" applyBorder="1" applyAlignment="1" applyProtection="1">
      <alignment horizontal="center" vertical="center" wrapText="1"/>
    </xf>
    <xf numFmtId="0" fontId="150" fillId="4" borderId="384" xfId="0" applyFont="1" applyFill="1" applyBorder="1" applyAlignment="1" applyProtection="1">
      <alignment horizontal="left" vertical="center" wrapText="1"/>
    </xf>
    <xf numFmtId="0" fontId="15" fillId="12" borderId="250" xfId="0" applyFont="1" applyFill="1" applyBorder="1" applyAlignment="1" applyProtection="1">
      <alignment horizontal="center" vertical="center" wrapText="1"/>
    </xf>
    <xf numFmtId="0" fontId="87" fillId="44" borderId="7" xfId="0" applyFont="1" applyFill="1" applyBorder="1" applyAlignment="1" applyProtection="1">
      <alignment horizontal="center" vertical="center"/>
    </xf>
    <xf numFmtId="0" fontId="114" fillId="4" borderId="18" xfId="0" applyFont="1" applyFill="1" applyBorder="1" applyAlignment="1" applyProtection="1">
      <alignment horizontal="center" vertical="center"/>
    </xf>
    <xf numFmtId="0" fontId="125" fillId="12" borderId="332" xfId="0" applyFont="1" applyFill="1" applyBorder="1" applyAlignment="1" applyProtection="1">
      <alignment horizontal="center" vertical="center" wrapText="1"/>
    </xf>
    <xf numFmtId="0" fontId="87" fillId="44" borderId="180" xfId="0" applyFont="1" applyFill="1" applyBorder="1" applyAlignment="1" applyProtection="1">
      <alignment horizontal="center" vertical="center"/>
    </xf>
    <xf numFmtId="0" fontId="85" fillId="9" borderId="180" xfId="0" applyFont="1" applyFill="1" applyBorder="1" applyAlignment="1" applyProtection="1">
      <alignment horizontal="left" vertical="center"/>
    </xf>
    <xf numFmtId="0" fontId="87" fillId="12" borderId="180" xfId="0" applyFont="1" applyFill="1" applyBorder="1" applyAlignment="1" applyProtection="1">
      <alignment horizontal="center" vertical="center" wrapText="1"/>
    </xf>
    <xf numFmtId="0" fontId="85" fillId="4" borderId="108" xfId="0" applyFont="1" applyFill="1" applyBorder="1" applyAlignment="1" applyProtection="1">
      <alignment horizontal="left" vertical="center"/>
    </xf>
    <xf numFmtId="0" fontId="85" fillId="4" borderId="163" xfId="0" applyFont="1" applyFill="1" applyBorder="1" applyAlignment="1" applyProtection="1">
      <alignment horizontal="left" vertical="center"/>
    </xf>
    <xf numFmtId="0" fontId="85" fillId="4" borderId="251" xfId="0" applyFont="1" applyFill="1" applyBorder="1" applyAlignment="1" applyProtection="1">
      <alignment horizontal="left" vertical="center"/>
    </xf>
    <xf numFmtId="0" fontId="15" fillId="12" borderId="82" xfId="0" applyFont="1" applyFill="1" applyBorder="1" applyAlignment="1" applyProtection="1">
      <alignment horizontal="center" vertical="center" wrapText="1"/>
    </xf>
    <xf numFmtId="0" fontId="125" fillId="12" borderId="30" xfId="0" applyFont="1" applyFill="1" applyBorder="1" applyAlignment="1" applyProtection="1">
      <alignment horizontal="center" vertical="center" wrapText="1"/>
    </xf>
    <xf numFmtId="0" fontId="87" fillId="44" borderId="181" xfId="0" applyFont="1" applyFill="1" applyBorder="1" applyAlignment="1" applyProtection="1">
      <alignment horizontal="center" vertical="center"/>
    </xf>
    <xf numFmtId="0" fontId="85" fillId="4" borderId="181" xfId="0" applyFont="1" applyFill="1" applyBorder="1" applyAlignment="1" applyProtection="1">
      <alignment horizontal="left" vertical="center"/>
    </xf>
    <xf numFmtId="0" fontId="87" fillId="12" borderId="181" xfId="0" applyFont="1" applyFill="1" applyBorder="1" applyAlignment="1" applyProtection="1">
      <alignment horizontal="center" vertical="center" wrapText="1"/>
    </xf>
    <xf numFmtId="0" fontId="85" fillId="4" borderId="110" xfId="0" applyFont="1" applyFill="1" applyBorder="1" applyAlignment="1" applyProtection="1">
      <alignment horizontal="left" vertical="center"/>
    </xf>
    <xf numFmtId="0" fontId="85" fillId="4" borderId="7" xfId="0" applyFont="1" applyFill="1" applyBorder="1" applyAlignment="1" applyProtection="1">
      <alignment horizontal="left" vertical="center"/>
    </xf>
    <xf numFmtId="0" fontId="85" fillId="4" borderId="8" xfId="0" applyFont="1" applyFill="1" applyBorder="1" applyAlignment="1" applyProtection="1">
      <alignment horizontal="left" vertical="center"/>
    </xf>
    <xf numFmtId="0" fontId="15" fillId="12" borderId="371" xfId="0" applyFont="1" applyFill="1" applyBorder="1" applyAlignment="1" applyProtection="1">
      <alignment horizontal="center" vertical="center" wrapText="1"/>
    </xf>
    <xf numFmtId="0" fontId="87" fillId="44" borderId="161" xfId="0" applyFont="1" applyFill="1" applyBorder="1" applyAlignment="1" applyProtection="1">
      <alignment horizontal="center" vertical="center"/>
    </xf>
    <xf numFmtId="0" fontId="114" fillId="4" borderId="161" xfId="0" applyFont="1" applyFill="1" applyBorder="1" applyAlignment="1" applyProtection="1">
      <alignment horizontal="center" vertical="center"/>
    </xf>
    <xf numFmtId="0" fontId="114" fillId="4" borderId="121" xfId="0" applyFont="1" applyFill="1" applyBorder="1" applyAlignment="1" applyProtection="1">
      <alignment horizontal="center" vertical="center"/>
    </xf>
    <xf numFmtId="0" fontId="125" fillId="12" borderId="121" xfId="0" applyFont="1" applyFill="1" applyBorder="1" applyAlignment="1" applyProtection="1">
      <alignment horizontal="center" vertical="center" wrapText="1"/>
    </xf>
    <xf numFmtId="0" fontId="87" fillId="44" borderId="185" xfId="0" applyFont="1" applyFill="1" applyBorder="1" applyAlignment="1" applyProtection="1">
      <alignment horizontal="center" vertical="center"/>
    </xf>
    <xf numFmtId="0" fontId="114" fillId="4" borderId="185" xfId="0" applyFont="1" applyFill="1" applyBorder="1" applyAlignment="1" applyProtection="1">
      <alignment horizontal="left" vertical="center"/>
    </xf>
    <xf numFmtId="0" fontId="87" fillId="12" borderId="185" xfId="0" applyFont="1" applyFill="1" applyBorder="1" applyAlignment="1" applyProtection="1">
      <alignment horizontal="center" vertical="center" wrapText="1"/>
    </xf>
    <xf numFmtId="0" fontId="85" fillId="4" borderId="260" xfId="0" applyFont="1" applyFill="1" applyBorder="1" applyAlignment="1" applyProtection="1">
      <alignment horizontal="left" vertical="center"/>
    </xf>
    <xf numFmtId="0" fontId="85" fillId="4" borderId="35" xfId="0" applyFont="1" applyFill="1" applyBorder="1" applyAlignment="1" applyProtection="1">
      <alignment horizontal="left" vertical="center"/>
    </xf>
    <xf numFmtId="0" fontId="85" fillId="4" borderId="216" xfId="0" applyFont="1" applyFill="1" applyBorder="1" applyAlignment="1" applyProtection="1">
      <alignment horizontal="left" vertical="center"/>
    </xf>
    <xf numFmtId="0" fontId="15" fillId="128" borderId="28" xfId="0" applyFont="1" applyFill="1" applyBorder="1" applyAlignment="1" applyProtection="1">
      <alignment horizontal="center" vertical="center" wrapText="1"/>
    </xf>
    <xf numFmtId="0" fontId="83" fillId="88" borderId="111" xfId="0" applyFont="1" applyFill="1" applyBorder="1" applyAlignment="1" applyProtection="1">
      <alignment horizontal="center" vertical="center"/>
    </xf>
    <xf numFmtId="0" fontId="87" fillId="88" borderId="18" xfId="0" applyFont="1" applyFill="1" applyBorder="1" applyAlignment="1" applyProtection="1">
      <alignment horizontal="center" vertical="center"/>
    </xf>
    <xf numFmtId="0" fontId="114" fillId="4" borderId="332" xfId="0" applyFont="1" applyFill="1" applyBorder="1" applyAlignment="1" applyProtection="1">
      <alignment horizontal="center" vertical="center" wrapText="1"/>
    </xf>
    <xf numFmtId="0" fontId="114" fillId="4" borderId="351" xfId="0" applyFont="1" applyFill="1" applyBorder="1" applyAlignment="1" applyProtection="1">
      <alignment horizontal="center" vertical="center" wrapText="1"/>
    </xf>
    <xf numFmtId="0" fontId="125" fillId="128" borderId="24" xfId="0" applyFont="1" applyFill="1" applyBorder="1" applyAlignment="1" applyProtection="1">
      <alignment horizontal="center" vertical="center" wrapText="1"/>
    </xf>
    <xf numFmtId="0" fontId="87" fillId="88" borderId="180" xfId="0" applyFont="1" applyFill="1" applyBorder="1" applyAlignment="1" applyProtection="1">
      <alignment horizontal="center" vertical="center" wrapText="1"/>
    </xf>
    <xf numFmtId="0" fontId="85" fillId="129" borderId="180" xfId="0" applyFont="1" applyFill="1" applyBorder="1" applyAlignment="1" applyProtection="1">
      <alignment horizontal="left" vertical="center" wrapText="1"/>
    </xf>
    <xf numFmtId="0" fontId="85" fillId="129" borderId="369" xfId="0" applyFont="1" applyFill="1" applyBorder="1" applyAlignment="1" applyProtection="1">
      <alignment horizontal="left" vertical="center" wrapText="1"/>
    </xf>
    <xf numFmtId="0" fontId="87" fillId="88" borderId="22" xfId="0" applyFont="1" applyFill="1" applyBorder="1" applyAlignment="1" applyProtection="1">
      <alignment horizontal="center" vertical="center"/>
    </xf>
    <xf numFmtId="0" fontId="87" fillId="88" borderId="7" xfId="0" applyFont="1" applyFill="1" applyBorder="1" applyAlignment="1" applyProtection="1">
      <alignment horizontal="center" vertical="center"/>
    </xf>
    <xf numFmtId="0" fontId="114" fillId="4" borderId="4" xfId="0" applyFont="1" applyFill="1" applyBorder="1" applyAlignment="1" applyProtection="1">
      <alignment horizontal="center" vertical="center" wrapText="1"/>
    </xf>
    <xf numFmtId="0" fontId="87" fillId="88" borderId="181" xfId="0" applyFont="1" applyFill="1" applyBorder="1" applyAlignment="1" applyProtection="1">
      <alignment horizontal="center" vertical="center" wrapText="1"/>
    </xf>
    <xf numFmtId="0" fontId="85" fillId="4" borderId="181" xfId="0" applyFont="1" applyFill="1" applyBorder="1" applyAlignment="1" applyProtection="1">
      <alignment horizontal="left" vertical="center" wrapText="1"/>
    </xf>
    <xf numFmtId="0" fontId="85" fillId="4" borderId="379" xfId="0" applyFont="1" applyFill="1" applyBorder="1" applyAlignment="1" applyProtection="1">
      <alignment horizontal="left" vertical="center" wrapText="1"/>
    </xf>
    <xf numFmtId="0" fontId="83" fillId="5" borderId="385" xfId="0" applyFont="1" applyFill="1" applyBorder="1" applyAlignment="1" applyProtection="1">
      <alignment horizontal="center" vertical="center" wrapText="1"/>
    </xf>
    <xf numFmtId="0" fontId="87" fillId="90" borderId="386" xfId="0" applyFont="1" applyFill="1" applyBorder="1" applyAlignment="1" applyProtection="1">
      <alignment horizontal="center" vertical="center"/>
    </xf>
    <xf numFmtId="0" fontId="157" fillId="129" borderId="7" xfId="0" applyFont="1" applyFill="1" applyBorder="1" applyAlignment="1" applyProtection="1">
      <alignment horizontal="center" vertical="center" wrapText="1"/>
    </xf>
    <xf numFmtId="0" fontId="157" fillId="129" borderId="30" xfId="0" applyFont="1" applyFill="1" applyBorder="1" applyAlignment="1" applyProtection="1">
      <alignment horizontal="center" vertical="center" wrapText="1"/>
    </xf>
    <xf numFmtId="0" fontId="85" fillId="4" borderId="277" xfId="0" applyFont="1" applyFill="1" applyBorder="1" applyAlignment="1" applyProtection="1">
      <alignment horizontal="left" vertical="center" wrapText="1"/>
    </xf>
    <xf numFmtId="0" fontId="85" fillId="4" borderId="387" xfId="0" applyFont="1" applyFill="1" applyBorder="1" applyAlignment="1" applyProtection="1">
      <alignment horizontal="left" vertical="center" wrapText="1"/>
    </xf>
    <xf numFmtId="0" fontId="85" fillId="4" borderId="173" xfId="0" applyFont="1" applyFill="1" applyBorder="1" applyAlignment="1" applyProtection="1">
      <alignment horizontal="left" vertical="center" wrapText="1"/>
    </xf>
    <xf numFmtId="0" fontId="85" fillId="4" borderId="275" xfId="0" applyFont="1" applyFill="1" applyBorder="1" applyAlignment="1" applyProtection="1">
      <alignment horizontal="left" vertical="center" wrapText="1"/>
    </xf>
    <xf numFmtId="0" fontId="15" fillId="128" borderId="144" xfId="0" applyFont="1" applyFill="1" applyBorder="1" applyAlignment="1" applyProtection="1">
      <alignment horizontal="center" vertical="center" wrapText="1"/>
    </xf>
    <xf numFmtId="0" fontId="87" fillId="88" borderId="105" xfId="0" applyFont="1" applyFill="1" applyBorder="1" applyAlignment="1" applyProtection="1">
      <alignment horizontal="center" vertical="center"/>
    </xf>
    <xf numFmtId="0" fontId="87" fillId="88" borderId="11" xfId="0" applyFont="1" applyFill="1" applyBorder="1" applyAlignment="1" applyProtection="1">
      <alignment horizontal="center" vertical="center"/>
    </xf>
    <xf numFmtId="0" fontId="114" fillId="4" borderId="266" xfId="0" applyFont="1" applyFill="1" applyBorder="1" applyAlignment="1" applyProtection="1">
      <alignment horizontal="center" vertical="center" wrapText="1"/>
    </xf>
    <xf numFmtId="0" fontId="114" fillId="4" borderId="10" xfId="0" applyFont="1" applyFill="1" applyBorder="1" applyAlignment="1" applyProtection="1">
      <alignment horizontal="center" vertical="center" wrapText="1"/>
    </xf>
    <xf numFmtId="0" fontId="125" fillId="128" borderId="388" xfId="0" applyFont="1" applyFill="1" applyBorder="1" applyAlignment="1" applyProtection="1">
      <alignment horizontal="center" vertical="center" wrapText="1"/>
    </xf>
    <xf numFmtId="0" fontId="87" fillId="88" borderId="389" xfId="0" applyFont="1" applyFill="1" applyBorder="1" applyAlignment="1" applyProtection="1">
      <alignment horizontal="center" vertical="center" wrapText="1"/>
    </xf>
    <xf numFmtId="0" fontId="85" fillId="4" borderId="389" xfId="0" applyFont="1" applyFill="1" applyBorder="1" applyAlignment="1" applyProtection="1">
      <alignment horizontal="left" vertical="center" wrapText="1"/>
    </xf>
    <xf numFmtId="0" fontId="85" fillId="4" borderId="390" xfId="0" applyFont="1" applyFill="1" applyBorder="1" applyAlignment="1" applyProtection="1">
      <alignment horizontal="left" vertical="center" wrapText="1"/>
    </xf>
    <xf numFmtId="0" fontId="87" fillId="5" borderId="391" xfId="0" applyFont="1" applyFill="1" applyBorder="1" applyAlignment="1" applyProtection="1">
      <alignment horizontal="center" vertical="center" wrapText="1"/>
    </xf>
    <xf numFmtId="0" fontId="83" fillId="5" borderId="392" xfId="0" applyFont="1" applyFill="1" applyBorder="1" applyAlignment="1" applyProtection="1">
      <alignment horizontal="center" vertical="center" wrapText="1"/>
    </xf>
    <xf numFmtId="0" fontId="89" fillId="122" borderId="393" xfId="0" applyFont="1" applyFill="1" applyBorder="1" applyAlignment="1" applyProtection="1">
      <alignment horizontal="left" vertical="center"/>
    </xf>
    <xf numFmtId="0" fontId="89" fillId="122" borderId="394" xfId="0" applyFont="1" applyFill="1" applyBorder="1" applyAlignment="1" applyProtection="1">
      <alignment horizontal="left" vertical="center"/>
    </xf>
    <xf numFmtId="0" fontId="85" fillId="4" borderId="395" xfId="0" applyFont="1" applyFill="1" applyBorder="1" applyAlignment="1" applyProtection="1">
      <alignment horizontal="left" vertical="center" wrapText="1"/>
    </xf>
    <xf numFmtId="0" fontId="85" fillId="4" borderId="396" xfId="0" applyFont="1" applyFill="1" applyBorder="1" applyAlignment="1" applyProtection="1">
      <alignment horizontal="left" vertical="center" wrapText="1"/>
    </xf>
    <xf numFmtId="0" fontId="85" fillId="4" borderId="143" xfId="0" applyFont="1" applyFill="1" applyBorder="1" applyAlignment="1" applyProtection="1">
      <alignment horizontal="left" vertical="center" wrapText="1"/>
    </xf>
    <xf numFmtId="0" fontId="85" fillId="4" borderId="397" xfId="0" applyFont="1" applyFill="1" applyBorder="1" applyAlignment="1" applyProtection="1">
      <alignment horizontal="left" vertical="center" wrapText="1"/>
    </xf>
    <xf numFmtId="0" fontId="158" fillId="24" borderId="0" xfId="0" applyFont="1" applyFill="1" applyProtection="1">
      <alignment vertical="center"/>
    </xf>
    <xf numFmtId="0" fontId="41" fillId="25" borderId="135" xfId="0" applyFont="1" applyFill="1" applyBorder="1" applyProtection="1">
      <alignment vertical="center"/>
    </xf>
    <xf numFmtId="0" fontId="41" fillId="25" borderId="136" xfId="0" applyFont="1" applyFill="1" applyBorder="1" applyProtection="1">
      <alignment vertical="center"/>
    </xf>
    <xf numFmtId="0" fontId="159" fillId="25" borderId="136" xfId="0" applyFont="1" applyFill="1" applyBorder="1" applyAlignment="1" applyProtection="1">
      <alignment horizontal="center" vertical="center"/>
    </xf>
    <xf numFmtId="0" fontId="41" fillId="25" borderId="136" xfId="0" applyFont="1" applyFill="1" applyBorder="1" applyAlignment="1" applyProtection="1">
      <alignment horizontal="center" vertical="center"/>
    </xf>
    <xf numFmtId="0" fontId="46" fillId="25" borderId="398" xfId="0" applyFont="1" applyFill="1" applyBorder="1" applyAlignment="1" applyProtection="1">
      <alignment horizontal="center" vertical="center"/>
    </xf>
    <xf numFmtId="0" fontId="88" fillId="25" borderId="378" xfId="0" applyFont="1" applyFill="1" applyBorder="1" applyAlignment="1" applyProtection="1">
      <alignment horizontal="center" vertical="center"/>
    </xf>
    <xf numFmtId="0" fontId="41" fillId="25" borderId="399" xfId="0" applyFont="1" applyFill="1" applyBorder="1" applyAlignment="1" applyProtection="1">
      <alignment horizontal="center" vertical="center"/>
    </xf>
    <xf numFmtId="0" fontId="41" fillId="25" borderId="400" xfId="0" applyFont="1" applyFill="1" applyBorder="1" applyAlignment="1" applyProtection="1">
      <alignment horizontal="center" vertical="center"/>
    </xf>
    <xf numFmtId="0" fontId="41" fillId="5" borderId="82" xfId="0" applyFont="1" applyFill="1" applyBorder="1" applyAlignment="1" applyProtection="1">
      <alignment horizontal="center" vertical="center"/>
    </xf>
    <xf numFmtId="0" fontId="41" fillId="5" borderId="7" xfId="0" applyFont="1" applyFill="1" applyBorder="1" applyAlignment="1" applyProtection="1">
      <alignment horizontal="center" vertical="center"/>
    </xf>
    <xf numFmtId="0" fontId="41" fillId="5" borderId="8" xfId="0" applyFont="1" applyFill="1" applyBorder="1" applyAlignment="1" applyProtection="1">
      <alignment horizontal="center" vertical="center"/>
    </xf>
    <xf numFmtId="0" fontId="41" fillId="25" borderId="257" xfId="0" applyFont="1" applyFill="1" applyBorder="1" applyProtection="1">
      <alignment vertical="center"/>
    </xf>
    <xf numFmtId="0" fontId="41" fillId="25" borderId="170" xfId="0" applyFont="1" applyFill="1" applyBorder="1" applyProtection="1">
      <alignment vertical="center"/>
    </xf>
    <xf numFmtId="0" fontId="41" fillId="25" borderId="170" xfId="0" applyFont="1" applyFill="1" applyBorder="1" applyAlignment="1" applyProtection="1">
      <alignment horizontal="center" vertical="center"/>
    </xf>
    <xf numFmtId="0" fontId="46" fillId="25" borderId="401" xfId="0" applyFont="1" applyFill="1" applyBorder="1" applyAlignment="1" applyProtection="1">
      <alignment horizontal="center" vertical="center"/>
    </xf>
    <xf numFmtId="0" fontId="88" fillId="25" borderId="170" xfId="0" applyFont="1" applyFill="1" applyBorder="1" applyAlignment="1" applyProtection="1">
      <alignment horizontal="center" vertical="center"/>
    </xf>
    <xf numFmtId="0" fontId="41" fillId="25" borderId="31" xfId="0" applyFont="1" applyFill="1" applyBorder="1" applyAlignment="1" applyProtection="1">
      <alignment horizontal="center" vertical="center"/>
    </xf>
    <xf numFmtId="0" fontId="41" fillId="25" borderId="289" xfId="0" applyFont="1" applyFill="1" applyBorder="1" applyAlignment="1" applyProtection="1">
      <alignment horizontal="center" vertical="center"/>
    </xf>
    <xf numFmtId="0" fontId="83" fillId="84" borderId="76" xfId="0" applyFont="1" applyFill="1" applyBorder="1" applyAlignment="1" applyProtection="1">
      <alignment horizontal="center" vertical="center" wrapText="1"/>
    </xf>
    <xf numFmtId="0" fontId="87" fillId="90" borderId="5" xfId="0" applyFont="1" applyFill="1" applyBorder="1" applyAlignment="1" applyProtection="1">
      <alignment horizontal="left" vertical="center"/>
    </xf>
    <xf numFmtId="0" fontId="87" fillId="90" borderId="6" xfId="0" applyFont="1" applyFill="1" applyBorder="1" applyAlignment="1" applyProtection="1">
      <alignment horizontal="left" vertical="center"/>
    </xf>
    <xf numFmtId="0" fontId="87" fillId="90" borderId="338" xfId="0" applyFont="1" applyFill="1" applyBorder="1" applyAlignment="1" applyProtection="1">
      <alignment horizontal="center" vertical="center"/>
    </xf>
    <xf numFmtId="0" fontId="87" fillId="90" borderId="340" xfId="0" applyFont="1" applyFill="1" applyBorder="1" applyAlignment="1" applyProtection="1">
      <alignment horizontal="center" vertical="center"/>
    </xf>
    <xf numFmtId="0" fontId="87" fillId="90" borderId="30" xfId="0" applyFont="1" applyFill="1" applyBorder="1" applyAlignment="1" applyProtection="1">
      <alignment horizontal="center" vertical="center"/>
    </xf>
    <xf numFmtId="0" fontId="87" fillId="90" borderId="4" xfId="0" applyFont="1" applyFill="1" applyBorder="1" applyAlignment="1" applyProtection="1">
      <alignment horizontal="center" vertical="center"/>
    </xf>
    <xf numFmtId="0" fontId="87" fillId="90" borderId="402" xfId="0" applyFont="1" applyFill="1" applyBorder="1" applyAlignment="1" applyProtection="1">
      <alignment horizontal="center" vertical="center"/>
    </xf>
    <xf numFmtId="0" fontId="83" fillId="14" borderId="235" xfId="0" applyFont="1" applyFill="1" applyBorder="1" applyAlignment="1" applyProtection="1">
      <alignment horizontal="center" vertical="center"/>
    </xf>
    <xf numFmtId="0" fontId="83" fillId="14" borderId="205" xfId="0" applyFont="1" applyFill="1" applyBorder="1" applyAlignment="1" applyProtection="1">
      <alignment horizontal="center" vertical="center"/>
    </xf>
    <xf numFmtId="0" fontId="83" fillId="14" borderId="80" xfId="0" applyFont="1" applyFill="1" applyBorder="1" applyAlignment="1" applyProtection="1">
      <alignment horizontal="center" vertical="center"/>
    </xf>
    <xf numFmtId="0" fontId="83" fillId="14" borderId="78" xfId="0" applyFont="1" applyFill="1" applyBorder="1" applyAlignment="1" applyProtection="1">
      <alignment horizontal="center" vertical="center"/>
    </xf>
    <xf numFmtId="0" fontId="87" fillId="14" borderId="205" xfId="0" applyFont="1" applyFill="1" applyBorder="1" applyAlignment="1" applyProtection="1">
      <alignment horizontal="center" vertical="center"/>
    </xf>
    <xf numFmtId="0" fontId="87" fillId="14" borderId="78" xfId="0" applyFont="1" applyFill="1" applyBorder="1" applyAlignment="1" applyProtection="1">
      <alignment horizontal="center" vertical="center"/>
    </xf>
    <xf numFmtId="0" fontId="83" fillId="14" borderId="236" xfId="0" applyFont="1" applyFill="1" applyBorder="1" applyAlignment="1" applyProtection="1">
      <alignment horizontal="center" vertical="center"/>
    </xf>
    <xf numFmtId="0" fontId="87" fillId="84" borderId="82" xfId="0" applyFont="1" applyFill="1" applyBorder="1" applyAlignment="1" applyProtection="1">
      <alignment horizontal="center" vertical="center" wrapText="1"/>
    </xf>
    <xf numFmtId="0" fontId="85" fillId="122" borderId="7" xfId="0" applyFont="1" applyFill="1" applyBorder="1" applyAlignment="1" applyProtection="1">
      <alignment horizontal="left" vertical="top" wrapText="1" indent="1"/>
    </xf>
    <xf numFmtId="0" fontId="85" fillId="122" borderId="8" xfId="0" applyFont="1" applyFill="1" applyBorder="1" applyAlignment="1" applyProtection="1">
      <alignment horizontal="left" vertical="top" wrapText="1" indent="1"/>
    </xf>
    <xf numFmtId="0" fontId="85" fillId="122" borderId="338" xfId="0" applyFont="1" applyFill="1" applyBorder="1" applyAlignment="1" applyProtection="1">
      <alignment horizontal="center" vertical="top" wrapText="1"/>
    </xf>
    <xf numFmtId="0" fontId="85" fillId="122" borderId="340" xfId="0" applyFont="1" applyFill="1" applyBorder="1" applyAlignment="1" applyProtection="1">
      <alignment horizontal="center" vertical="top" wrapText="1"/>
    </xf>
    <xf numFmtId="0" fontId="85" fillId="122" borderId="25" xfId="0" applyFont="1" applyFill="1" applyBorder="1" applyAlignment="1" applyProtection="1">
      <alignment horizontal="center" vertical="top" wrapText="1"/>
    </xf>
    <xf numFmtId="0" fontId="89" fillId="4" borderId="338" xfId="0" applyFont="1" applyFill="1" applyBorder="1" applyAlignment="1" applyProtection="1">
      <alignment horizontal="left" vertical="center" wrapText="1"/>
    </xf>
    <xf numFmtId="0" fontId="89" fillId="4" borderId="340" xfId="0" applyFont="1" applyFill="1" applyBorder="1" applyAlignment="1" applyProtection="1">
      <alignment horizontal="left" vertical="center" wrapText="1"/>
    </xf>
    <xf numFmtId="0" fontId="89" fillId="4" borderId="403" xfId="0" applyFont="1" applyFill="1" applyBorder="1" applyAlignment="1" applyProtection="1">
      <alignment horizontal="left" vertical="center" wrapText="1"/>
    </xf>
    <xf numFmtId="0" fontId="85" fillId="122" borderId="261" xfId="0" applyFont="1" applyFill="1" applyBorder="1" applyAlignment="1" applyProtection="1">
      <alignment horizontal="center" vertical="center" wrapText="1"/>
    </xf>
    <xf numFmtId="0" fontId="85" fillId="122" borderId="387" xfId="0" applyFont="1" applyFill="1" applyBorder="1" applyAlignment="1" applyProtection="1">
      <alignment horizontal="center" vertical="center" wrapText="1"/>
    </xf>
    <xf numFmtId="0" fontId="85" fillId="0" borderId="277" xfId="0" applyFont="1" applyFill="1" applyBorder="1" applyAlignment="1" applyProtection="1">
      <alignment horizontal="center" vertical="center" wrapText="1"/>
    </xf>
    <xf numFmtId="0" fontId="85" fillId="0" borderId="173" xfId="0" applyFont="1" applyFill="1" applyBorder="1" applyAlignment="1" applyProtection="1">
      <alignment horizontal="center" vertical="center" wrapText="1"/>
    </xf>
    <xf numFmtId="0" fontId="85" fillId="0" borderId="387" xfId="0" applyFont="1" applyFill="1" applyBorder="1" applyAlignment="1" applyProtection="1">
      <alignment horizontal="center" vertical="center" wrapText="1"/>
    </xf>
    <xf numFmtId="0" fontId="85" fillId="4" borderId="277" xfId="0" applyFont="1" applyFill="1" applyBorder="1" applyAlignment="1" applyProtection="1">
      <alignment horizontal="center" vertical="center" wrapText="1"/>
    </xf>
    <xf numFmtId="0" fontId="85" fillId="4" borderId="173" xfId="0" applyFont="1" applyFill="1" applyBorder="1" applyAlignment="1" applyProtection="1">
      <alignment horizontal="center" vertical="center" wrapText="1"/>
    </xf>
    <xf numFmtId="0" fontId="85" fillId="4" borderId="387" xfId="0" applyFont="1" applyFill="1" applyBorder="1" applyAlignment="1" applyProtection="1">
      <alignment horizontal="center" vertical="center" wrapText="1"/>
    </xf>
    <xf numFmtId="0" fontId="85" fillId="4" borderId="275" xfId="0" applyFont="1" applyFill="1" applyBorder="1" applyAlignment="1" applyProtection="1">
      <alignment horizontal="center" vertical="center" wrapText="1"/>
    </xf>
    <xf numFmtId="0" fontId="85" fillId="122" borderId="24" xfId="0" applyFont="1" applyFill="1" applyBorder="1" applyAlignment="1" applyProtection="1">
      <alignment horizontal="center" vertical="top" wrapText="1"/>
    </xf>
    <xf numFmtId="0" fontId="85" fillId="122" borderId="0" xfId="0" applyFont="1" applyFill="1" applyAlignment="1" applyProtection="1">
      <alignment horizontal="center" vertical="top" wrapText="1"/>
    </xf>
    <xf numFmtId="0" fontId="85" fillId="122" borderId="23" xfId="0" applyFont="1" applyFill="1" applyBorder="1" applyAlignment="1" applyProtection="1">
      <alignment horizontal="center" vertical="top" wrapText="1"/>
    </xf>
    <xf numFmtId="0" fontId="89" fillId="4" borderId="24" xfId="0" applyFont="1" applyFill="1" applyBorder="1" applyAlignment="1" applyProtection="1">
      <alignment horizontal="left" vertical="center" wrapText="1"/>
    </xf>
    <xf numFmtId="0" fontId="89" fillId="4" borderId="0" xfId="0" applyFont="1" applyFill="1" applyAlignment="1" applyProtection="1">
      <alignment horizontal="left" vertical="center" wrapText="1"/>
    </xf>
    <xf numFmtId="0" fontId="89" fillId="4" borderId="106" xfId="0" applyFont="1" applyFill="1" applyBorder="1" applyAlignment="1" applyProtection="1">
      <alignment horizontal="left" vertical="center" wrapText="1"/>
    </xf>
    <xf numFmtId="0" fontId="85" fillId="122" borderId="28" xfId="0" applyFont="1" applyFill="1" applyBorder="1" applyAlignment="1" applyProtection="1">
      <alignment horizontal="center" vertical="center" wrapText="1"/>
    </xf>
    <xf numFmtId="0" fontId="85" fillId="122" borderId="23" xfId="0" applyFont="1" applyFill="1" applyBorder="1" applyAlignment="1" applyProtection="1">
      <alignment horizontal="center" vertical="center" wrapText="1"/>
    </xf>
    <xf numFmtId="0" fontId="85" fillId="0" borderId="24" xfId="0" applyFont="1" applyFill="1" applyBorder="1" applyAlignment="1" applyProtection="1">
      <alignment horizontal="center" vertical="center" wrapText="1"/>
    </xf>
    <xf numFmtId="0" fontId="85" fillId="0" borderId="0" xfId="0" applyFont="1" applyFill="1" applyAlignment="1" applyProtection="1">
      <alignment horizontal="center" vertical="center" wrapText="1"/>
    </xf>
    <xf numFmtId="0" fontId="85" fillId="0" borderId="23" xfId="0" applyFont="1" applyFill="1" applyBorder="1" applyAlignment="1" applyProtection="1">
      <alignment horizontal="center" vertical="center" wrapText="1"/>
    </xf>
    <xf numFmtId="0" fontId="85" fillId="4" borderId="24" xfId="0" applyFont="1" applyFill="1" applyBorder="1" applyAlignment="1" applyProtection="1">
      <alignment horizontal="center" vertical="center" wrapText="1"/>
    </xf>
    <xf numFmtId="0" fontId="85" fillId="4" borderId="0" xfId="0" applyFont="1" applyFill="1" applyAlignment="1" applyProtection="1">
      <alignment horizontal="center" vertical="center" wrapText="1"/>
    </xf>
    <xf numFmtId="0" fontId="85" fillId="4" borderId="23" xfId="0" applyFont="1" applyFill="1" applyBorder="1" applyAlignment="1" applyProtection="1">
      <alignment horizontal="center" vertical="center" wrapText="1"/>
    </xf>
    <xf numFmtId="0" fontId="85" fillId="4" borderId="106" xfId="0" applyFont="1" applyFill="1" applyBorder="1" applyAlignment="1" applyProtection="1">
      <alignment horizontal="center" vertical="center" wrapText="1"/>
    </xf>
    <xf numFmtId="0" fontId="85" fillId="122" borderId="257" xfId="0" applyFont="1" applyFill="1" applyBorder="1" applyAlignment="1" applyProtection="1">
      <alignment horizontal="center" vertical="center" wrapText="1"/>
    </xf>
    <xf numFmtId="0" fontId="85" fillId="122" borderId="72" xfId="0" applyFont="1" applyFill="1" applyBorder="1" applyAlignment="1" applyProtection="1">
      <alignment horizontal="center" vertical="center" wrapText="1"/>
    </xf>
    <xf numFmtId="0" fontId="85" fillId="0" borderId="74" xfId="0" applyFont="1" applyFill="1" applyBorder="1" applyAlignment="1" applyProtection="1">
      <alignment horizontal="center" vertical="center" wrapText="1"/>
    </xf>
    <xf numFmtId="0" fontId="85" fillId="0" borderId="170" xfId="0" applyFont="1" applyFill="1" applyBorder="1" applyAlignment="1" applyProtection="1">
      <alignment horizontal="center" vertical="center" wrapText="1"/>
    </xf>
    <xf numFmtId="0" fontId="85" fillId="0" borderId="72" xfId="0" applyFont="1" applyFill="1" applyBorder="1" applyAlignment="1" applyProtection="1">
      <alignment horizontal="center" vertical="center" wrapText="1"/>
    </xf>
    <xf numFmtId="0" fontId="85" fillId="4" borderId="74" xfId="0" applyFont="1" applyFill="1" applyBorder="1" applyAlignment="1" applyProtection="1">
      <alignment horizontal="center" vertical="center" wrapText="1"/>
    </xf>
    <xf numFmtId="0" fontId="85" fillId="4" borderId="170" xfId="0" applyFont="1" applyFill="1" applyBorder="1" applyAlignment="1" applyProtection="1">
      <alignment horizontal="center" vertical="center" wrapText="1"/>
    </xf>
    <xf numFmtId="0" fontId="85" fillId="4" borderId="72" xfId="0" applyFont="1" applyFill="1" applyBorder="1" applyAlignment="1" applyProtection="1">
      <alignment horizontal="center" vertical="center" wrapText="1"/>
    </xf>
    <xf numFmtId="0" fontId="85" fillId="4" borderId="213" xfId="0" applyFont="1" applyFill="1" applyBorder="1" applyAlignment="1" applyProtection="1">
      <alignment horizontal="center" vertical="center" wrapText="1"/>
    </xf>
    <xf numFmtId="0" fontId="87" fillId="90" borderId="7" xfId="0" applyFont="1" applyFill="1" applyBorder="1" applyAlignment="1" applyProtection="1">
      <alignment horizontal="left" vertical="center"/>
    </xf>
    <xf numFmtId="0" fontId="87" fillId="90" borderId="8" xfId="0" applyFont="1" applyFill="1" applyBorder="1" applyAlignment="1" applyProtection="1">
      <alignment horizontal="left" vertical="center"/>
    </xf>
    <xf numFmtId="0" fontId="85" fillId="122" borderId="0" xfId="0" applyFont="1" applyFill="1" applyBorder="1" applyAlignment="1" applyProtection="1">
      <alignment horizontal="center" vertical="top" wrapText="1"/>
    </xf>
    <xf numFmtId="0" fontId="85" fillId="122" borderId="30" xfId="0" applyFont="1" applyFill="1" applyBorder="1" applyAlignment="1" applyProtection="1">
      <alignment horizontal="left" vertical="top" wrapText="1" indent="1"/>
    </xf>
    <xf numFmtId="0" fontId="83" fillId="5" borderId="45" xfId="0" applyFont="1" applyFill="1" applyBorder="1" applyAlignment="1" applyProtection="1">
      <alignment horizontal="center" vertical="center"/>
    </xf>
    <xf numFmtId="0" fontId="83" fillId="5" borderId="39" xfId="0" applyFont="1" applyFill="1" applyBorder="1" applyAlignment="1" applyProtection="1">
      <alignment horizontal="center" vertical="center"/>
    </xf>
    <xf numFmtId="0" fontId="83" fillId="130" borderId="39" xfId="0" applyFont="1" applyFill="1" applyBorder="1" applyAlignment="1" applyProtection="1">
      <alignment horizontal="center" vertical="center"/>
    </xf>
    <xf numFmtId="182" fontId="92" fillId="61" borderId="149" xfId="0" applyNumberFormat="1" applyFont="1" applyFill="1" applyBorder="1" applyAlignment="1" applyProtection="1">
      <alignment horizontal="center" vertical="center"/>
    </xf>
    <xf numFmtId="182" fontId="92" fillId="61" borderId="195" xfId="0" applyNumberFormat="1" applyFont="1" applyFill="1" applyBorder="1" applyAlignment="1" applyProtection="1">
      <alignment horizontal="center" vertical="center"/>
    </xf>
    <xf numFmtId="182" fontId="92" fillId="61" borderId="45" xfId="0" applyNumberFormat="1" applyFont="1" applyFill="1" applyBorder="1" applyAlignment="1" applyProtection="1">
      <alignment horizontal="center" vertical="center"/>
    </xf>
    <xf numFmtId="182" fontId="92" fillId="61" borderId="99" xfId="0" applyNumberFormat="1" applyFont="1" applyFill="1" applyBorder="1" applyAlignment="1" applyProtection="1">
      <alignment horizontal="center" vertical="center"/>
    </xf>
    <xf numFmtId="0" fontId="87" fillId="90" borderId="210" xfId="0" applyFont="1" applyFill="1" applyBorder="1" applyAlignment="1" applyProtection="1">
      <alignment horizontal="center" vertical="center"/>
    </xf>
    <xf numFmtId="0" fontId="87" fillId="90" borderId="72" xfId="0" applyFont="1" applyFill="1" applyBorder="1" applyAlignment="1" applyProtection="1">
      <alignment horizontal="center" vertical="center"/>
    </xf>
    <xf numFmtId="0" fontId="87" fillId="90" borderId="74" xfId="0" applyFont="1" applyFill="1" applyBorder="1" applyAlignment="1" applyProtection="1">
      <alignment horizontal="center" vertical="center"/>
    </xf>
    <xf numFmtId="0" fontId="87" fillId="90" borderId="170" xfId="0" applyFont="1" applyFill="1" applyBorder="1" applyAlignment="1" applyProtection="1">
      <alignment horizontal="center" vertical="center"/>
    </xf>
    <xf numFmtId="0" fontId="87" fillId="90" borderId="73" xfId="0" applyFont="1" applyFill="1" applyBorder="1" applyAlignment="1" applyProtection="1">
      <alignment horizontal="center" vertical="center"/>
    </xf>
    <xf numFmtId="0" fontId="87" fillId="90" borderId="75" xfId="0" applyFont="1" applyFill="1" applyBorder="1" applyAlignment="1" applyProtection="1">
      <alignment horizontal="center" vertical="center"/>
    </xf>
    <xf numFmtId="0" fontId="160" fillId="131" borderId="78" xfId="0" applyFont="1" applyFill="1" applyBorder="1" applyAlignment="1" applyProtection="1">
      <alignment horizontal="center" vertical="center" wrapText="1"/>
    </xf>
    <xf numFmtId="0" fontId="160" fillId="131" borderId="79" xfId="0" applyFont="1" applyFill="1" applyBorder="1" applyAlignment="1" applyProtection="1">
      <alignment horizontal="center" vertical="center" wrapText="1"/>
    </xf>
    <xf numFmtId="0" fontId="85" fillId="4" borderId="79" xfId="0" applyFont="1" applyFill="1" applyBorder="1" applyAlignment="1" applyProtection="1">
      <alignment horizontal="center" vertical="center" wrapText="1"/>
    </xf>
    <xf numFmtId="182" fontId="161" fillId="4" borderId="79" xfId="0" applyNumberFormat="1" applyFont="1" applyFill="1" applyBorder="1" applyAlignment="1" applyProtection="1">
      <alignment horizontal="center" vertical="center" wrapText="1"/>
    </xf>
    <xf numFmtId="182" fontId="161" fillId="4" borderId="81" xfId="0" applyNumberFormat="1" applyFont="1" applyFill="1" applyBorder="1" applyAlignment="1" applyProtection="1">
      <alignment horizontal="center" vertical="center" wrapText="1"/>
    </xf>
    <xf numFmtId="0" fontId="85" fillId="122" borderId="144" xfId="0" applyFont="1" applyFill="1" applyBorder="1" applyAlignment="1" applyProtection="1">
      <alignment horizontal="center" vertical="center" wrapText="1"/>
    </xf>
    <xf numFmtId="0" fontId="85" fillId="122" borderId="217" xfId="0" applyFont="1" applyFill="1" applyBorder="1" applyAlignment="1" applyProtection="1">
      <alignment horizontal="center" vertical="center" wrapText="1"/>
    </xf>
    <xf numFmtId="0" fontId="85" fillId="0" borderId="388" xfId="0" applyFont="1" applyFill="1" applyBorder="1" applyAlignment="1" applyProtection="1">
      <alignment horizontal="center" vertical="center" wrapText="1"/>
    </xf>
    <xf numFmtId="0" fontId="85" fillId="0" borderId="227" xfId="0" applyFont="1" applyFill="1" applyBorder="1" applyAlignment="1" applyProtection="1">
      <alignment horizontal="center" vertical="center" wrapText="1"/>
    </xf>
    <xf numFmtId="0" fontId="85" fillId="0" borderId="217" xfId="0" applyFont="1" applyFill="1" applyBorder="1" applyAlignment="1" applyProtection="1">
      <alignment horizontal="center" vertical="center" wrapText="1"/>
    </xf>
    <xf numFmtId="0" fontId="85" fillId="4" borderId="388" xfId="0" applyFont="1" applyFill="1" applyBorder="1" applyAlignment="1" applyProtection="1">
      <alignment horizontal="center" vertical="center" wrapText="1"/>
    </xf>
    <xf numFmtId="0" fontId="85" fillId="4" borderId="227" xfId="0" applyFont="1" applyFill="1" applyBorder="1" applyAlignment="1" applyProtection="1">
      <alignment horizontal="center" vertical="center" wrapText="1"/>
    </xf>
    <xf numFmtId="0" fontId="85" fillId="4" borderId="217" xfId="0" applyFont="1" applyFill="1" applyBorder="1" applyAlignment="1" applyProtection="1">
      <alignment horizontal="center" vertical="center" wrapText="1"/>
    </xf>
    <xf numFmtId="0" fontId="85" fillId="4" borderId="218" xfId="0" applyFont="1" applyFill="1" applyBorder="1" applyAlignment="1" applyProtection="1">
      <alignment horizontal="center" vertical="center" wrapText="1"/>
    </xf>
    <xf numFmtId="0" fontId="87" fillId="84" borderId="259" xfId="0" applyFont="1" applyFill="1" applyBorder="1" applyAlignment="1" applyProtection="1">
      <alignment horizontal="center" vertical="center" wrapText="1"/>
    </xf>
    <xf numFmtId="0" fontId="83" fillId="5" borderId="404" xfId="0" applyFont="1" applyFill="1" applyBorder="1" applyAlignment="1" applyProtection="1">
      <alignment horizontal="center" vertical="center" wrapText="1"/>
    </xf>
    <xf numFmtId="0" fontId="125" fillId="38" borderId="405" xfId="0" applyFont="1" applyFill="1" applyBorder="1" applyAlignment="1" applyProtection="1">
      <alignment horizontal="center" vertical="center" wrapText="1"/>
    </xf>
    <xf numFmtId="0" fontId="85" fillId="98" borderId="378" xfId="0" applyFont="1" applyFill="1" applyBorder="1" applyAlignment="1" applyProtection="1">
      <alignment horizontal="center" vertical="center" wrapText="1"/>
    </xf>
    <xf numFmtId="0" fontId="85" fillId="98" borderId="406" xfId="0" applyFont="1" applyFill="1" applyBorder="1" applyAlignment="1" applyProtection="1">
      <alignment horizontal="center" vertical="center" wrapText="1"/>
    </xf>
    <xf numFmtId="0" fontId="83" fillId="5" borderId="407" xfId="0" applyFont="1" applyFill="1" applyBorder="1" applyAlignment="1" applyProtection="1">
      <alignment horizontal="center" vertical="center" wrapText="1"/>
    </xf>
    <xf numFmtId="0" fontId="0" fillId="15" borderId="44" xfId="0" applyFill="1" applyBorder="1" applyProtection="1">
      <alignment vertical="center"/>
    </xf>
    <xf numFmtId="0" fontId="85" fillId="96" borderId="173" xfId="0" applyFont="1" applyFill="1" applyBorder="1" applyProtection="1">
      <alignment vertical="center"/>
    </xf>
    <xf numFmtId="0" fontId="85" fillId="96" borderId="275" xfId="0" applyFont="1" applyFill="1" applyBorder="1" applyProtection="1">
      <alignment vertical="center"/>
    </xf>
    <xf numFmtId="0" fontId="83" fillId="84" borderId="367" xfId="0" applyFont="1" applyFill="1" applyBorder="1" applyAlignment="1" applyProtection="1">
      <alignment horizontal="center" vertical="center" wrapText="1"/>
    </xf>
    <xf numFmtId="0" fontId="87" fillId="90" borderId="163" xfId="0" applyFont="1" applyFill="1" applyBorder="1" applyAlignment="1" applyProtection="1">
      <alignment horizontal="left" vertical="center"/>
    </xf>
    <xf numFmtId="0" fontId="87" fillId="90" borderId="251" xfId="0" applyFont="1" applyFill="1" applyBorder="1" applyAlignment="1" applyProtection="1">
      <alignment horizontal="left" vertical="center"/>
    </xf>
    <xf numFmtId="0" fontId="87" fillId="5" borderId="408" xfId="0" applyFont="1" applyFill="1" applyBorder="1" applyAlignment="1" applyProtection="1">
      <alignment horizontal="center" vertical="center" wrapText="1"/>
    </xf>
    <xf numFmtId="0" fontId="125" fillId="38" borderId="409" xfId="0" applyFont="1" applyFill="1" applyBorder="1" applyAlignment="1" applyProtection="1">
      <alignment horizontal="center" vertical="center" wrapText="1"/>
    </xf>
    <xf numFmtId="0" fontId="85" fillId="98" borderId="205" xfId="0" applyFont="1" applyFill="1" applyBorder="1" applyAlignment="1" applyProtection="1">
      <alignment horizontal="center" vertical="center" wrapText="1"/>
    </xf>
    <xf numFmtId="0" fontId="85" fillId="98" borderId="206" xfId="0" applyFont="1" applyFill="1" applyBorder="1" applyAlignment="1" applyProtection="1">
      <alignment horizontal="center" vertical="center" wrapText="1"/>
    </xf>
    <xf numFmtId="0" fontId="87" fillId="5" borderId="410" xfId="0" applyFont="1" applyFill="1" applyBorder="1" applyAlignment="1" applyProtection="1">
      <alignment horizontal="center" vertical="center" wrapText="1"/>
    </xf>
    <xf numFmtId="0" fontId="34" fillId="96" borderId="170" xfId="0" applyFont="1" applyFill="1" applyBorder="1" applyAlignment="1" applyProtection="1">
      <alignment horizontal="left"/>
    </xf>
    <xf numFmtId="0" fontId="16" fillId="96" borderId="170" xfId="0" applyFont="1" applyFill="1" applyBorder="1" applyAlignment="1" applyProtection="1">
      <alignment horizontal="left"/>
    </xf>
    <xf numFmtId="0" fontId="85" fillId="96" borderId="170" xfId="0" applyFont="1" applyFill="1" applyBorder="1" applyAlignment="1" applyProtection="1">
      <alignment horizontal="center" vertical="center"/>
    </xf>
    <xf numFmtId="0" fontId="85" fillId="96" borderId="0" xfId="0" applyFont="1" applyFill="1" applyProtection="1">
      <alignment vertical="center"/>
    </xf>
    <xf numFmtId="0" fontId="85" fillId="96" borderId="106" xfId="0" applyFont="1" applyFill="1" applyBorder="1" applyProtection="1">
      <alignment vertical="center"/>
    </xf>
    <xf numFmtId="0" fontId="85" fillId="96" borderId="0" xfId="0" applyFont="1" applyFill="1" applyAlignment="1" applyProtection="1">
      <alignment horizontal="left" vertical="top" wrapText="1"/>
    </xf>
    <xf numFmtId="0" fontId="85" fillId="96" borderId="106" xfId="0" applyFont="1" applyFill="1" applyBorder="1" applyAlignment="1" applyProtection="1">
      <alignment horizontal="left" vertical="top" wrapText="1"/>
    </xf>
    <xf numFmtId="0" fontId="125" fillId="12" borderId="411" xfId="0" applyFont="1" applyFill="1" applyBorder="1" applyAlignment="1" applyProtection="1">
      <alignment horizontal="center" vertical="center" wrapText="1"/>
    </xf>
    <xf numFmtId="0" fontId="85" fillId="132" borderId="173" xfId="0" applyFont="1" applyFill="1" applyBorder="1" applyAlignment="1" applyProtection="1">
      <alignment horizontal="center" vertical="center" wrapText="1"/>
    </xf>
    <xf numFmtId="0" fontId="85" fillId="132" borderId="198" xfId="0" applyFont="1" applyFill="1" applyBorder="1" applyAlignment="1" applyProtection="1">
      <alignment horizontal="center" vertical="center" wrapText="1"/>
    </xf>
    <xf numFmtId="0" fontId="125" fillId="12" borderId="412" xfId="0" applyFont="1" applyFill="1" applyBorder="1" applyAlignment="1" applyProtection="1">
      <alignment horizontal="center" vertical="center" wrapText="1"/>
    </xf>
    <xf numFmtId="0" fontId="85" fillId="132" borderId="0" xfId="0" applyFont="1" applyFill="1" applyAlignment="1" applyProtection="1">
      <alignment horizontal="center" vertical="center" wrapText="1"/>
    </xf>
    <xf numFmtId="0" fontId="85" fillId="132" borderId="167" xfId="0" applyFont="1" applyFill="1" applyBorder="1" applyAlignment="1" applyProtection="1">
      <alignment horizontal="center" vertical="center" wrapText="1"/>
    </xf>
    <xf numFmtId="0" fontId="125" fillId="12" borderId="413" xfId="0" applyFont="1" applyFill="1" applyBorder="1" applyAlignment="1" applyProtection="1">
      <alignment horizontal="center" vertical="center" wrapText="1"/>
    </xf>
    <xf numFmtId="0" fontId="85" fillId="132" borderId="170" xfId="0" applyFont="1" applyFill="1" applyBorder="1" applyAlignment="1" applyProtection="1">
      <alignment horizontal="center" vertical="center" wrapText="1"/>
    </xf>
    <xf numFmtId="0" fontId="85" fillId="132" borderId="212" xfId="0" applyFont="1" applyFill="1" applyBorder="1" applyAlignment="1" applyProtection="1">
      <alignment horizontal="center" vertical="center" wrapText="1"/>
    </xf>
    <xf numFmtId="0" fontId="87" fillId="90" borderId="30" xfId="0" applyFont="1" applyFill="1" applyBorder="1" applyAlignment="1" applyProtection="1">
      <alignment horizontal="left" vertical="center"/>
    </xf>
    <xf numFmtId="0" fontId="87" fillId="90" borderId="4" xfId="0" applyFont="1" applyFill="1" applyBorder="1" applyAlignment="1" applyProtection="1">
      <alignment horizontal="left" vertical="center"/>
    </xf>
    <xf numFmtId="0" fontId="87" fillId="90" borderId="402" xfId="0" applyFont="1" applyFill="1" applyBorder="1" applyAlignment="1" applyProtection="1">
      <alignment horizontal="left" vertical="center"/>
    </xf>
    <xf numFmtId="0" fontId="125" fillId="13" borderId="411" xfId="0" applyFont="1" applyFill="1" applyBorder="1" applyAlignment="1" applyProtection="1">
      <alignment horizontal="center" vertical="center" wrapText="1"/>
    </xf>
    <xf numFmtId="0" fontId="85" fillId="124" borderId="173" xfId="0" applyFont="1" applyFill="1" applyBorder="1" applyAlignment="1" applyProtection="1">
      <alignment horizontal="center" vertical="center" wrapText="1"/>
    </xf>
    <xf numFmtId="0" fontId="85" fillId="124" borderId="198" xfId="0" applyFont="1" applyFill="1" applyBorder="1" applyAlignment="1" applyProtection="1">
      <alignment horizontal="center" vertical="center" wrapText="1"/>
    </xf>
    <xf numFmtId="0" fontId="125" fillId="13" borderId="412" xfId="0" applyFont="1" applyFill="1" applyBorder="1" applyAlignment="1" applyProtection="1">
      <alignment horizontal="center" vertical="center" wrapText="1"/>
    </xf>
    <xf numFmtId="0" fontId="85" fillId="124" borderId="0" xfId="0" applyFont="1" applyFill="1" applyAlignment="1" applyProtection="1">
      <alignment horizontal="center" vertical="center" wrapText="1"/>
    </xf>
    <xf numFmtId="0" fontId="85" fillId="124" borderId="167" xfId="0" applyFont="1" applyFill="1" applyBorder="1" applyAlignment="1" applyProtection="1">
      <alignment horizontal="center" vertical="center" wrapText="1"/>
    </xf>
    <xf numFmtId="0" fontId="87" fillId="84" borderId="88" xfId="0" applyFont="1" applyFill="1" applyBorder="1" applyAlignment="1" applyProtection="1">
      <alignment horizontal="center" vertical="center" wrapText="1"/>
    </xf>
    <xf numFmtId="0" fontId="85" fillId="122" borderId="11" xfId="0" applyFont="1" applyFill="1" applyBorder="1" applyAlignment="1" applyProtection="1">
      <alignment horizontal="left" vertical="top" wrapText="1" indent="1"/>
    </xf>
    <xf numFmtId="0" fontId="85" fillId="122" borderId="12" xfId="0" applyFont="1" applyFill="1" applyBorder="1" applyAlignment="1" applyProtection="1">
      <alignment horizontal="left" vertical="top" wrapText="1" indent="1"/>
    </xf>
    <xf numFmtId="0" fontId="160" fillId="131" borderId="84" xfId="0" applyFont="1" applyFill="1" applyBorder="1" applyAlignment="1" applyProtection="1">
      <alignment horizontal="center" vertical="center" wrapText="1"/>
    </xf>
    <xf numFmtId="0" fontId="160" fillId="131" borderId="85" xfId="0" applyFont="1" applyFill="1" applyBorder="1" applyAlignment="1" applyProtection="1">
      <alignment horizontal="center" vertical="center" wrapText="1"/>
    </xf>
    <xf numFmtId="0" fontId="85" fillId="4" borderId="85" xfId="0" applyFont="1" applyFill="1" applyBorder="1" applyAlignment="1" applyProtection="1">
      <alignment horizontal="center" vertical="center" wrapText="1"/>
    </xf>
    <xf numFmtId="182" fontId="161" fillId="4" borderId="85" xfId="0" applyNumberFormat="1" applyFont="1" applyFill="1" applyBorder="1" applyAlignment="1" applyProtection="1">
      <alignment horizontal="center" vertical="center" wrapText="1"/>
    </xf>
    <xf numFmtId="182" fontId="161" fillId="4" borderId="87" xfId="0" applyNumberFormat="1" applyFont="1" applyFill="1" applyBorder="1" applyAlignment="1" applyProtection="1">
      <alignment horizontal="center" vertical="center" wrapText="1"/>
    </xf>
    <xf numFmtId="0" fontId="87" fillId="5" borderId="414" xfId="0" applyFont="1" applyFill="1" applyBorder="1" applyAlignment="1" applyProtection="1">
      <alignment horizontal="center" vertical="center" wrapText="1"/>
    </xf>
    <xf numFmtId="0" fontId="125" fillId="13" borderId="415" xfId="0" applyFont="1" applyFill="1" applyBorder="1" applyAlignment="1" applyProtection="1">
      <alignment horizontal="center" vertical="center" wrapText="1"/>
    </xf>
    <xf numFmtId="0" fontId="85" fillId="124" borderId="227" xfId="0" applyFont="1" applyFill="1" applyBorder="1" applyAlignment="1" applyProtection="1">
      <alignment horizontal="center" vertical="center" wrapText="1"/>
    </xf>
    <xf numFmtId="0" fontId="85" fillId="124" borderId="416" xfId="0" applyFont="1" applyFill="1" applyBorder="1" applyAlignment="1" applyProtection="1">
      <alignment horizontal="center" vertical="center" wrapText="1"/>
    </xf>
    <xf numFmtId="0" fontId="87" fillId="5" borderId="417" xfId="0" applyFont="1" applyFill="1" applyBorder="1" applyAlignment="1" applyProtection="1">
      <alignment horizontal="center" vertical="center" wrapText="1"/>
    </xf>
    <xf numFmtId="0" fontId="85" fillId="96" borderId="418" xfId="0" applyFont="1" applyFill="1" applyBorder="1" applyProtection="1">
      <alignment vertical="center"/>
    </xf>
    <xf numFmtId="0" fontId="85" fillId="96" borderId="227" xfId="0" applyFont="1" applyFill="1" applyBorder="1" applyProtection="1">
      <alignment vertical="center"/>
    </xf>
    <xf numFmtId="0" fontId="135" fillId="96" borderId="218" xfId="0" applyFont="1" applyFill="1" applyBorder="1" applyAlignment="1" applyProtection="1">
      <alignment horizontal="right" vertical="center"/>
    </xf>
    <xf numFmtId="0" fontId="16" fillId="10" borderId="7" xfId="0" applyFont="1" applyFill="1" applyBorder="1" applyAlignment="1" quotePrefix="1">
      <alignment horizontal="center" vertical="center" wrapText="1"/>
    </xf>
    <xf numFmtId="0" fontId="16" fillId="10" borderId="102" xfId="0" applyFont="1" applyFill="1" applyBorder="1" applyAlignment="1" quotePrefix="1">
      <alignment horizontal="center" vertical="center"/>
    </xf>
    <xf numFmtId="0" fontId="16" fillId="0" borderId="31" xfId="0" applyFont="1" applyBorder="1" applyAlignment="1" quotePrefix="1">
      <alignment horizontal="center" vertical="center" wrapText="1"/>
    </xf>
    <xf numFmtId="0" fontId="16" fillId="0" borderId="31" xfId="0" applyFont="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ill>
        <patternFill patternType="solid">
          <bgColor theme="5" tint="-0.5"/>
        </patternFill>
      </fill>
    </dxf>
    <dxf>
      <fill>
        <patternFill patternType="solid">
          <bgColor theme="9" tint="-0.5"/>
        </patternFill>
      </fill>
    </dxf>
    <dxf>
      <fill>
        <patternFill patternType="solid">
          <bgColor theme="4" tint="-0.5"/>
        </patternFill>
      </fill>
    </dxf>
    <dxf>
      <fill>
        <patternFill patternType="solid">
          <bgColor theme="8" tint="-0.5"/>
        </patternFill>
      </fill>
    </dxf>
    <dxf>
      <font>
        <color rgb="FF9C0006"/>
      </font>
    </dxf>
    <dxf>
      <font>
        <color theme="0" tint="-0.35"/>
      </font>
    </dxf>
    <dxf>
      <fill>
        <patternFill patternType="solid">
          <bgColor theme="0" tint="-0.05"/>
        </patternFill>
      </fill>
    </dxf>
  </dxfs>
  <tableStyles count="0" defaultTableStyle="TableStyleMedium2" defaultPivotStyle="PivotStyleLight16"/>
  <colors>
    <mruColors>
      <color rgb="0095B3D7"/>
      <color rgb="00C4D79B"/>
      <color rgb="00963634"/>
      <color rgb="0060497A"/>
      <color rgb="0031869B"/>
      <color rgb="00E26B0A"/>
      <color rgb="00366092"/>
      <color rgb="0076933C"/>
      <color rgb="00C8C8C8"/>
      <color rgb="0080808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39.png"/><Relationship Id="rId98" Type="http://schemas.openxmlformats.org/officeDocument/2006/relationships/image" Target="media/image138.png"/><Relationship Id="rId97" Type="http://schemas.openxmlformats.org/officeDocument/2006/relationships/image" Target="media/image137.png"/><Relationship Id="rId96" Type="http://schemas.openxmlformats.org/officeDocument/2006/relationships/image" Target="media/image136.png"/><Relationship Id="rId95" Type="http://schemas.openxmlformats.org/officeDocument/2006/relationships/image" Target="media/image135.png"/><Relationship Id="rId94" Type="http://schemas.openxmlformats.org/officeDocument/2006/relationships/image" Target="media/image134.png"/><Relationship Id="rId93" Type="http://schemas.openxmlformats.org/officeDocument/2006/relationships/image" Target="media/image133.png"/><Relationship Id="rId92" Type="http://schemas.openxmlformats.org/officeDocument/2006/relationships/image" Target="media/image132.png"/><Relationship Id="rId91" Type="http://schemas.openxmlformats.org/officeDocument/2006/relationships/image" Target="media/image131.png"/><Relationship Id="rId90" Type="http://schemas.openxmlformats.org/officeDocument/2006/relationships/image" Target="media/image130.png"/><Relationship Id="rId9" Type="http://schemas.openxmlformats.org/officeDocument/2006/relationships/image" Target="media/image50.png"/><Relationship Id="rId89" Type="http://schemas.openxmlformats.org/officeDocument/2006/relationships/image" Target="media/image129.png"/><Relationship Id="rId88" Type="http://schemas.openxmlformats.org/officeDocument/2006/relationships/image" Target="media/image128.png"/><Relationship Id="rId87" Type="http://schemas.openxmlformats.org/officeDocument/2006/relationships/image" Target="media/image127.png"/><Relationship Id="rId86" Type="http://schemas.openxmlformats.org/officeDocument/2006/relationships/image" Target="media/image126.png"/><Relationship Id="rId85" Type="http://schemas.openxmlformats.org/officeDocument/2006/relationships/image" Target="media/image125.png"/><Relationship Id="rId84" Type="http://schemas.openxmlformats.org/officeDocument/2006/relationships/image" Target="media/image124.png"/><Relationship Id="rId83" Type="http://schemas.openxmlformats.org/officeDocument/2006/relationships/image" Target="media/image123.png"/><Relationship Id="rId82" Type="http://schemas.openxmlformats.org/officeDocument/2006/relationships/image" Target="media/image122.png"/><Relationship Id="rId81" Type="http://schemas.openxmlformats.org/officeDocument/2006/relationships/image" Target="media/image121.png"/><Relationship Id="rId80" Type="http://schemas.openxmlformats.org/officeDocument/2006/relationships/image" Target="media/image120.png"/><Relationship Id="rId8" Type="http://schemas.openxmlformats.org/officeDocument/2006/relationships/image" Target="media/image49.png"/><Relationship Id="rId79" Type="http://schemas.openxmlformats.org/officeDocument/2006/relationships/image" Target="media/image119.png"/><Relationship Id="rId78" Type="http://schemas.openxmlformats.org/officeDocument/2006/relationships/image" Target="media/image118.png"/><Relationship Id="rId77" Type="http://schemas.openxmlformats.org/officeDocument/2006/relationships/image" Target="media/image117.png"/><Relationship Id="rId76" Type="http://schemas.openxmlformats.org/officeDocument/2006/relationships/image" Target="media/image116.png"/><Relationship Id="rId75" Type="http://schemas.openxmlformats.org/officeDocument/2006/relationships/image" Target="media/image115.png"/><Relationship Id="rId74" Type="http://schemas.openxmlformats.org/officeDocument/2006/relationships/image" Target="media/image114.png"/><Relationship Id="rId73" Type="http://schemas.openxmlformats.org/officeDocument/2006/relationships/image" Target="media/image113.png"/><Relationship Id="rId72" Type="http://schemas.openxmlformats.org/officeDocument/2006/relationships/image" Target="media/image112.png"/><Relationship Id="rId71" Type="http://schemas.openxmlformats.org/officeDocument/2006/relationships/image" Target="media/image111.png"/><Relationship Id="rId70" Type="http://schemas.openxmlformats.org/officeDocument/2006/relationships/image" Target="media/image110.png"/><Relationship Id="rId7" Type="http://schemas.openxmlformats.org/officeDocument/2006/relationships/image" Target="media/image48.png"/><Relationship Id="rId69" Type="http://schemas.openxmlformats.org/officeDocument/2006/relationships/image" Target="media/image109.png"/><Relationship Id="rId68" Type="http://schemas.openxmlformats.org/officeDocument/2006/relationships/image" Target="media/image108.png"/><Relationship Id="rId67" Type="http://schemas.openxmlformats.org/officeDocument/2006/relationships/image" Target="media/image107.png"/><Relationship Id="rId66" Type="http://schemas.openxmlformats.org/officeDocument/2006/relationships/image" Target="media/image106.png"/><Relationship Id="rId65" Type="http://schemas.openxmlformats.org/officeDocument/2006/relationships/image" Target="media/image105.png"/><Relationship Id="rId64" Type="http://schemas.openxmlformats.org/officeDocument/2006/relationships/image" Target="media/image104.png"/><Relationship Id="rId63" Type="http://schemas.openxmlformats.org/officeDocument/2006/relationships/image" Target="media/image103.png"/><Relationship Id="rId62" Type="http://schemas.openxmlformats.org/officeDocument/2006/relationships/image" Target="media/image102.png"/><Relationship Id="rId61" Type="http://schemas.openxmlformats.org/officeDocument/2006/relationships/image" Target="media/image101.png"/><Relationship Id="rId60" Type="http://schemas.openxmlformats.org/officeDocument/2006/relationships/image" Target="media/image100.png"/><Relationship Id="rId6" Type="http://schemas.openxmlformats.org/officeDocument/2006/relationships/image" Target="media/image47.png"/><Relationship Id="rId59" Type="http://schemas.openxmlformats.org/officeDocument/2006/relationships/image" Target="media/image99.png"/><Relationship Id="rId58" Type="http://schemas.openxmlformats.org/officeDocument/2006/relationships/image" Target="media/image98.png"/><Relationship Id="rId57" Type="http://schemas.openxmlformats.org/officeDocument/2006/relationships/image" Target="media/image97.png"/><Relationship Id="rId56" Type="http://schemas.openxmlformats.org/officeDocument/2006/relationships/image" Target="media/image96.png"/><Relationship Id="rId55" Type="http://schemas.openxmlformats.org/officeDocument/2006/relationships/image" Target="media/image95.png"/><Relationship Id="rId54" Type="http://schemas.openxmlformats.org/officeDocument/2006/relationships/image" Target="media/image94.png"/><Relationship Id="rId53" Type="http://schemas.openxmlformats.org/officeDocument/2006/relationships/image" Target="media/image93.png"/><Relationship Id="rId52" Type="http://schemas.openxmlformats.org/officeDocument/2006/relationships/image" Target="media/image92.png"/><Relationship Id="rId51" Type="http://schemas.openxmlformats.org/officeDocument/2006/relationships/image" Target="media/image91.png"/><Relationship Id="rId50" Type="http://schemas.openxmlformats.org/officeDocument/2006/relationships/image" Target="media/image90.png"/><Relationship Id="rId5" Type="http://schemas.openxmlformats.org/officeDocument/2006/relationships/image" Target="media/image46.png"/><Relationship Id="rId49" Type="http://schemas.openxmlformats.org/officeDocument/2006/relationships/image" Target="media/image89.png"/><Relationship Id="rId48" Type="http://schemas.openxmlformats.org/officeDocument/2006/relationships/image" Target="media/image88.png"/><Relationship Id="rId47" Type="http://schemas.openxmlformats.org/officeDocument/2006/relationships/image" Target="media/image87.png"/><Relationship Id="rId46" Type="http://schemas.openxmlformats.org/officeDocument/2006/relationships/image" Target="media/image86.png"/><Relationship Id="rId45" Type="http://schemas.openxmlformats.org/officeDocument/2006/relationships/image" Target="media/image85.png"/><Relationship Id="rId44" Type="http://schemas.openxmlformats.org/officeDocument/2006/relationships/image" Target="media/image84.png"/><Relationship Id="rId43" Type="http://schemas.openxmlformats.org/officeDocument/2006/relationships/image" Target="media/image83.png"/><Relationship Id="rId42" Type="http://schemas.openxmlformats.org/officeDocument/2006/relationships/image" Target="media/image82.png"/><Relationship Id="rId41" Type="http://schemas.openxmlformats.org/officeDocument/2006/relationships/image" Target="media/image81.png"/><Relationship Id="rId40" Type="http://schemas.openxmlformats.org/officeDocument/2006/relationships/image" Target="media/image80.png"/><Relationship Id="rId4" Type="http://schemas.openxmlformats.org/officeDocument/2006/relationships/image" Target="media/image45.png"/><Relationship Id="rId39" Type="http://schemas.openxmlformats.org/officeDocument/2006/relationships/image" Target="media/image79.png"/><Relationship Id="rId38" Type="http://schemas.openxmlformats.org/officeDocument/2006/relationships/image" Target="media/image78.png"/><Relationship Id="rId37" Type="http://schemas.openxmlformats.org/officeDocument/2006/relationships/image" Target="media/image77.png"/><Relationship Id="rId36" Type="http://schemas.openxmlformats.org/officeDocument/2006/relationships/image" Target="media/image76.png"/><Relationship Id="rId35" Type="http://schemas.openxmlformats.org/officeDocument/2006/relationships/image" Target="media/image75.png"/><Relationship Id="rId34" Type="http://schemas.openxmlformats.org/officeDocument/2006/relationships/image" Target="media/image74.png"/><Relationship Id="rId33" Type="http://schemas.openxmlformats.org/officeDocument/2006/relationships/image" Target="media/image73.png"/><Relationship Id="rId32" Type="http://schemas.openxmlformats.org/officeDocument/2006/relationships/image" Target="media/image72.png"/><Relationship Id="rId31" Type="http://schemas.openxmlformats.org/officeDocument/2006/relationships/image" Target="media/image71.png"/><Relationship Id="rId30" Type="http://schemas.openxmlformats.org/officeDocument/2006/relationships/image" Target="media/image70.png"/><Relationship Id="rId3" Type="http://schemas.openxmlformats.org/officeDocument/2006/relationships/image" Target="media/image44.png"/><Relationship Id="rId29" Type="http://schemas.openxmlformats.org/officeDocument/2006/relationships/image" Target="media/image69.png"/><Relationship Id="rId28" Type="http://schemas.openxmlformats.org/officeDocument/2006/relationships/image" Target="media/image68.png"/><Relationship Id="rId27" Type="http://schemas.openxmlformats.org/officeDocument/2006/relationships/image" Target="media/image67.png"/><Relationship Id="rId26" Type="http://schemas.openxmlformats.org/officeDocument/2006/relationships/image" Target="media/image66.png"/><Relationship Id="rId25" Type="http://schemas.openxmlformats.org/officeDocument/2006/relationships/image" Target="media/image65.png"/><Relationship Id="rId24" Type="http://schemas.openxmlformats.org/officeDocument/2006/relationships/image" Target="media/image64.png"/><Relationship Id="rId23" Type="http://schemas.openxmlformats.org/officeDocument/2006/relationships/image" Target="media/image63.png"/><Relationship Id="rId22" Type="http://schemas.openxmlformats.org/officeDocument/2006/relationships/image" Target="media/image62.png"/><Relationship Id="rId21" Type="http://schemas.openxmlformats.org/officeDocument/2006/relationships/image" Target="media/image61.png"/><Relationship Id="rId20" Type="http://schemas.openxmlformats.org/officeDocument/2006/relationships/image" Target="media/image60.png"/><Relationship Id="rId2" Type="http://schemas.openxmlformats.org/officeDocument/2006/relationships/image" Target="NULL" TargetMode="External"/><Relationship Id="rId19" Type="http://schemas.openxmlformats.org/officeDocument/2006/relationships/image" Target="media/image59.png"/><Relationship Id="rId18" Type="http://schemas.openxmlformats.org/officeDocument/2006/relationships/image" Target="media/image42.png"/><Relationship Id="rId17" Type="http://schemas.openxmlformats.org/officeDocument/2006/relationships/image" Target="media/image58.png"/><Relationship Id="rId16" Type="http://schemas.openxmlformats.org/officeDocument/2006/relationships/image" Target="media/image57.png"/><Relationship Id="rId15" Type="http://schemas.openxmlformats.org/officeDocument/2006/relationships/image" Target="media/image56.png"/><Relationship Id="rId14" Type="http://schemas.openxmlformats.org/officeDocument/2006/relationships/image" Target="media/image55.png"/><Relationship Id="rId13" Type="http://schemas.openxmlformats.org/officeDocument/2006/relationships/image" Target="media/image54.png"/><Relationship Id="rId12" Type="http://schemas.openxmlformats.org/officeDocument/2006/relationships/image" Target="media/image53.png"/><Relationship Id="rId11" Type="http://schemas.openxmlformats.org/officeDocument/2006/relationships/image" Target="media/image52.png"/><Relationship Id="rId105" Type="http://schemas.openxmlformats.org/officeDocument/2006/relationships/image" Target="media/image145.png"/><Relationship Id="rId104" Type="http://schemas.openxmlformats.org/officeDocument/2006/relationships/image" Target="media/image144.png"/><Relationship Id="rId103" Type="http://schemas.openxmlformats.org/officeDocument/2006/relationships/image" Target="media/image143.png"/><Relationship Id="rId102" Type="http://schemas.openxmlformats.org/officeDocument/2006/relationships/image" Target="media/image142.png"/><Relationship Id="rId101" Type="http://schemas.openxmlformats.org/officeDocument/2006/relationships/image" Target="media/image141.png"/><Relationship Id="rId100" Type="http://schemas.openxmlformats.org/officeDocument/2006/relationships/image" Target="media/image140.png"/><Relationship Id="rId10" Type="http://schemas.openxmlformats.org/officeDocument/2006/relationships/image" Target="media/image51.png"/><Relationship Id="rId1" Type="http://schemas.openxmlformats.org/officeDocument/2006/relationships/image" Target="media/image43.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www.wps.cn/officeDocument/2020/cellImage" Target="cellimag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4.xml"/><Relationship Id="rId20" Type="http://schemas.openxmlformats.org/officeDocument/2006/relationships/customXml" Target="../customXml/item3.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NULL" TargetMode="External"/><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3" Type="http://schemas.openxmlformats.org/officeDocument/2006/relationships/image" Target="../media/image42.png"/><Relationship Id="rId42" Type="http://schemas.openxmlformats.org/officeDocument/2006/relationships/image" Target="../media/image41.svg"/><Relationship Id="rId41" Type="http://schemas.openxmlformats.org/officeDocument/2006/relationships/image" Target="../media/image40.png"/><Relationship Id="rId40" Type="http://schemas.openxmlformats.org/officeDocument/2006/relationships/image" Target="../media/image39.svg"/><Relationship Id="rId4" Type="http://schemas.openxmlformats.org/officeDocument/2006/relationships/image" Target="../media/image4.png"/><Relationship Id="rId39" Type="http://schemas.openxmlformats.org/officeDocument/2006/relationships/image" Target="../media/image38.png"/><Relationship Id="rId38" Type="http://schemas.openxmlformats.org/officeDocument/2006/relationships/image" Target="../media/image37.svg"/><Relationship Id="rId37" Type="http://schemas.openxmlformats.org/officeDocument/2006/relationships/image" Target="../media/image36.png"/><Relationship Id="rId36" Type="http://schemas.openxmlformats.org/officeDocument/2006/relationships/image" Target="../media/image35.svg"/><Relationship Id="rId35" Type="http://schemas.openxmlformats.org/officeDocument/2006/relationships/image" Target="../media/image34.png"/><Relationship Id="rId34" Type="http://schemas.openxmlformats.org/officeDocument/2006/relationships/image" Target="../media/image33.svg"/><Relationship Id="rId33" Type="http://schemas.openxmlformats.org/officeDocument/2006/relationships/image" Target="../media/image32.png"/><Relationship Id="rId32" Type="http://schemas.openxmlformats.org/officeDocument/2006/relationships/image" Target="../media/image31.svg"/><Relationship Id="rId31" Type="http://schemas.openxmlformats.org/officeDocument/2006/relationships/image" Target="../media/image30.png"/><Relationship Id="rId30" Type="http://schemas.openxmlformats.org/officeDocument/2006/relationships/image" Target="../media/image29.svg"/><Relationship Id="rId3" Type="http://schemas.openxmlformats.org/officeDocument/2006/relationships/image" Target="../media/image3.png"/><Relationship Id="rId29" Type="http://schemas.openxmlformats.org/officeDocument/2006/relationships/image" Target="../media/image28.png"/><Relationship Id="rId28" Type="http://schemas.openxmlformats.org/officeDocument/2006/relationships/image" Target="../media/image27.svg"/><Relationship Id="rId27" Type="http://schemas.openxmlformats.org/officeDocument/2006/relationships/image" Target="../media/image26.png"/><Relationship Id="rId26" Type="http://schemas.openxmlformats.org/officeDocument/2006/relationships/image" Target="../media/image25.svg"/><Relationship Id="rId25" Type="http://schemas.openxmlformats.org/officeDocument/2006/relationships/image" Target="../media/image24.png"/><Relationship Id="rId24" Type="http://schemas.openxmlformats.org/officeDocument/2006/relationships/image" Target="../media/image23.sv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media/image2.png"/><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99" Type="http://schemas.openxmlformats.org/officeDocument/2006/relationships/image" Target="../media/image139.png"/><Relationship Id="rId98" Type="http://schemas.openxmlformats.org/officeDocument/2006/relationships/image" Target="../media/image138.png"/><Relationship Id="rId97" Type="http://schemas.openxmlformats.org/officeDocument/2006/relationships/image" Target="../media/image137.png"/><Relationship Id="rId96" Type="http://schemas.openxmlformats.org/officeDocument/2006/relationships/image" Target="../media/image136.png"/><Relationship Id="rId95" Type="http://schemas.openxmlformats.org/officeDocument/2006/relationships/image" Target="../media/image135.png"/><Relationship Id="rId94" Type="http://schemas.openxmlformats.org/officeDocument/2006/relationships/image" Target="../media/image134.png"/><Relationship Id="rId93" Type="http://schemas.openxmlformats.org/officeDocument/2006/relationships/image" Target="../media/image133.png"/><Relationship Id="rId92" Type="http://schemas.openxmlformats.org/officeDocument/2006/relationships/image" Target="../media/image132.png"/><Relationship Id="rId91" Type="http://schemas.openxmlformats.org/officeDocument/2006/relationships/image" Target="../media/image131.png"/><Relationship Id="rId90" Type="http://schemas.openxmlformats.org/officeDocument/2006/relationships/image" Target="../media/image130.png"/><Relationship Id="rId9" Type="http://schemas.openxmlformats.org/officeDocument/2006/relationships/image" Target="../media/image50.png"/><Relationship Id="rId89" Type="http://schemas.openxmlformats.org/officeDocument/2006/relationships/image" Target="../media/image129.png"/><Relationship Id="rId88" Type="http://schemas.openxmlformats.org/officeDocument/2006/relationships/image" Target="../media/image128.png"/><Relationship Id="rId87" Type="http://schemas.openxmlformats.org/officeDocument/2006/relationships/image" Target="../media/image127.png"/><Relationship Id="rId86" Type="http://schemas.openxmlformats.org/officeDocument/2006/relationships/image" Target="../media/image126.png"/><Relationship Id="rId85" Type="http://schemas.openxmlformats.org/officeDocument/2006/relationships/image" Target="../media/image125.png"/><Relationship Id="rId84" Type="http://schemas.openxmlformats.org/officeDocument/2006/relationships/image" Target="../media/image124.png"/><Relationship Id="rId83" Type="http://schemas.openxmlformats.org/officeDocument/2006/relationships/image" Target="../media/image123.png"/><Relationship Id="rId82" Type="http://schemas.openxmlformats.org/officeDocument/2006/relationships/image" Target="../media/image122.png"/><Relationship Id="rId81" Type="http://schemas.openxmlformats.org/officeDocument/2006/relationships/image" Target="../media/image121.png"/><Relationship Id="rId80" Type="http://schemas.openxmlformats.org/officeDocument/2006/relationships/image" Target="../media/image120.png"/><Relationship Id="rId8" Type="http://schemas.openxmlformats.org/officeDocument/2006/relationships/image" Target="../media/image49.png"/><Relationship Id="rId79" Type="http://schemas.openxmlformats.org/officeDocument/2006/relationships/image" Target="../media/image119.png"/><Relationship Id="rId78" Type="http://schemas.openxmlformats.org/officeDocument/2006/relationships/image" Target="../media/image118.png"/><Relationship Id="rId77" Type="http://schemas.openxmlformats.org/officeDocument/2006/relationships/image" Target="../media/image117.png"/><Relationship Id="rId76" Type="http://schemas.openxmlformats.org/officeDocument/2006/relationships/image" Target="../media/image116.png"/><Relationship Id="rId75" Type="http://schemas.openxmlformats.org/officeDocument/2006/relationships/image" Target="../media/image115.png"/><Relationship Id="rId74" Type="http://schemas.openxmlformats.org/officeDocument/2006/relationships/image" Target="../media/image114.png"/><Relationship Id="rId73" Type="http://schemas.openxmlformats.org/officeDocument/2006/relationships/image" Target="../media/image113.png"/><Relationship Id="rId72" Type="http://schemas.openxmlformats.org/officeDocument/2006/relationships/image" Target="../media/image112.png"/><Relationship Id="rId71" Type="http://schemas.openxmlformats.org/officeDocument/2006/relationships/image" Target="../media/image111.png"/><Relationship Id="rId70" Type="http://schemas.openxmlformats.org/officeDocument/2006/relationships/image" Target="../media/image110.png"/><Relationship Id="rId7" Type="http://schemas.openxmlformats.org/officeDocument/2006/relationships/image" Target="../media/image48.png"/><Relationship Id="rId69" Type="http://schemas.openxmlformats.org/officeDocument/2006/relationships/image" Target="../media/image109.png"/><Relationship Id="rId68" Type="http://schemas.openxmlformats.org/officeDocument/2006/relationships/image" Target="../media/image108.png"/><Relationship Id="rId67" Type="http://schemas.openxmlformats.org/officeDocument/2006/relationships/image" Target="../media/image107.png"/><Relationship Id="rId66" Type="http://schemas.openxmlformats.org/officeDocument/2006/relationships/image" Target="../media/image106.png"/><Relationship Id="rId65" Type="http://schemas.openxmlformats.org/officeDocument/2006/relationships/image" Target="../media/image105.png"/><Relationship Id="rId64" Type="http://schemas.openxmlformats.org/officeDocument/2006/relationships/image" Target="../media/image104.png"/><Relationship Id="rId63" Type="http://schemas.openxmlformats.org/officeDocument/2006/relationships/image" Target="../media/image103.png"/><Relationship Id="rId62" Type="http://schemas.openxmlformats.org/officeDocument/2006/relationships/image" Target="../media/image102.png"/><Relationship Id="rId61" Type="http://schemas.openxmlformats.org/officeDocument/2006/relationships/image" Target="../media/image101.png"/><Relationship Id="rId60" Type="http://schemas.openxmlformats.org/officeDocument/2006/relationships/image" Target="../media/image100.png"/><Relationship Id="rId6" Type="http://schemas.openxmlformats.org/officeDocument/2006/relationships/image" Target="../media/image47.png"/><Relationship Id="rId59" Type="http://schemas.openxmlformats.org/officeDocument/2006/relationships/image" Target="../media/image99.png"/><Relationship Id="rId58" Type="http://schemas.openxmlformats.org/officeDocument/2006/relationships/image" Target="../media/image98.png"/><Relationship Id="rId57" Type="http://schemas.openxmlformats.org/officeDocument/2006/relationships/image" Target="../media/image97.png"/><Relationship Id="rId56" Type="http://schemas.openxmlformats.org/officeDocument/2006/relationships/image" Target="../media/image96.png"/><Relationship Id="rId55" Type="http://schemas.openxmlformats.org/officeDocument/2006/relationships/image" Target="../media/image95.png"/><Relationship Id="rId54" Type="http://schemas.openxmlformats.org/officeDocument/2006/relationships/image" Target="../media/image94.png"/><Relationship Id="rId53" Type="http://schemas.openxmlformats.org/officeDocument/2006/relationships/image" Target="../media/image93.png"/><Relationship Id="rId52" Type="http://schemas.openxmlformats.org/officeDocument/2006/relationships/image" Target="../media/image92.png"/><Relationship Id="rId51" Type="http://schemas.openxmlformats.org/officeDocument/2006/relationships/image" Target="../media/image91.png"/><Relationship Id="rId50" Type="http://schemas.openxmlformats.org/officeDocument/2006/relationships/image" Target="../media/image90.png"/><Relationship Id="rId5" Type="http://schemas.openxmlformats.org/officeDocument/2006/relationships/image" Target="../media/image46.png"/><Relationship Id="rId49" Type="http://schemas.openxmlformats.org/officeDocument/2006/relationships/image" Target="../media/image89.png"/><Relationship Id="rId48" Type="http://schemas.openxmlformats.org/officeDocument/2006/relationships/image" Target="../media/image88.png"/><Relationship Id="rId47" Type="http://schemas.openxmlformats.org/officeDocument/2006/relationships/image" Target="../media/image87.png"/><Relationship Id="rId46" Type="http://schemas.openxmlformats.org/officeDocument/2006/relationships/image" Target="../media/image86.png"/><Relationship Id="rId45" Type="http://schemas.openxmlformats.org/officeDocument/2006/relationships/image" Target="../media/image85.png"/><Relationship Id="rId44" Type="http://schemas.openxmlformats.org/officeDocument/2006/relationships/image" Target="../media/image84.png"/><Relationship Id="rId43" Type="http://schemas.openxmlformats.org/officeDocument/2006/relationships/image" Target="../media/image83.png"/><Relationship Id="rId42" Type="http://schemas.openxmlformats.org/officeDocument/2006/relationships/image" Target="../media/image82.png"/><Relationship Id="rId41" Type="http://schemas.openxmlformats.org/officeDocument/2006/relationships/image" Target="../media/image81.png"/><Relationship Id="rId40" Type="http://schemas.openxmlformats.org/officeDocument/2006/relationships/image" Target="../media/image80.png"/><Relationship Id="rId4" Type="http://schemas.openxmlformats.org/officeDocument/2006/relationships/image" Target="../media/image45.png"/><Relationship Id="rId39" Type="http://schemas.openxmlformats.org/officeDocument/2006/relationships/image" Target="../media/image79.png"/><Relationship Id="rId38" Type="http://schemas.openxmlformats.org/officeDocument/2006/relationships/image" Target="../media/image78.png"/><Relationship Id="rId37" Type="http://schemas.openxmlformats.org/officeDocument/2006/relationships/image" Target="../media/image77.png"/><Relationship Id="rId36" Type="http://schemas.openxmlformats.org/officeDocument/2006/relationships/image" Target="../media/image76.png"/><Relationship Id="rId35" Type="http://schemas.openxmlformats.org/officeDocument/2006/relationships/image" Target="../media/image75.png"/><Relationship Id="rId34" Type="http://schemas.openxmlformats.org/officeDocument/2006/relationships/image" Target="../media/image74.png"/><Relationship Id="rId33" Type="http://schemas.openxmlformats.org/officeDocument/2006/relationships/image" Target="../media/image73.png"/><Relationship Id="rId32" Type="http://schemas.openxmlformats.org/officeDocument/2006/relationships/image" Target="../media/image72.png"/><Relationship Id="rId31" Type="http://schemas.openxmlformats.org/officeDocument/2006/relationships/image" Target="../media/image71.png"/><Relationship Id="rId30" Type="http://schemas.openxmlformats.org/officeDocument/2006/relationships/image" Target="../media/image70.png"/><Relationship Id="rId3" Type="http://schemas.openxmlformats.org/officeDocument/2006/relationships/image" Target="../media/image44.png"/><Relationship Id="rId29" Type="http://schemas.openxmlformats.org/officeDocument/2006/relationships/image" Target="../media/image69.png"/><Relationship Id="rId28" Type="http://schemas.openxmlformats.org/officeDocument/2006/relationships/image" Target="../media/image68.png"/><Relationship Id="rId27" Type="http://schemas.openxmlformats.org/officeDocument/2006/relationships/image" Target="../media/image67.png"/><Relationship Id="rId26" Type="http://schemas.openxmlformats.org/officeDocument/2006/relationships/image" Target="../media/image66.png"/><Relationship Id="rId25" Type="http://schemas.openxmlformats.org/officeDocument/2006/relationships/image" Target="../media/image65.png"/><Relationship Id="rId24" Type="http://schemas.openxmlformats.org/officeDocument/2006/relationships/image" Target="../media/image64.png"/><Relationship Id="rId23" Type="http://schemas.openxmlformats.org/officeDocument/2006/relationships/image" Target="../media/image63.png"/><Relationship Id="rId22" Type="http://schemas.openxmlformats.org/officeDocument/2006/relationships/image" Target="../media/image62.png"/><Relationship Id="rId21" Type="http://schemas.openxmlformats.org/officeDocument/2006/relationships/image" Target="../media/image61.png"/><Relationship Id="rId20" Type="http://schemas.openxmlformats.org/officeDocument/2006/relationships/image" Target="../media/image60.png"/><Relationship Id="rId2" Type="http://schemas.openxmlformats.org/officeDocument/2006/relationships/image" Target="NULL" TargetMode="External"/><Relationship Id="rId19" Type="http://schemas.openxmlformats.org/officeDocument/2006/relationships/image" Target="../media/image59.png"/><Relationship Id="rId18" Type="http://schemas.openxmlformats.org/officeDocument/2006/relationships/image" Target="../media/image42.png"/><Relationship Id="rId17" Type="http://schemas.openxmlformats.org/officeDocument/2006/relationships/image" Target="../media/image58.png"/><Relationship Id="rId16" Type="http://schemas.openxmlformats.org/officeDocument/2006/relationships/image" Target="../media/image57.png"/><Relationship Id="rId15" Type="http://schemas.openxmlformats.org/officeDocument/2006/relationships/image" Target="../media/image56.png"/><Relationship Id="rId14" Type="http://schemas.openxmlformats.org/officeDocument/2006/relationships/image" Target="../media/image55.png"/><Relationship Id="rId13" Type="http://schemas.openxmlformats.org/officeDocument/2006/relationships/image" Target="../media/image54.png"/><Relationship Id="rId12" Type="http://schemas.openxmlformats.org/officeDocument/2006/relationships/image" Target="../media/image53.png"/><Relationship Id="rId11" Type="http://schemas.openxmlformats.org/officeDocument/2006/relationships/image" Target="../media/image52.png"/><Relationship Id="rId105" Type="http://schemas.openxmlformats.org/officeDocument/2006/relationships/image" Target="../media/image145.png"/><Relationship Id="rId104" Type="http://schemas.openxmlformats.org/officeDocument/2006/relationships/image" Target="../media/image144.png"/><Relationship Id="rId103" Type="http://schemas.openxmlformats.org/officeDocument/2006/relationships/image" Target="../media/image143.png"/><Relationship Id="rId102" Type="http://schemas.openxmlformats.org/officeDocument/2006/relationships/image" Target="../media/image142.png"/><Relationship Id="rId101" Type="http://schemas.openxmlformats.org/officeDocument/2006/relationships/image" Target="../media/image141.png"/><Relationship Id="rId100" Type="http://schemas.openxmlformats.org/officeDocument/2006/relationships/image" Target="../media/image140.png"/><Relationship Id="rId10" Type="http://schemas.openxmlformats.org/officeDocument/2006/relationships/image" Target="../media/image51.png"/><Relationship Id="rId1" Type="http://schemas.openxmlformats.org/officeDocument/2006/relationships/image" Target="../media/image4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28</xdr:col>
      <xdr:colOff>95250</xdr:colOff>
      <xdr:row>40</xdr:row>
      <xdr:rowOff>160020</xdr:rowOff>
    </xdr:from>
    <xdr:to>
      <xdr:col>30</xdr:col>
      <xdr:colOff>95250</xdr:colOff>
      <xdr:row>43</xdr:row>
      <xdr:rowOff>173990</xdr:rowOff>
    </xdr:to>
    <xdr:pic>
      <xdr:nvPicPr>
        <xdr:cNvPr id="2" name="ID_C7A7FAD3F0F84611BF238F64C398476B" descr="upload_post_object_v2_202541795"/>
        <xdr:cNvPicPr/>
      </xdr:nvPicPr>
      <xdr:blipFill>
        <a:blip r:embed="rId1"/>
        <a:srcRect/>
        <a:stretch>
          <a:fillRect/>
        </a:stretch>
      </xdr:blipFill>
      <xdr:spPr>
        <a:xfrm>
          <a:off x="7322820" y="7780020"/>
          <a:ext cx="516890" cy="585470"/>
        </a:xfrm>
        <a:prstGeom prst="rect">
          <a:avLst/>
        </a:prstGeom>
        <a:noFill/>
        <a:ln>
          <a:noFill/>
        </a:ln>
        <a:effectLst/>
      </xdr:spPr>
    </xdr:pic>
    <xdr:clientData/>
  </xdr:twoCellAnchor>
  <xdr:twoCellAnchor>
    <xdr:from>
      <xdr:col>44</xdr:col>
      <xdr:colOff>0</xdr:colOff>
      <xdr:row>6</xdr:row>
      <xdr:rowOff>1270</xdr:rowOff>
    </xdr:from>
    <xdr:to>
      <xdr:col>52</xdr:col>
      <xdr:colOff>248285</xdr:colOff>
      <xdr:row>6</xdr:row>
      <xdr:rowOff>17145</xdr:rowOff>
    </xdr:to>
    <xdr:cxnSp>
      <xdr:nvCxnSpPr>
        <xdr:cNvPr id="66" name="直接连接符 65"/>
        <xdr:cNvCxnSpPr/>
      </xdr:nvCxnSpPr>
      <xdr:spPr>
        <a:xfrm>
          <a:off x="11414760" y="1144270"/>
          <a:ext cx="2315845" cy="15875"/>
        </a:xfrm>
        <a:prstGeom prst="line">
          <a:avLst/>
        </a:prstGeom>
        <a:ln>
          <a:solidFill>
            <a:srgbClr val="000000"/>
          </a:solidFill>
        </a:ln>
        <a:effectLst>
          <a:outerShdw blurRad="50800" dist="38100" dir="2700000" algn="tl" rotWithShape="0">
            <a:prstClr val="black">
              <a:alpha val="50000"/>
            </a:prstClr>
          </a:outerShdw>
        </a:effectLst>
      </xdr:spPr>
      <xdr:style>
        <a:lnRef idx="2">
          <a:schemeClr val="accent1"/>
        </a:lnRef>
        <a:fillRef idx="0">
          <a:srgbClr val="FFFFFF"/>
        </a:fillRef>
        <a:effectRef idx="0">
          <a:srgbClr val="FFFFFF"/>
        </a:effectRef>
        <a:fontRef idx="minor">
          <a:schemeClr val="tx1"/>
        </a:fontRef>
      </xdr:style>
    </xdr:cxnSp>
    <xdr:clientData/>
  </xdr:twoCellAnchor>
  <xdr:twoCellAnchor>
    <xdr:from>
      <xdr:col>29</xdr:col>
      <xdr:colOff>236855</xdr:colOff>
      <xdr:row>10</xdr:row>
      <xdr:rowOff>163830</xdr:rowOff>
    </xdr:from>
    <xdr:to>
      <xdr:col>53</xdr:col>
      <xdr:colOff>5715</xdr:colOff>
      <xdr:row>12</xdr:row>
      <xdr:rowOff>10160</xdr:rowOff>
    </xdr:to>
    <xdr:sp>
      <xdr:nvSpPr>
        <xdr:cNvPr id="9" name="矩形 8"/>
        <xdr:cNvSpPr/>
      </xdr:nvSpPr>
      <xdr:spPr>
        <a:xfrm>
          <a:off x="7722870" y="2068830"/>
          <a:ext cx="6023610" cy="227330"/>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30</xdr:col>
      <xdr:colOff>71755</xdr:colOff>
      <xdr:row>11</xdr:row>
      <xdr:rowOff>67945</xdr:rowOff>
    </xdr:from>
    <xdr:to>
      <xdr:col>30</xdr:col>
      <xdr:colOff>193040</xdr:colOff>
      <xdr:row>11</xdr:row>
      <xdr:rowOff>144145</xdr:rowOff>
    </xdr:to>
    <xdr:sp>
      <xdr:nvSpPr>
        <xdr:cNvPr id="10" name="等腰三角形 9"/>
        <xdr:cNvSpPr/>
      </xdr:nvSpPr>
      <xdr:spPr>
        <a:xfrm>
          <a:off x="7816215" y="2163445"/>
          <a:ext cx="121285" cy="76200"/>
        </a:xfrm>
        <a:prstGeom prst="triangle">
          <a:avLst/>
        </a:prstGeom>
        <a:solidFill>
          <a:schemeClr val="bg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30</xdr:col>
      <xdr:colOff>146050</xdr:colOff>
      <xdr:row>10</xdr:row>
      <xdr:rowOff>173355</xdr:rowOff>
    </xdr:from>
    <xdr:to>
      <xdr:col>32</xdr:col>
      <xdr:colOff>210820</xdr:colOff>
      <xdr:row>12</xdr:row>
      <xdr:rowOff>0</xdr:rowOff>
    </xdr:to>
    <xdr:sp>
      <xdr:nvSpPr>
        <xdr:cNvPr id="15" name="文本框 14"/>
        <xdr:cNvSpPr txBox="1"/>
      </xdr:nvSpPr>
      <xdr:spPr>
        <a:xfrm>
          <a:off x="7890510" y="2078355"/>
          <a:ext cx="581660" cy="20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zh-CN" altLang="en-US" sz="1100" b="1">
              <a:solidFill>
                <a:schemeClr val="bg1">
                  <a:lumMod val="65000"/>
                </a:schemeClr>
              </a:solidFill>
              <a:latin typeface="黑体" panose="02010609060101010101" charset="-122"/>
              <a:ea typeface="黑体" panose="02010609060101010101" charset="-122"/>
            </a:rPr>
            <a:t>分支</a:t>
          </a:r>
          <a:r>
            <a:rPr lang="en-US" altLang="zh-CN" sz="1100" b="1">
              <a:solidFill>
                <a:schemeClr val="bg1">
                  <a:lumMod val="65000"/>
                </a:schemeClr>
              </a:solidFill>
              <a:latin typeface="黑体" panose="02010609060101010101" charset="-122"/>
              <a:ea typeface="黑体" panose="02010609060101010101" charset="-122"/>
            </a:rPr>
            <a:t>+</a:t>
          </a:r>
          <a:endParaRPr lang="en-US" altLang="zh-CN" sz="1100" b="1">
            <a:solidFill>
              <a:schemeClr val="bg1">
                <a:lumMod val="65000"/>
              </a:schemeClr>
            </a:solidFill>
            <a:latin typeface="黑体" panose="02010609060101010101" charset="-122"/>
            <a:ea typeface="黑体" panose="02010609060101010101" charset="-122"/>
          </a:endParaRPr>
        </a:p>
      </xdr:txBody>
    </xdr:sp>
    <xdr:clientData/>
  </xdr:twoCellAnchor>
  <xdr:twoCellAnchor>
    <xdr:from>
      <xdr:col>44</xdr:col>
      <xdr:colOff>177800</xdr:colOff>
      <xdr:row>3</xdr:row>
      <xdr:rowOff>46355</xdr:rowOff>
    </xdr:from>
    <xdr:to>
      <xdr:col>46</xdr:col>
      <xdr:colOff>123190</xdr:colOff>
      <xdr:row>5</xdr:row>
      <xdr:rowOff>153670</xdr:rowOff>
    </xdr:to>
    <xdr:sp>
      <xdr:nvSpPr>
        <xdr:cNvPr id="4" name="椭圆 3"/>
        <xdr:cNvSpPr/>
      </xdr:nvSpPr>
      <xdr:spPr>
        <a:xfrm>
          <a:off x="11592560" y="617855"/>
          <a:ext cx="462280" cy="488315"/>
        </a:xfrm>
        <a:prstGeom prst="ellipse">
          <a:avLst/>
        </a:prstGeom>
        <a:ln>
          <a:gradFill>
            <a:gsLst>
              <a:gs pos="0">
                <a:srgbClr val="F4E216"/>
              </a:gs>
              <a:gs pos="83000">
                <a:srgbClr val="000000"/>
              </a:gs>
              <a:gs pos="100000">
                <a:srgbClr val="000000"/>
              </a:gs>
            </a:gsLst>
            <a:lin ang="5400000" scaled="1"/>
          </a:gra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40</xdr:col>
      <xdr:colOff>177165</xdr:colOff>
      <xdr:row>6</xdr:row>
      <xdr:rowOff>117475</xdr:rowOff>
    </xdr:from>
    <xdr:to>
      <xdr:col>45</xdr:col>
      <xdr:colOff>288290</xdr:colOff>
      <xdr:row>7</xdr:row>
      <xdr:rowOff>35560</xdr:rowOff>
    </xdr:to>
    <xdr:sp>
      <xdr:nvSpPr>
        <xdr:cNvPr id="26" name="矩形 25"/>
        <xdr:cNvSpPr/>
      </xdr:nvSpPr>
      <xdr:spPr>
        <a:xfrm>
          <a:off x="10549255" y="1260475"/>
          <a:ext cx="1382395" cy="108585"/>
        </a:xfrm>
        <a:prstGeom prst="rect">
          <a:avLst/>
        </a:prstGeom>
        <a:solidFill>
          <a:schemeClr val="tx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40</xdr:col>
      <xdr:colOff>176530</xdr:colOff>
      <xdr:row>6</xdr:row>
      <xdr:rowOff>171450</xdr:rowOff>
    </xdr:from>
    <xdr:to>
      <xdr:col>41</xdr:col>
      <xdr:colOff>15240</xdr:colOff>
      <xdr:row>9</xdr:row>
      <xdr:rowOff>184150</xdr:rowOff>
    </xdr:to>
    <xdr:sp>
      <xdr:nvSpPr>
        <xdr:cNvPr id="27" name="矩形 26"/>
        <xdr:cNvSpPr/>
      </xdr:nvSpPr>
      <xdr:spPr>
        <a:xfrm>
          <a:off x="10548620" y="1314450"/>
          <a:ext cx="97155" cy="584200"/>
        </a:xfrm>
        <a:prstGeom prst="rect">
          <a:avLst/>
        </a:prstGeom>
        <a:solidFill>
          <a:schemeClr val="tx1">
            <a:lumMod val="95000"/>
            <a:lumOff val="5000"/>
          </a:schemeClr>
        </a:solidFill>
        <a:ln>
          <a:noFill/>
        </a:ln>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42</xdr:col>
      <xdr:colOff>106045</xdr:colOff>
      <xdr:row>6</xdr:row>
      <xdr:rowOff>124460</xdr:rowOff>
    </xdr:from>
    <xdr:to>
      <xdr:col>45</xdr:col>
      <xdr:colOff>279400</xdr:colOff>
      <xdr:row>7</xdr:row>
      <xdr:rowOff>187325</xdr:rowOff>
    </xdr:to>
    <xdr:sp>
      <xdr:nvSpPr>
        <xdr:cNvPr id="29" name="直角三角形 28"/>
        <xdr:cNvSpPr/>
      </xdr:nvSpPr>
      <xdr:spPr>
        <a:xfrm flipH="1" flipV="1">
          <a:off x="11003915" y="1267460"/>
          <a:ext cx="927735" cy="253365"/>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35</xdr:col>
      <xdr:colOff>219075</xdr:colOff>
      <xdr:row>7</xdr:row>
      <xdr:rowOff>189865</xdr:rowOff>
    </xdr:from>
    <xdr:to>
      <xdr:col>39</xdr:col>
      <xdr:colOff>283845</xdr:colOff>
      <xdr:row>9</xdr:row>
      <xdr:rowOff>61595</xdr:rowOff>
    </xdr:to>
    <xdr:sp>
      <xdr:nvSpPr>
        <xdr:cNvPr id="31" name="直角三角形 30"/>
        <xdr:cNvSpPr/>
      </xdr:nvSpPr>
      <xdr:spPr>
        <a:xfrm flipH="1" flipV="1">
          <a:off x="9255760" y="1523365"/>
          <a:ext cx="1116330" cy="252730"/>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47</xdr:col>
      <xdr:colOff>189230</xdr:colOff>
      <xdr:row>3</xdr:row>
      <xdr:rowOff>11430</xdr:rowOff>
    </xdr:from>
    <xdr:to>
      <xdr:col>53</xdr:col>
      <xdr:colOff>1270</xdr:colOff>
      <xdr:row>4</xdr:row>
      <xdr:rowOff>14605</xdr:rowOff>
    </xdr:to>
    <xdr:sp>
      <xdr:nvSpPr>
        <xdr:cNvPr id="32" name="直角三角形 31"/>
        <xdr:cNvSpPr/>
      </xdr:nvSpPr>
      <xdr:spPr>
        <a:xfrm flipH="1" flipV="1">
          <a:off x="12379325" y="582930"/>
          <a:ext cx="1362710" cy="193675"/>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24</xdr:col>
      <xdr:colOff>214630</xdr:colOff>
      <xdr:row>65</xdr:row>
      <xdr:rowOff>52070</xdr:rowOff>
    </xdr:from>
    <xdr:to>
      <xdr:col>29</xdr:col>
      <xdr:colOff>73025</xdr:colOff>
      <xdr:row>71</xdr:row>
      <xdr:rowOff>177165</xdr:rowOff>
    </xdr:to>
    <xdr:pic>
      <xdr:nvPicPr>
        <xdr:cNvPr id="16" name="ID_4C2CCF1C4DAA49059C5CFB7147EA0E59" descr="upload_post_object_v2_1868689785"/>
        <xdr:cNvPicPr/>
      </xdr:nvPicPr>
      <xdr:blipFill>
        <a:blip r:embed="rId2"/>
        <a:srcRect/>
        <a:stretch>
          <a:fillRect/>
        </a:stretch>
      </xdr:blipFill>
      <xdr:spPr>
        <a:xfrm>
          <a:off x="6408420" y="12434570"/>
          <a:ext cx="1150620" cy="1268095"/>
        </a:xfrm>
        <a:prstGeom prst="rect">
          <a:avLst/>
        </a:prstGeom>
        <a:noFill/>
        <a:ln>
          <a:noFill/>
        </a:ln>
        <a:effectLst/>
      </xdr:spPr>
    </xdr:pic>
    <xdr:clientData/>
  </xdr:twoCellAnchor>
  <xdr:twoCellAnchor>
    <xdr:from>
      <xdr:col>27</xdr:col>
      <xdr:colOff>267335</xdr:colOff>
      <xdr:row>51</xdr:row>
      <xdr:rowOff>122555</xdr:rowOff>
    </xdr:from>
    <xdr:to>
      <xdr:col>29</xdr:col>
      <xdr:colOff>256540</xdr:colOff>
      <xdr:row>54</xdr:row>
      <xdr:rowOff>68580</xdr:rowOff>
    </xdr:to>
    <xdr:pic>
      <xdr:nvPicPr>
        <xdr:cNvPr id="30" name="ID_F798A03E040A46448F213F556E7BBFD9" descr="upload_post_object_v2_153879651"/>
        <xdr:cNvPicPr/>
      </xdr:nvPicPr>
      <xdr:blipFill>
        <a:blip r:embed="rId3"/>
        <a:srcRect/>
        <a:stretch>
          <a:fillRect/>
        </a:stretch>
      </xdr:blipFill>
      <xdr:spPr>
        <a:xfrm>
          <a:off x="7227570" y="9838055"/>
          <a:ext cx="514985" cy="517525"/>
        </a:xfrm>
        <a:prstGeom prst="rect">
          <a:avLst/>
        </a:prstGeom>
        <a:noFill/>
        <a:ln>
          <a:noFill/>
        </a:ln>
        <a:effectLst/>
      </xdr:spPr>
    </xdr:pic>
    <xdr:clientData/>
  </xdr:twoCellAnchor>
  <xdr:twoCellAnchor>
    <xdr:from>
      <xdr:col>51</xdr:col>
      <xdr:colOff>219710</xdr:colOff>
      <xdr:row>58</xdr:row>
      <xdr:rowOff>66040</xdr:rowOff>
    </xdr:from>
    <xdr:to>
      <xdr:col>54</xdr:col>
      <xdr:colOff>83820</xdr:colOff>
      <xdr:row>61</xdr:row>
      <xdr:rowOff>120015</xdr:rowOff>
    </xdr:to>
    <xdr:pic>
      <xdr:nvPicPr>
        <xdr:cNvPr id="34" name="ID_CF3E7333B753451DAB859BEE58D93190" descr="upload_post_object_v2_2001034594"/>
        <xdr:cNvPicPr/>
      </xdr:nvPicPr>
      <xdr:blipFill>
        <a:blip r:embed="rId4"/>
        <a:srcRect/>
        <a:stretch>
          <a:fillRect/>
        </a:stretch>
      </xdr:blipFill>
      <xdr:spPr>
        <a:xfrm>
          <a:off x="13443585" y="11115040"/>
          <a:ext cx="639445" cy="625475"/>
        </a:xfrm>
        <a:prstGeom prst="rect">
          <a:avLst/>
        </a:prstGeom>
        <a:noFill/>
        <a:ln>
          <a:noFill/>
        </a:ln>
        <a:effectLst/>
      </xdr:spPr>
    </xdr:pic>
    <xdr:clientData/>
  </xdr:twoCellAnchor>
  <xdr:twoCellAnchor>
    <xdr:from>
      <xdr:col>17</xdr:col>
      <xdr:colOff>8890</xdr:colOff>
      <xdr:row>0</xdr:row>
      <xdr:rowOff>115570</xdr:rowOff>
    </xdr:from>
    <xdr:to>
      <xdr:col>18</xdr:col>
      <xdr:colOff>45085</xdr:colOff>
      <xdr:row>0</xdr:row>
      <xdr:rowOff>115570</xdr:rowOff>
    </xdr:to>
    <xdr:pic>
      <xdr:nvPicPr>
        <xdr:cNvPr id="36" name="ID_BA279E6BE367481AA76912F8DDF25CFA" descr="upload_post_object_v2_3514712055"/>
        <xdr:cNvPicPr/>
      </xdr:nvPicPr>
      <xdr:blipFill>
        <a:blip r:embed="rId5"/>
        <a:srcRect/>
        <a:stretch>
          <a:fillRect/>
        </a:stretch>
      </xdr:blipFill>
      <xdr:spPr>
        <a:xfrm>
          <a:off x="4393565" y="115570"/>
          <a:ext cx="294640" cy="0"/>
        </a:xfrm>
        <a:prstGeom prst="rect">
          <a:avLst/>
        </a:prstGeom>
        <a:noFill/>
        <a:ln>
          <a:noFill/>
        </a:ln>
        <a:effectLst/>
      </xdr:spPr>
    </xdr:pic>
    <xdr:clientData/>
  </xdr:twoCellAnchor>
  <xdr:twoCellAnchor>
    <xdr:from>
      <xdr:col>7</xdr:col>
      <xdr:colOff>198437</xdr:colOff>
      <xdr:row>0</xdr:row>
      <xdr:rowOff>51752</xdr:rowOff>
    </xdr:from>
    <xdr:to>
      <xdr:col>10</xdr:col>
      <xdr:colOff>60642</xdr:colOff>
      <xdr:row>4</xdr:row>
      <xdr:rowOff>4127</xdr:rowOff>
    </xdr:to>
    <xdr:pic>
      <xdr:nvPicPr>
        <xdr:cNvPr id="37" name="ID_32F0ACB4CEF54B64BEB623543FAD78DB" descr="upload_post_object_v2_2349310962"/>
        <xdr:cNvPicPr/>
      </xdr:nvPicPr>
      <xdr:blipFill>
        <a:blip r:embed="rId6"/>
        <a:srcRect/>
        <a:stretch>
          <a:fillRect/>
        </a:stretch>
      </xdr:blipFill>
      <xdr:spPr>
        <a:xfrm rot="16200000">
          <a:off x="1959610" y="89535"/>
          <a:ext cx="714375" cy="637540"/>
        </a:xfrm>
        <a:prstGeom prst="rect">
          <a:avLst/>
        </a:prstGeom>
        <a:noFill/>
        <a:ln>
          <a:noFill/>
        </a:ln>
        <a:effectLst/>
      </xdr:spPr>
    </xdr:pic>
    <xdr:clientData/>
  </xdr:twoCellAnchor>
  <xdr:twoCellAnchor>
    <xdr:from>
      <xdr:col>7</xdr:col>
      <xdr:colOff>254635</xdr:colOff>
      <xdr:row>17</xdr:row>
      <xdr:rowOff>134620</xdr:rowOff>
    </xdr:from>
    <xdr:to>
      <xdr:col>9</xdr:col>
      <xdr:colOff>256540</xdr:colOff>
      <xdr:row>20</xdr:row>
      <xdr:rowOff>135890</xdr:rowOff>
    </xdr:to>
    <xdr:pic>
      <xdr:nvPicPr>
        <xdr:cNvPr id="39" name="图片 11" descr=" "/>
        <xdr:cNvPicPr/>
      </xdr:nvPicPr>
      <xdr:blipFill>
        <a:blip r:embed="rId7"/>
        <a:srcRect l="20031" t="14734" r="20019" b="16957"/>
        <a:stretch>
          <a:fillRect/>
        </a:stretch>
      </xdr:blipFill>
      <xdr:spPr>
        <a:xfrm>
          <a:off x="2054860" y="3373120"/>
          <a:ext cx="518795" cy="572770"/>
        </a:xfrm>
        <a:prstGeom prst="rect">
          <a:avLst/>
        </a:prstGeom>
        <a:noFill/>
        <a:ln>
          <a:noFill/>
        </a:ln>
        <a:effectLst/>
      </xdr:spPr>
    </xdr:pic>
    <xdr:clientData/>
  </xdr:twoCellAnchor>
  <xdr:twoCellAnchor>
    <xdr:from>
      <xdr:col>25</xdr:col>
      <xdr:colOff>248285</xdr:colOff>
      <xdr:row>21</xdr:row>
      <xdr:rowOff>106680</xdr:rowOff>
    </xdr:from>
    <xdr:to>
      <xdr:col>26</xdr:col>
      <xdr:colOff>217170</xdr:colOff>
      <xdr:row>22</xdr:row>
      <xdr:rowOff>100330</xdr:rowOff>
    </xdr:to>
    <xdr:sp>
      <xdr:nvSpPr>
        <xdr:cNvPr id="49" name="平行四边形 48"/>
        <xdr:cNvSpPr/>
      </xdr:nvSpPr>
      <xdr:spPr>
        <a:xfrm>
          <a:off x="6700520" y="4107180"/>
          <a:ext cx="227330"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26</xdr:col>
      <xdr:colOff>231775</xdr:colOff>
      <xdr:row>21</xdr:row>
      <xdr:rowOff>106680</xdr:rowOff>
    </xdr:from>
    <xdr:to>
      <xdr:col>27</xdr:col>
      <xdr:colOff>200025</xdr:colOff>
      <xdr:row>22</xdr:row>
      <xdr:rowOff>100330</xdr:rowOff>
    </xdr:to>
    <xdr:sp>
      <xdr:nvSpPr>
        <xdr:cNvPr id="50" name="平行四边形 49"/>
        <xdr:cNvSpPr/>
      </xdr:nvSpPr>
      <xdr:spPr>
        <a:xfrm>
          <a:off x="6942455" y="4107180"/>
          <a:ext cx="226695"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27</xdr:col>
      <xdr:colOff>216535</xdr:colOff>
      <xdr:row>21</xdr:row>
      <xdr:rowOff>106680</xdr:rowOff>
    </xdr:from>
    <xdr:to>
      <xdr:col>28</xdr:col>
      <xdr:colOff>185420</xdr:colOff>
      <xdr:row>22</xdr:row>
      <xdr:rowOff>100330</xdr:rowOff>
    </xdr:to>
    <xdr:sp>
      <xdr:nvSpPr>
        <xdr:cNvPr id="51" name="平行四边形 50"/>
        <xdr:cNvSpPr/>
      </xdr:nvSpPr>
      <xdr:spPr>
        <a:xfrm>
          <a:off x="7185660" y="4107180"/>
          <a:ext cx="227330"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xdr:col>
      <xdr:colOff>91440</xdr:colOff>
      <xdr:row>21</xdr:row>
      <xdr:rowOff>106680</xdr:rowOff>
    </xdr:from>
    <xdr:to>
      <xdr:col>2</xdr:col>
      <xdr:colOff>60325</xdr:colOff>
      <xdr:row>22</xdr:row>
      <xdr:rowOff>100330</xdr:rowOff>
    </xdr:to>
    <xdr:sp>
      <xdr:nvSpPr>
        <xdr:cNvPr id="52" name="平行四边形 51"/>
        <xdr:cNvSpPr/>
      </xdr:nvSpPr>
      <xdr:spPr>
        <a:xfrm>
          <a:off x="340995" y="4107180"/>
          <a:ext cx="227330"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74930</xdr:colOff>
      <xdr:row>21</xdr:row>
      <xdr:rowOff>106680</xdr:rowOff>
    </xdr:from>
    <xdr:to>
      <xdr:col>3</xdr:col>
      <xdr:colOff>43180</xdr:colOff>
      <xdr:row>22</xdr:row>
      <xdr:rowOff>100330</xdr:rowOff>
    </xdr:to>
    <xdr:sp>
      <xdr:nvSpPr>
        <xdr:cNvPr id="53" name="平行四边形 52"/>
        <xdr:cNvSpPr/>
      </xdr:nvSpPr>
      <xdr:spPr>
        <a:xfrm>
          <a:off x="582930" y="4107180"/>
          <a:ext cx="226695"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60325</xdr:colOff>
      <xdr:row>21</xdr:row>
      <xdr:rowOff>106680</xdr:rowOff>
    </xdr:from>
    <xdr:to>
      <xdr:col>4</xdr:col>
      <xdr:colOff>29210</xdr:colOff>
      <xdr:row>22</xdr:row>
      <xdr:rowOff>100330</xdr:rowOff>
    </xdr:to>
    <xdr:sp>
      <xdr:nvSpPr>
        <xdr:cNvPr id="54" name="平行四边形 53"/>
        <xdr:cNvSpPr/>
      </xdr:nvSpPr>
      <xdr:spPr>
        <a:xfrm>
          <a:off x="826770" y="4107180"/>
          <a:ext cx="227330" cy="184150"/>
        </a:xfrm>
        <a:prstGeom prst="parallelogram">
          <a:avLst>
            <a:gd name="adj" fmla="val 20618"/>
          </a:avLst>
        </a:prstGeom>
        <a:solidFill>
          <a:srgbClr val="F2F2F2"/>
        </a:solidFill>
        <a:ln>
          <a:noFill/>
        </a:ln>
        <a:effectLst>
          <a:outerShdw blurRad="50800" dist="38100" dir="2700000" algn="tl" rotWithShape="0">
            <a:schemeClr val="bg1">
              <a:alpha val="40000"/>
            </a:scheme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51</xdr:col>
      <xdr:colOff>247650</xdr:colOff>
      <xdr:row>92</xdr:row>
      <xdr:rowOff>80645</xdr:rowOff>
    </xdr:from>
    <xdr:to>
      <xdr:col>54</xdr:col>
      <xdr:colOff>0</xdr:colOff>
      <xdr:row>95</xdr:row>
      <xdr:rowOff>48260</xdr:rowOff>
    </xdr:to>
    <xdr:pic>
      <xdr:nvPicPr>
        <xdr:cNvPr id="57" name="图片 56"/>
        <xdr:cNvPicPr>
          <a:picLocks noChangeAspect="1"/>
        </xdr:cNvPicPr>
      </xdr:nvPicPr>
      <xdr:blipFill>
        <a:blip r:embed="rId8" r:link="rId9"/>
        <a:stretch>
          <a:fillRect/>
        </a:stretch>
      </xdr:blipFill>
      <xdr:spPr>
        <a:xfrm>
          <a:off x="13471525" y="17606645"/>
          <a:ext cx="527685" cy="539115"/>
        </a:xfrm>
        <a:prstGeom prst="rect">
          <a:avLst/>
        </a:prstGeom>
        <a:noFill/>
        <a:ln>
          <a:noFill/>
        </a:ln>
      </xdr:spPr>
    </xdr:pic>
    <xdr:clientData/>
  </xdr:twoCellAnchor>
  <xdr:twoCellAnchor editAs="oneCell">
    <xdr:from>
      <xdr:col>27</xdr:col>
      <xdr:colOff>160020</xdr:colOff>
      <xdr:row>58</xdr:row>
      <xdr:rowOff>189865</xdr:rowOff>
    </xdr:from>
    <xdr:to>
      <xdr:col>30</xdr:col>
      <xdr:colOff>3810</xdr:colOff>
      <xdr:row>61</xdr:row>
      <xdr:rowOff>120650</xdr:rowOff>
    </xdr:to>
    <xdr:pic>
      <xdr:nvPicPr>
        <xdr:cNvPr id="60" name="图片 59"/>
        <xdr:cNvPicPr>
          <a:picLocks noChangeAspect="1"/>
        </xdr:cNvPicPr>
      </xdr:nvPicPr>
      <xdr:blipFill>
        <a:blip r:embed="rId10" r:link="rId9"/>
        <a:stretch>
          <a:fillRect/>
        </a:stretch>
      </xdr:blipFill>
      <xdr:spPr>
        <a:xfrm>
          <a:off x="7129145" y="11238865"/>
          <a:ext cx="619125" cy="502285"/>
        </a:xfrm>
        <a:prstGeom prst="rect">
          <a:avLst/>
        </a:prstGeom>
        <a:noFill/>
        <a:ln>
          <a:noFill/>
        </a:ln>
      </xdr:spPr>
    </xdr:pic>
    <xdr:clientData/>
  </xdr:twoCellAnchor>
  <xdr:twoCellAnchor editAs="oneCell">
    <xdr:from>
      <xdr:col>47</xdr:col>
      <xdr:colOff>70485</xdr:colOff>
      <xdr:row>4</xdr:row>
      <xdr:rowOff>35560</xdr:rowOff>
    </xdr:from>
    <xdr:to>
      <xdr:col>52</xdr:col>
      <xdr:colOff>108585</xdr:colOff>
      <xdr:row>6</xdr:row>
      <xdr:rowOff>12700</xdr:rowOff>
    </xdr:to>
    <xdr:pic>
      <xdr:nvPicPr>
        <xdr:cNvPr id="61" name="图片 60"/>
        <xdr:cNvPicPr>
          <a:picLocks noChangeAspect="1"/>
        </xdr:cNvPicPr>
      </xdr:nvPicPr>
      <xdr:blipFill>
        <a:blip r:embed="rId11" r:link="rId9"/>
        <a:stretch>
          <a:fillRect/>
        </a:stretch>
      </xdr:blipFill>
      <xdr:spPr>
        <a:xfrm>
          <a:off x="12260580" y="797560"/>
          <a:ext cx="1330325" cy="358140"/>
        </a:xfrm>
        <a:prstGeom prst="rect">
          <a:avLst/>
        </a:prstGeom>
        <a:noFill/>
        <a:ln>
          <a:noFill/>
        </a:ln>
      </xdr:spPr>
    </xdr:pic>
    <xdr:clientData/>
  </xdr:twoCellAnchor>
  <xdr:twoCellAnchor editAs="oneCell">
    <xdr:from>
      <xdr:col>51</xdr:col>
      <xdr:colOff>234315</xdr:colOff>
      <xdr:row>9</xdr:row>
      <xdr:rowOff>84455</xdr:rowOff>
    </xdr:from>
    <xdr:to>
      <xdr:col>55</xdr:col>
      <xdr:colOff>29845</xdr:colOff>
      <xdr:row>12</xdr:row>
      <xdr:rowOff>189865</xdr:rowOff>
    </xdr:to>
    <xdr:pic>
      <xdr:nvPicPr>
        <xdr:cNvPr id="62" name="图片 61"/>
        <xdr:cNvPicPr>
          <a:picLocks noChangeAspect="1"/>
        </xdr:cNvPicPr>
      </xdr:nvPicPr>
      <xdr:blipFill>
        <a:blip r:embed="rId12" r:link="rId9"/>
        <a:stretch>
          <a:fillRect/>
        </a:stretch>
      </xdr:blipFill>
      <xdr:spPr>
        <a:xfrm rot="20100000">
          <a:off x="13458190" y="1798955"/>
          <a:ext cx="829310" cy="676910"/>
        </a:xfrm>
        <a:prstGeom prst="rect">
          <a:avLst/>
        </a:prstGeom>
        <a:noFill/>
        <a:ln>
          <a:noFill/>
        </a:ln>
      </xdr:spPr>
    </xdr:pic>
    <xdr:clientData/>
  </xdr:twoCellAnchor>
  <xdr:twoCellAnchor editAs="oneCell">
    <xdr:from>
      <xdr:col>51</xdr:col>
      <xdr:colOff>215265</xdr:colOff>
      <xdr:row>7</xdr:row>
      <xdr:rowOff>118745</xdr:rowOff>
    </xdr:from>
    <xdr:to>
      <xdr:col>55</xdr:col>
      <xdr:colOff>45720</xdr:colOff>
      <xdr:row>11</xdr:row>
      <xdr:rowOff>41910</xdr:rowOff>
    </xdr:to>
    <xdr:pic>
      <xdr:nvPicPr>
        <xdr:cNvPr id="55" name="图片 54"/>
        <xdr:cNvPicPr>
          <a:picLocks noChangeAspect="1"/>
        </xdr:cNvPicPr>
      </xdr:nvPicPr>
      <xdr:blipFill>
        <a:blip r:embed="rId13"/>
        <a:stretch>
          <a:fillRect/>
        </a:stretch>
      </xdr:blipFill>
      <xdr:spPr>
        <a:xfrm rot="20760000">
          <a:off x="13439140" y="1452245"/>
          <a:ext cx="864235" cy="685165"/>
        </a:xfrm>
        <a:prstGeom prst="rect">
          <a:avLst/>
        </a:prstGeom>
        <a:noFill/>
        <a:ln w="9525">
          <a:noFill/>
        </a:ln>
      </xdr:spPr>
    </xdr:pic>
    <xdr:clientData/>
  </xdr:twoCellAnchor>
  <xdr:twoCellAnchor editAs="oneCell">
    <xdr:from>
      <xdr:col>16</xdr:col>
      <xdr:colOff>137160</xdr:colOff>
      <xdr:row>61</xdr:row>
      <xdr:rowOff>38100</xdr:rowOff>
    </xdr:from>
    <xdr:to>
      <xdr:col>19</xdr:col>
      <xdr:colOff>161925</xdr:colOff>
      <xdr:row>64</xdr:row>
      <xdr:rowOff>107315</xdr:rowOff>
    </xdr:to>
    <xdr:pic>
      <xdr:nvPicPr>
        <xdr:cNvPr id="64" name="图片 63"/>
        <xdr:cNvPicPr>
          <a:picLocks noChangeAspect="1"/>
        </xdr:cNvPicPr>
      </xdr:nvPicPr>
      <xdr:blipFill>
        <a:blip r:embed="rId14" r:link="rId9"/>
        <a:stretch>
          <a:fillRect/>
        </a:stretch>
      </xdr:blipFill>
      <xdr:spPr>
        <a:xfrm>
          <a:off x="4263390" y="11658600"/>
          <a:ext cx="800100" cy="640715"/>
        </a:xfrm>
        <a:prstGeom prst="rect">
          <a:avLst/>
        </a:prstGeom>
        <a:noFill/>
        <a:ln>
          <a:noFill/>
        </a:ln>
      </xdr:spPr>
    </xdr:pic>
    <xdr:clientData/>
  </xdr:twoCellAnchor>
  <xdr:twoCellAnchor editAs="oneCell">
    <xdr:from>
      <xdr:col>52</xdr:col>
      <xdr:colOff>41910</xdr:colOff>
      <xdr:row>6</xdr:row>
      <xdr:rowOff>4445</xdr:rowOff>
    </xdr:from>
    <xdr:to>
      <xdr:col>55</xdr:col>
      <xdr:colOff>109855</xdr:colOff>
      <xdr:row>9</xdr:row>
      <xdr:rowOff>97790</xdr:rowOff>
    </xdr:to>
    <xdr:pic>
      <xdr:nvPicPr>
        <xdr:cNvPr id="65" name="图片 64"/>
        <xdr:cNvPicPr>
          <a:picLocks noChangeAspect="1"/>
        </xdr:cNvPicPr>
      </xdr:nvPicPr>
      <xdr:blipFill>
        <a:blip r:embed="rId15" r:link="rId9"/>
        <a:stretch>
          <a:fillRect/>
        </a:stretch>
      </xdr:blipFill>
      <xdr:spPr>
        <a:xfrm rot="240000">
          <a:off x="13524230" y="1147445"/>
          <a:ext cx="843280" cy="664845"/>
        </a:xfrm>
        <a:prstGeom prst="rect">
          <a:avLst/>
        </a:prstGeom>
        <a:noFill/>
        <a:ln>
          <a:noFill/>
        </a:ln>
      </xdr:spPr>
    </xdr:pic>
    <xdr:clientData/>
  </xdr:twoCellAnchor>
  <xdr:twoCellAnchor editAs="oneCell">
    <xdr:from>
      <xdr:col>32</xdr:col>
      <xdr:colOff>158750</xdr:colOff>
      <xdr:row>41</xdr:row>
      <xdr:rowOff>98425</xdr:rowOff>
    </xdr:from>
    <xdr:to>
      <xdr:col>33</xdr:col>
      <xdr:colOff>81280</xdr:colOff>
      <xdr:row>43</xdr:row>
      <xdr:rowOff>121920</xdr:rowOff>
    </xdr:to>
    <xdr:pic>
      <xdr:nvPicPr>
        <xdr:cNvPr id="67" name="图片 66"/>
        <xdr:cNvPicPr>
          <a:picLocks noChangeAspect="1"/>
        </xdr:cNvPicPr>
      </xdr:nvPicPr>
      <xdr:blipFill>
        <a:blip r:embed="rId16" r:link="rId9"/>
        <a:stretch>
          <a:fillRect/>
        </a:stretch>
      </xdr:blipFill>
      <xdr:spPr>
        <a:xfrm rot="20580000">
          <a:off x="8420100" y="7908925"/>
          <a:ext cx="180975" cy="404495"/>
        </a:xfrm>
        <a:prstGeom prst="rect">
          <a:avLst/>
        </a:prstGeom>
        <a:noFill/>
        <a:ln>
          <a:noFill/>
        </a:ln>
      </xdr:spPr>
    </xdr:pic>
    <xdr:clientData/>
  </xdr:twoCellAnchor>
  <xdr:twoCellAnchor editAs="oneCell">
    <xdr:from>
      <xdr:col>53</xdr:col>
      <xdr:colOff>92710</xdr:colOff>
      <xdr:row>51</xdr:row>
      <xdr:rowOff>151765</xdr:rowOff>
    </xdr:from>
    <xdr:to>
      <xdr:col>54</xdr:col>
      <xdr:colOff>96520</xdr:colOff>
      <xdr:row>54</xdr:row>
      <xdr:rowOff>52070</xdr:rowOff>
    </xdr:to>
    <xdr:pic>
      <xdr:nvPicPr>
        <xdr:cNvPr id="68" name="图片 67"/>
        <xdr:cNvPicPr>
          <a:picLocks noChangeAspect="1"/>
        </xdr:cNvPicPr>
      </xdr:nvPicPr>
      <xdr:blipFill>
        <a:blip r:embed="rId17" r:link="rId9"/>
        <a:stretch>
          <a:fillRect/>
        </a:stretch>
      </xdr:blipFill>
      <xdr:spPr>
        <a:xfrm>
          <a:off x="13833475" y="9867265"/>
          <a:ext cx="262255" cy="471805"/>
        </a:xfrm>
        <a:prstGeom prst="rect">
          <a:avLst/>
        </a:prstGeom>
        <a:noFill/>
        <a:ln>
          <a:noFill/>
        </a:ln>
      </xdr:spPr>
    </xdr:pic>
    <xdr:clientData/>
  </xdr:twoCellAnchor>
  <xdr:twoCellAnchor editAs="oneCell">
    <xdr:from>
      <xdr:col>0</xdr:col>
      <xdr:colOff>635</xdr:colOff>
      <xdr:row>93</xdr:row>
      <xdr:rowOff>21590</xdr:rowOff>
    </xdr:from>
    <xdr:to>
      <xdr:col>2</xdr:col>
      <xdr:colOff>205740</xdr:colOff>
      <xdr:row>96</xdr:row>
      <xdr:rowOff>17145</xdr:rowOff>
    </xdr:to>
    <xdr:pic>
      <xdr:nvPicPr>
        <xdr:cNvPr id="8" name="图片 7"/>
        <xdr:cNvPicPr>
          <a:picLocks noChangeAspect="1"/>
        </xdr:cNvPicPr>
      </xdr:nvPicPr>
      <xdr:blipFill>
        <a:blip r:embed="rId18" r:link="rId9"/>
        <a:stretch>
          <a:fillRect/>
        </a:stretch>
      </xdr:blipFill>
      <xdr:spPr>
        <a:xfrm>
          <a:off x="635" y="17738090"/>
          <a:ext cx="713105" cy="567055"/>
        </a:xfrm>
        <a:prstGeom prst="rect">
          <a:avLst/>
        </a:prstGeom>
        <a:noFill/>
        <a:ln>
          <a:noFill/>
        </a:ln>
      </xdr:spPr>
    </xdr:pic>
    <xdr:clientData/>
  </xdr:twoCellAnchor>
  <xdr:twoCellAnchor editAs="oneCell">
    <xdr:from>
      <xdr:col>27</xdr:col>
      <xdr:colOff>172085</xdr:colOff>
      <xdr:row>47</xdr:row>
      <xdr:rowOff>130810</xdr:rowOff>
    </xdr:from>
    <xdr:to>
      <xdr:col>29</xdr:col>
      <xdr:colOff>170180</xdr:colOff>
      <xdr:row>49</xdr:row>
      <xdr:rowOff>140335</xdr:rowOff>
    </xdr:to>
    <xdr:pic>
      <xdr:nvPicPr>
        <xdr:cNvPr id="14" name="图片 13"/>
        <xdr:cNvPicPr>
          <a:picLocks noChangeAspect="1"/>
        </xdr:cNvPicPr>
      </xdr:nvPicPr>
      <xdr:blipFill>
        <a:blip r:embed="rId19" r:link="rId9"/>
        <a:stretch>
          <a:fillRect/>
        </a:stretch>
      </xdr:blipFill>
      <xdr:spPr>
        <a:xfrm>
          <a:off x="7141210" y="9084310"/>
          <a:ext cx="514985" cy="390525"/>
        </a:xfrm>
        <a:prstGeom prst="rect">
          <a:avLst/>
        </a:prstGeom>
        <a:noFill/>
        <a:ln>
          <a:noFill/>
        </a:ln>
      </xdr:spPr>
    </xdr:pic>
    <xdr:clientData/>
  </xdr:twoCellAnchor>
  <xdr:twoCellAnchor>
    <xdr:from>
      <xdr:col>29</xdr:col>
      <xdr:colOff>96520</xdr:colOff>
      <xdr:row>76</xdr:row>
      <xdr:rowOff>90170</xdr:rowOff>
    </xdr:from>
    <xdr:to>
      <xdr:col>31</xdr:col>
      <xdr:colOff>173355</xdr:colOff>
      <xdr:row>82</xdr:row>
      <xdr:rowOff>38735</xdr:rowOff>
    </xdr:to>
    <xdr:pic>
      <xdr:nvPicPr>
        <xdr:cNvPr id="48" name="ID_6CF12667CFA441F0B08D7E4935BCE74B" descr="upload_post_object_v2_964805742"/>
        <xdr:cNvPicPr/>
      </xdr:nvPicPr>
      <xdr:blipFill>
        <a:blip r:embed="rId20"/>
        <a:srcRect l="31776" r="33178" b="29170"/>
        <a:stretch>
          <a:fillRect/>
        </a:stretch>
      </xdr:blipFill>
      <xdr:spPr>
        <a:xfrm>
          <a:off x="7582535" y="14568170"/>
          <a:ext cx="593725" cy="1091565"/>
        </a:xfrm>
        <a:prstGeom prst="rect">
          <a:avLst/>
        </a:prstGeom>
        <a:noFill/>
        <a:ln>
          <a:noFill/>
        </a:ln>
        <a:effectLst/>
      </xdr:spPr>
    </xdr:pic>
    <xdr:clientData/>
  </xdr:twoCellAnchor>
  <xdr:twoCellAnchor>
    <xdr:from>
      <xdr:col>12</xdr:col>
      <xdr:colOff>158115</xdr:colOff>
      <xdr:row>68</xdr:row>
      <xdr:rowOff>168275</xdr:rowOff>
    </xdr:from>
    <xdr:to>
      <xdr:col>15</xdr:col>
      <xdr:colOff>123190</xdr:colOff>
      <xdr:row>73</xdr:row>
      <xdr:rowOff>130175</xdr:rowOff>
    </xdr:to>
    <xdr:pic>
      <xdr:nvPicPr>
        <xdr:cNvPr id="58" name="ID_A07DF9C529DB475BA612248061E99856" descr="upload_post_object_v2_3528051598"/>
        <xdr:cNvPicPr/>
      </xdr:nvPicPr>
      <xdr:blipFill>
        <a:blip r:embed="rId21"/>
        <a:srcRect/>
        <a:stretch>
          <a:fillRect/>
        </a:stretch>
      </xdr:blipFill>
      <xdr:spPr>
        <a:xfrm>
          <a:off x="3250565" y="13122275"/>
          <a:ext cx="740410" cy="914400"/>
        </a:xfrm>
        <a:prstGeom prst="rect">
          <a:avLst/>
        </a:prstGeom>
        <a:noFill/>
        <a:ln>
          <a:noFill/>
        </a:ln>
        <a:effectLst/>
      </xdr:spPr>
    </xdr:pic>
    <xdr:clientData/>
  </xdr:twoCellAnchor>
  <xdr:twoCellAnchor>
    <xdr:from>
      <xdr:col>28</xdr:col>
      <xdr:colOff>79375</xdr:colOff>
      <xdr:row>91</xdr:row>
      <xdr:rowOff>94615</xdr:rowOff>
    </xdr:from>
    <xdr:to>
      <xdr:col>30</xdr:col>
      <xdr:colOff>65405</xdr:colOff>
      <xdr:row>94</xdr:row>
      <xdr:rowOff>142240</xdr:rowOff>
    </xdr:to>
    <xdr:pic>
      <xdr:nvPicPr>
        <xdr:cNvPr id="59" name="ID_9D99FCAD5CEA465BA6C1453A9DC618CB" descr="upload_post_object_v2_4149322189"/>
        <xdr:cNvPicPr/>
      </xdr:nvPicPr>
      <xdr:blipFill>
        <a:blip r:embed="rId22"/>
        <a:srcRect/>
        <a:stretch>
          <a:fillRect/>
        </a:stretch>
      </xdr:blipFill>
      <xdr:spPr>
        <a:xfrm>
          <a:off x="7306945" y="17430115"/>
          <a:ext cx="502920" cy="619125"/>
        </a:xfrm>
        <a:prstGeom prst="rect">
          <a:avLst/>
        </a:prstGeom>
        <a:noFill/>
        <a:ln>
          <a:noFill/>
        </a:ln>
        <a:effectLst/>
      </xdr:spPr>
    </xdr:pic>
    <xdr:clientData/>
  </xdr:twoCellAnchor>
  <xdr:twoCellAnchor>
    <xdr:from>
      <xdr:col>1</xdr:col>
      <xdr:colOff>255905</xdr:colOff>
      <xdr:row>25</xdr:row>
      <xdr:rowOff>20320</xdr:rowOff>
    </xdr:from>
    <xdr:to>
      <xdr:col>2</xdr:col>
      <xdr:colOff>141605</xdr:colOff>
      <xdr:row>25</xdr:row>
      <xdr:rowOff>164465</xdr:rowOff>
    </xdr:to>
    <xdr:pic>
      <xdr:nvPicPr>
        <xdr:cNvPr id="3" name="图片 2" descr="肌肉"/>
        <xdr:cNvPicPr>
          <a:picLocks noChangeAspect="1"/>
        </xdr:cNvPicPr>
      </xdr:nvPicPr>
      <xdr:blipFill>
        <a:blip r:embed="rId23">
          <a:extLst>
            <a:ext uri="{96DAC541-7B7A-43D3-8B79-37D633B846F1}">
              <asvg:svgBlip xmlns:asvg="http://schemas.microsoft.com/office/drawing/2016/SVG/main" r:embed="rId24"/>
            </a:ext>
          </a:extLst>
        </a:blip>
        <a:stretch>
          <a:fillRect/>
        </a:stretch>
      </xdr:blipFill>
      <xdr:spPr>
        <a:xfrm>
          <a:off x="505460" y="4782820"/>
          <a:ext cx="144145" cy="144145"/>
        </a:xfrm>
        <a:prstGeom prst="rect">
          <a:avLst/>
        </a:prstGeom>
      </xdr:spPr>
    </xdr:pic>
    <xdr:clientData/>
  </xdr:twoCellAnchor>
  <xdr:twoCellAnchor>
    <xdr:from>
      <xdr:col>1</xdr:col>
      <xdr:colOff>237490</xdr:colOff>
      <xdr:row>34</xdr:row>
      <xdr:rowOff>29845</xdr:rowOff>
    </xdr:from>
    <xdr:to>
      <xdr:col>2</xdr:col>
      <xdr:colOff>121920</xdr:colOff>
      <xdr:row>34</xdr:row>
      <xdr:rowOff>173990</xdr:rowOff>
    </xdr:to>
    <xdr:pic>
      <xdr:nvPicPr>
        <xdr:cNvPr id="5" name="图片 4" descr="心"/>
        <xdr:cNvPicPr>
          <a:picLocks noChangeAspect="1"/>
        </xdr:cNvPicPr>
      </xdr:nvPicPr>
      <xdr:blipFill>
        <a:blip r:embed="rId25">
          <a:extLst>
            <a:ext uri="{96DAC541-7B7A-43D3-8B79-37D633B846F1}">
              <asvg:svgBlip xmlns:asvg="http://schemas.microsoft.com/office/drawing/2016/SVG/main" r:embed="rId26"/>
            </a:ext>
          </a:extLst>
        </a:blip>
        <a:stretch>
          <a:fillRect/>
        </a:stretch>
      </xdr:blipFill>
      <xdr:spPr>
        <a:xfrm>
          <a:off x="487045" y="6506845"/>
          <a:ext cx="142875" cy="144145"/>
        </a:xfrm>
        <a:prstGeom prst="rect">
          <a:avLst/>
        </a:prstGeom>
      </xdr:spPr>
    </xdr:pic>
    <xdr:clientData/>
  </xdr:twoCellAnchor>
  <xdr:twoCellAnchor>
    <xdr:from>
      <xdr:col>1</xdr:col>
      <xdr:colOff>210185</xdr:colOff>
      <xdr:row>38</xdr:row>
      <xdr:rowOff>15240</xdr:rowOff>
    </xdr:from>
    <xdr:to>
      <xdr:col>2</xdr:col>
      <xdr:colOff>129540</xdr:colOff>
      <xdr:row>39</xdr:row>
      <xdr:rowOff>3175</xdr:rowOff>
    </xdr:to>
    <xdr:pic>
      <xdr:nvPicPr>
        <xdr:cNvPr id="6" name="图片 5" descr="参会人员"/>
        <xdr:cNvPicPr>
          <a:picLocks noChangeAspect="1"/>
        </xdr:cNvPicPr>
      </xdr:nvPicPr>
      <xdr:blipFill>
        <a:blip r:embed="rId27">
          <a:extLst>
            <a:ext uri="{96DAC541-7B7A-43D3-8B79-37D633B846F1}">
              <asvg:svgBlip xmlns:asvg="http://schemas.microsoft.com/office/drawing/2016/SVG/main" r:embed="rId28"/>
            </a:ext>
          </a:extLst>
        </a:blip>
        <a:stretch>
          <a:fillRect/>
        </a:stretch>
      </xdr:blipFill>
      <xdr:spPr>
        <a:xfrm>
          <a:off x="459740" y="7254240"/>
          <a:ext cx="177800" cy="178435"/>
        </a:xfrm>
        <a:prstGeom prst="rect">
          <a:avLst/>
        </a:prstGeom>
      </xdr:spPr>
    </xdr:pic>
    <xdr:clientData/>
  </xdr:twoCellAnchor>
  <xdr:twoCellAnchor>
    <xdr:from>
      <xdr:col>8</xdr:col>
      <xdr:colOff>239395</xdr:colOff>
      <xdr:row>30</xdr:row>
      <xdr:rowOff>20955</xdr:rowOff>
    </xdr:from>
    <xdr:to>
      <xdr:col>9</xdr:col>
      <xdr:colOff>134620</xdr:colOff>
      <xdr:row>30</xdr:row>
      <xdr:rowOff>177800</xdr:rowOff>
    </xdr:to>
    <xdr:pic>
      <xdr:nvPicPr>
        <xdr:cNvPr id="7" name="图片 6" descr="教育理念"/>
        <xdr:cNvPicPr>
          <a:picLocks noChangeAspect="1"/>
        </xdr:cNvPicPr>
      </xdr:nvPicPr>
      <xdr:blipFill>
        <a:blip r:embed="rId29">
          <a:extLst>
            <a:ext uri="{96DAC541-7B7A-43D3-8B79-37D633B846F1}">
              <asvg:svgBlip xmlns:asvg="http://schemas.microsoft.com/office/drawing/2016/SVG/main" r:embed="rId30"/>
            </a:ext>
          </a:extLst>
        </a:blip>
        <a:stretch>
          <a:fillRect/>
        </a:stretch>
      </xdr:blipFill>
      <xdr:spPr>
        <a:xfrm>
          <a:off x="2298065" y="5735955"/>
          <a:ext cx="153670" cy="156845"/>
        </a:xfrm>
        <a:prstGeom prst="rect">
          <a:avLst/>
        </a:prstGeom>
      </xdr:spPr>
    </xdr:pic>
    <xdr:clientData/>
  </xdr:twoCellAnchor>
  <xdr:twoCellAnchor>
    <xdr:from>
      <xdr:col>8</xdr:col>
      <xdr:colOff>230505</xdr:colOff>
      <xdr:row>37</xdr:row>
      <xdr:rowOff>31115</xdr:rowOff>
    </xdr:from>
    <xdr:to>
      <xdr:col>9</xdr:col>
      <xdr:colOff>130175</xdr:colOff>
      <xdr:row>37</xdr:row>
      <xdr:rowOff>189230</xdr:rowOff>
    </xdr:to>
    <xdr:pic>
      <xdr:nvPicPr>
        <xdr:cNvPr id="11" name="图片 10" descr="齿轮"/>
        <xdr:cNvPicPr>
          <a:picLocks noChangeAspect="1"/>
        </xdr:cNvPicPr>
      </xdr:nvPicPr>
      <xdr:blipFill>
        <a:blip r:embed="rId31">
          <a:extLst>
            <a:ext uri="{96DAC541-7B7A-43D3-8B79-37D633B846F1}">
              <asvg:svgBlip xmlns:asvg="http://schemas.microsoft.com/office/drawing/2016/SVG/main" r:embed="rId32"/>
            </a:ext>
          </a:extLst>
        </a:blip>
        <a:stretch>
          <a:fillRect/>
        </a:stretch>
      </xdr:blipFill>
      <xdr:spPr>
        <a:xfrm>
          <a:off x="2289175" y="7079615"/>
          <a:ext cx="158115" cy="158115"/>
        </a:xfrm>
        <a:prstGeom prst="rect">
          <a:avLst/>
        </a:prstGeom>
      </xdr:spPr>
    </xdr:pic>
    <xdr:clientData/>
  </xdr:twoCellAnchor>
  <xdr:twoCellAnchor>
    <xdr:from>
      <xdr:col>8</xdr:col>
      <xdr:colOff>242570</xdr:colOff>
      <xdr:row>25</xdr:row>
      <xdr:rowOff>9525</xdr:rowOff>
    </xdr:from>
    <xdr:to>
      <xdr:col>9</xdr:col>
      <xdr:colOff>149860</xdr:colOff>
      <xdr:row>25</xdr:row>
      <xdr:rowOff>176530</xdr:rowOff>
    </xdr:to>
    <xdr:pic>
      <xdr:nvPicPr>
        <xdr:cNvPr id="12" name="图片 11" descr="骑士"/>
        <xdr:cNvPicPr>
          <a:picLocks noChangeAspect="1"/>
        </xdr:cNvPicPr>
      </xdr:nvPicPr>
      <xdr:blipFill>
        <a:blip r:embed="rId33">
          <a:extLst>
            <a:ext uri="{96DAC541-7B7A-43D3-8B79-37D633B846F1}">
              <asvg:svgBlip xmlns:asvg="http://schemas.microsoft.com/office/drawing/2016/SVG/main" r:embed="rId34"/>
            </a:ext>
          </a:extLst>
        </a:blip>
        <a:stretch>
          <a:fillRect/>
        </a:stretch>
      </xdr:blipFill>
      <xdr:spPr>
        <a:xfrm>
          <a:off x="2301240" y="4772025"/>
          <a:ext cx="165735" cy="167005"/>
        </a:xfrm>
        <a:prstGeom prst="rect">
          <a:avLst/>
        </a:prstGeom>
      </xdr:spPr>
    </xdr:pic>
    <xdr:clientData/>
  </xdr:twoCellAnchor>
  <xdr:twoCellAnchor>
    <xdr:from>
      <xdr:col>15</xdr:col>
      <xdr:colOff>239395</xdr:colOff>
      <xdr:row>30</xdr:row>
      <xdr:rowOff>24765</xdr:rowOff>
    </xdr:from>
    <xdr:to>
      <xdr:col>16</xdr:col>
      <xdr:colOff>139065</xdr:colOff>
      <xdr:row>30</xdr:row>
      <xdr:rowOff>183515</xdr:rowOff>
    </xdr:to>
    <xdr:pic>
      <xdr:nvPicPr>
        <xdr:cNvPr id="13" name="图片 12" descr="剪刀"/>
        <xdr:cNvPicPr>
          <a:picLocks noChangeAspect="1"/>
        </xdr:cNvPicPr>
      </xdr:nvPicPr>
      <xdr:blipFill>
        <a:blip r:embed="rId35">
          <a:extLst>
            <a:ext uri="{96DAC541-7B7A-43D3-8B79-37D633B846F1}">
              <asvg:svgBlip xmlns:asvg="http://schemas.microsoft.com/office/drawing/2016/SVG/main" r:embed="rId36"/>
            </a:ext>
          </a:extLst>
        </a:blip>
        <a:stretch>
          <a:fillRect/>
        </a:stretch>
      </xdr:blipFill>
      <xdr:spPr>
        <a:xfrm>
          <a:off x="4107180" y="5739765"/>
          <a:ext cx="158115" cy="158750"/>
        </a:xfrm>
        <a:prstGeom prst="rect">
          <a:avLst/>
        </a:prstGeom>
      </xdr:spPr>
    </xdr:pic>
    <xdr:clientData/>
  </xdr:twoCellAnchor>
  <xdr:twoCellAnchor>
    <xdr:from>
      <xdr:col>15</xdr:col>
      <xdr:colOff>246380</xdr:colOff>
      <xdr:row>25</xdr:row>
      <xdr:rowOff>26670</xdr:rowOff>
    </xdr:from>
    <xdr:to>
      <xdr:col>16</xdr:col>
      <xdr:colOff>133985</xdr:colOff>
      <xdr:row>25</xdr:row>
      <xdr:rowOff>173990</xdr:rowOff>
    </xdr:to>
    <xdr:pic>
      <xdr:nvPicPr>
        <xdr:cNvPr id="17" name="图片 16" descr="FPS游戏瞄准镜"/>
        <xdr:cNvPicPr>
          <a:picLocks noChangeAspect="1"/>
        </xdr:cNvPicPr>
      </xdr:nvPicPr>
      <xdr:blipFill>
        <a:blip r:embed="rId37">
          <a:extLst>
            <a:ext uri="{96DAC541-7B7A-43D3-8B79-37D633B846F1}">
              <asvg:svgBlip xmlns:asvg="http://schemas.microsoft.com/office/drawing/2016/SVG/main" r:embed="rId38"/>
            </a:ext>
          </a:extLst>
        </a:blip>
        <a:stretch>
          <a:fillRect/>
        </a:stretch>
      </xdr:blipFill>
      <xdr:spPr>
        <a:xfrm>
          <a:off x="4114165" y="4789170"/>
          <a:ext cx="146050" cy="147320"/>
        </a:xfrm>
        <a:prstGeom prst="rect">
          <a:avLst/>
        </a:prstGeom>
      </xdr:spPr>
    </xdr:pic>
    <xdr:clientData/>
  </xdr:twoCellAnchor>
  <xdr:twoCellAnchor>
    <xdr:from>
      <xdr:col>22</xdr:col>
      <xdr:colOff>205105</xdr:colOff>
      <xdr:row>35</xdr:row>
      <xdr:rowOff>12065</xdr:rowOff>
    </xdr:from>
    <xdr:to>
      <xdr:col>23</xdr:col>
      <xdr:colOff>124460</xdr:colOff>
      <xdr:row>36</xdr:row>
      <xdr:rowOff>0</xdr:rowOff>
    </xdr:to>
    <xdr:pic>
      <xdr:nvPicPr>
        <xdr:cNvPr id="18" name="图片 17" descr="眼睛"/>
        <xdr:cNvPicPr>
          <a:picLocks noChangeAspect="1"/>
        </xdr:cNvPicPr>
      </xdr:nvPicPr>
      <xdr:blipFill>
        <a:blip r:embed="rId39">
          <a:extLst>
            <a:ext uri="{96DAC541-7B7A-43D3-8B79-37D633B846F1}">
              <asvg:svgBlip xmlns:asvg="http://schemas.microsoft.com/office/drawing/2016/SVG/main" r:embed="rId40"/>
            </a:ext>
          </a:extLst>
        </a:blip>
        <a:stretch>
          <a:fillRect/>
        </a:stretch>
      </xdr:blipFill>
      <xdr:spPr>
        <a:xfrm>
          <a:off x="5882005" y="6679565"/>
          <a:ext cx="177800" cy="178435"/>
        </a:xfrm>
        <a:prstGeom prst="rect">
          <a:avLst/>
        </a:prstGeom>
      </xdr:spPr>
    </xdr:pic>
    <xdr:clientData/>
  </xdr:twoCellAnchor>
  <xdr:twoCellAnchor>
    <xdr:from>
      <xdr:col>22</xdr:col>
      <xdr:colOff>202565</xdr:colOff>
      <xdr:row>31</xdr:row>
      <xdr:rowOff>26035</xdr:rowOff>
    </xdr:from>
    <xdr:to>
      <xdr:col>23</xdr:col>
      <xdr:colOff>109855</xdr:colOff>
      <xdr:row>32</xdr:row>
      <xdr:rowOff>2540</xdr:rowOff>
    </xdr:to>
    <xdr:pic>
      <xdr:nvPicPr>
        <xdr:cNvPr id="19" name="图片 18" descr="隐藏"/>
        <xdr:cNvPicPr>
          <a:picLocks noChangeAspect="1"/>
        </xdr:cNvPicPr>
      </xdr:nvPicPr>
      <xdr:blipFill>
        <a:blip r:embed="rId41">
          <a:extLst>
            <a:ext uri="{96DAC541-7B7A-43D3-8B79-37D633B846F1}">
              <asvg:svgBlip xmlns:asvg="http://schemas.microsoft.com/office/drawing/2016/SVG/main" r:embed="rId42"/>
            </a:ext>
          </a:extLst>
        </a:blip>
        <a:stretch>
          <a:fillRect/>
        </a:stretch>
      </xdr:blipFill>
      <xdr:spPr>
        <a:xfrm>
          <a:off x="5879465" y="5931535"/>
          <a:ext cx="165735" cy="167005"/>
        </a:xfrm>
        <a:prstGeom prst="rect">
          <a:avLst/>
        </a:prstGeom>
      </xdr:spPr>
    </xdr:pic>
    <xdr:clientData/>
  </xdr:twoCellAnchor>
  <xdr:twoCellAnchor editAs="oneCell">
    <xdr:from>
      <xdr:col>31</xdr:col>
      <xdr:colOff>40640</xdr:colOff>
      <xdr:row>1</xdr:row>
      <xdr:rowOff>42545</xdr:rowOff>
    </xdr:from>
    <xdr:to>
      <xdr:col>31</xdr:col>
      <xdr:colOff>229235</xdr:colOff>
      <xdr:row>2</xdr:row>
      <xdr:rowOff>25400</xdr:rowOff>
    </xdr:to>
    <xdr:pic>
      <xdr:nvPicPr>
        <xdr:cNvPr id="20" name="ID_E9478C60C9034E3B8918B6E771168926"/>
        <xdr:cNvPicPr>
          <a:picLocks noChangeAspect="1"/>
        </xdr:cNvPicPr>
      </xdr:nvPicPr>
      <xdr:blipFill>
        <a:blip r:embed="rId43" r:link="rId9"/>
        <a:stretch>
          <a:fillRect/>
        </a:stretch>
      </xdr:blipFill>
      <xdr:spPr>
        <a:xfrm>
          <a:off x="8043545" y="233045"/>
          <a:ext cx="188595" cy="173355"/>
        </a:xfrm>
        <a:prstGeom prst="rect">
          <a:avLst/>
        </a:prstGeom>
        <a:noFill/>
        <a:ln>
          <a:noFill/>
        </a:ln>
      </xdr:spPr>
    </xdr:pic>
    <xdr:clientData/>
  </xdr:twoCellAnchor>
  <xdr:twoCellAnchor>
    <xdr:from>
      <xdr:col>39</xdr:col>
      <xdr:colOff>53975</xdr:colOff>
      <xdr:row>2</xdr:row>
      <xdr:rowOff>8255</xdr:rowOff>
    </xdr:from>
    <xdr:to>
      <xdr:col>39</xdr:col>
      <xdr:colOff>200025</xdr:colOff>
      <xdr:row>2</xdr:row>
      <xdr:rowOff>155575</xdr:rowOff>
    </xdr:to>
    <xdr:pic>
      <xdr:nvPicPr>
        <xdr:cNvPr id="43" name="图片 42" descr="FPS游戏瞄准镜"/>
        <xdr:cNvPicPr>
          <a:picLocks noChangeAspect="1"/>
        </xdr:cNvPicPr>
      </xdr:nvPicPr>
      <xdr:blipFill>
        <a:blip r:embed="rId37">
          <a:extLst>
            <a:ext uri="{96DAC541-7B7A-43D3-8B79-37D633B846F1}">
              <asvg:svgBlip xmlns:asvg="http://schemas.microsoft.com/office/drawing/2016/SVG/main" r:embed="rId38"/>
            </a:ext>
          </a:extLst>
        </a:blip>
        <a:stretch>
          <a:fillRect/>
        </a:stretch>
      </xdr:blipFill>
      <xdr:spPr>
        <a:xfrm>
          <a:off x="10167620" y="389255"/>
          <a:ext cx="146050" cy="147320"/>
        </a:xfrm>
        <a:prstGeom prst="rect">
          <a:avLst/>
        </a:prstGeom>
      </xdr:spPr>
    </xdr:pic>
    <xdr:clientData/>
  </xdr:twoCellAnchor>
  <xdr:twoCellAnchor>
    <xdr:from>
      <xdr:col>39</xdr:col>
      <xdr:colOff>48260</xdr:colOff>
      <xdr:row>5</xdr:row>
      <xdr:rowOff>2540</xdr:rowOff>
    </xdr:from>
    <xdr:to>
      <xdr:col>39</xdr:col>
      <xdr:colOff>206375</xdr:colOff>
      <xdr:row>5</xdr:row>
      <xdr:rowOff>161290</xdr:rowOff>
    </xdr:to>
    <xdr:pic>
      <xdr:nvPicPr>
        <xdr:cNvPr id="44" name="图片 43" descr="剪刀"/>
        <xdr:cNvPicPr>
          <a:picLocks noChangeAspect="1"/>
        </xdr:cNvPicPr>
      </xdr:nvPicPr>
      <xdr:blipFill>
        <a:blip r:embed="rId35">
          <a:extLst>
            <a:ext uri="{96DAC541-7B7A-43D3-8B79-37D633B846F1}">
              <asvg:svgBlip xmlns:asvg="http://schemas.microsoft.com/office/drawing/2016/SVG/main" r:embed="rId36"/>
            </a:ext>
          </a:extLst>
        </a:blip>
        <a:stretch>
          <a:fillRect/>
        </a:stretch>
      </xdr:blipFill>
      <xdr:spPr>
        <a:xfrm>
          <a:off x="10161905" y="955040"/>
          <a:ext cx="158115" cy="158750"/>
        </a:xfrm>
        <a:prstGeom prst="rect">
          <a:avLst/>
        </a:prstGeom>
      </xdr:spPr>
    </xdr:pic>
    <xdr:clientData/>
  </xdr:twoCellAnchor>
  <xdr:twoCellAnchor>
    <xdr:from>
      <xdr:col>33</xdr:col>
      <xdr:colOff>56515</xdr:colOff>
      <xdr:row>4</xdr:row>
      <xdr:rowOff>189230</xdr:rowOff>
    </xdr:from>
    <xdr:to>
      <xdr:col>33</xdr:col>
      <xdr:colOff>222250</xdr:colOff>
      <xdr:row>5</xdr:row>
      <xdr:rowOff>165100</xdr:rowOff>
    </xdr:to>
    <xdr:pic>
      <xdr:nvPicPr>
        <xdr:cNvPr id="45" name="图片 44" descr="隐藏"/>
        <xdr:cNvPicPr>
          <a:picLocks noChangeAspect="1"/>
        </xdr:cNvPicPr>
      </xdr:nvPicPr>
      <xdr:blipFill>
        <a:blip r:embed="rId41">
          <a:extLst>
            <a:ext uri="{96DAC541-7B7A-43D3-8B79-37D633B846F1}">
              <asvg:svgBlip xmlns:asvg="http://schemas.microsoft.com/office/drawing/2016/SVG/main" r:embed="rId42"/>
            </a:ext>
          </a:extLst>
        </a:blip>
        <a:stretch>
          <a:fillRect/>
        </a:stretch>
      </xdr:blipFill>
      <xdr:spPr>
        <a:xfrm>
          <a:off x="8576310" y="951230"/>
          <a:ext cx="165735" cy="166370"/>
        </a:xfrm>
        <a:prstGeom prst="rect">
          <a:avLst/>
        </a:prstGeom>
      </xdr:spPr>
    </xdr:pic>
    <xdr:clientData/>
  </xdr:twoCellAnchor>
  <xdr:twoCellAnchor>
    <xdr:from>
      <xdr:col>34</xdr:col>
      <xdr:colOff>50800</xdr:colOff>
      <xdr:row>4</xdr:row>
      <xdr:rowOff>183515</xdr:rowOff>
    </xdr:from>
    <xdr:to>
      <xdr:col>34</xdr:col>
      <xdr:colOff>228600</xdr:colOff>
      <xdr:row>5</xdr:row>
      <xdr:rowOff>171450</xdr:rowOff>
    </xdr:to>
    <xdr:pic>
      <xdr:nvPicPr>
        <xdr:cNvPr id="46" name="图片 45" descr="眼睛"/>
        <xdr:cNvPicPr>
          <a:picLocks noChangeAspect="1"/>
        </xdr:cNvPicPr>
      </xdr:nvPicPr>
      <xdr:blipFill>
        <a:blip r:embed="rId39">
          <a:extLst>
            <a:ext uri="{96DAC541-7B7A-43D3-8B79-37D633B846F1}">
              <asvg:svgBlip xmlns:asvg="http://schemas.microsoft.com/office/drawing/2016/SVG/main" r:embed="rId40"/>
            </a:ext>
          </a:extLst>
        </a:blip>
        <a:stretch>
          <a:fillRect/>
        </a:stretch>
      </xdr:blipFill>
      <xdr:spPr>
        <a:xfrm>
          <a:off x="8829040" y="945515"/>
          <a:ext cx="177800" cy="178435"/>
        </a:xfrm>
        <a:prstGeom prst="rect">
          <a:avLst/>
        </a:prstGeom>
      </xdr:spPr>
    </xdr:pic>
    <xdr:clientData/>
  </xdr:twoCellAnchor>
  <xdr:twoCellAnchor>
    <xdr:from>
      <xdr:col>38</xdr:col>
      <xdr:colOff>63500</xdr:colOff>
      <xdr:row>5</xdr:row>
      <xdr:rowOff>3175</xdr:rowOff>
    </xdr:from>
    <xdr:to>
      <xdr:col>38</xdr:col>
      <xdr:colOff>221615</xdr:colOff>
      <xdr:row>5</xdr:row>
      <xdr:rowOff>161290</xdr:rowOff>
    </xdr:to>
    <xdr:pic>
      <xdr:nvPicPr>
        <xdr:cNvPr id="47" name="图片 46" descr="齿轮"/>
        <xdr:cNvPicPr>
          <a:picLocks noChangeAspect="1"/>
        </xdr:cNvPicPr>
      </xdr:nvPicPr>
      <xdr:blipFill>
        <a:blip r:embed="rId31">
          <a:extLst>
            <a:ext uri="{96DAC541-7B7A-43D3-8B79-37D633B846F1}">
              <asvg:svgBlip xmlns:asvg="http://schemas.microsoft.com/office/drawing/2016/SVG/main" r:embed="rId32"/>
            </a:ext>
          </a:extLst>
        </a:blip>
        <a:stretch>
          <a:fillRect/>
        </a:stretch>
      </xdr:blipFill>
      <xdr:spPr>
        <a:xfrm>
          <a:off x="9897110" y="955675"/>
          <a:ext cx="158115" cy="158115"/>
        </a:xfrm>
        <a:prstGeom prst="rect">
          <a:avLst/>
        </a:prstGeom>
      </xdr:spPr>
    </xdr:pic>
    <xdr:clientData/>
  </xdr:twoCellAnchor>
  <xdr:twoCellAnchor>
    <xdr:from>
      <xdr:col>37</xdr:col>
      <xdr:colOff>50165</xdr:colOff>
      <xdr:row>5</xdr:row>
      <xdr:rowOff>3810</xdr:rowOff>
    </xdr:from>
    <xdr:to>
      <xdr:col>37</xdr:col>
      <xdr:colOff>203835</xdr:colOff>
      <xdr:row>5</xdr:row>
      <xdr:rowOff>160655</xdr:rowOff>
    </xdr:to>
    <xdr:pic>
      <xdr:nvPicPr>
        <xdr:cNvPr id="56" name="图片 55" descr="教育理念"/>
        <xdr:cNvPicPr>
          <a:picLocks noChangeAspect="1"/>
        </xdr:cNvPicPr>
      </xdr:nvPicPr>
      <xdr:blipFill>
        <a:blip r:embed="rId29">
          <a:extLst>
            <a:ext uri="{96DAC541-7B7A-43D3-8B79-37D633B846F1}">
              <asvg:svgBlip xmlns:asvg="http://schemas.microsoft.com/office/drawing/2016/SVG/main" r:embed="rId30"/>
            </a:ext>
          </a:extLst>
        </a:blip>
        <a:stretch>
          <a:fillRect/>
        </a:stretch>
      </xdr:blipFill>
      <xdr:spPr>
        <a:xfrm>
          <a:off x="9625330" y="956310"/>
          <a:ext cx="153670" cy="156845"/>
        </a:xfrm>
        <a:prstGeom prst="rect">
          <a:avLst/>
        </a:prstGeom>
      </xdr:spPr>
    </xdr:pic>
    <xdr:clientData/>
  </xdr:twoCellAnchor>
  <xdr:twoCellAnchor>
    <xdr:from>
      <xdr:col>38</xdr:col>
      <xdr:colOff>65405</xdr:colOff>
      <xdr:row>1</xdr:row>
      <xdr:rowOff>189865</xdr:rowOff>
    </xdr:from>
    <xdr:to>
      <xdr:col>38</xdr:col>
      <xdr:colOff>231140</xdr:colOff>
      <xdr:row>2</xdr:row>
      <xdr:rowOff>167005</xdr:rowOff>
    </xdr:to>
    <xdr:pic>
      <xdr:nvPicPr>
        <xdr:cNvPr id="63" name="图片 62" descr="骑士"/>
        <xdr:cNvPicPr>
          <a:picLocks noChangeAspect="1"/>
        </xdr:cNvPicPr>
      </xdr:nvPicPr>
      <xdr:blipFill>
        <a:blip r:embed="rId33">
          <a:extLst>
            <a:ext uri="{96DAC541-7B7A-43D3-8B79-37D633B846F1}">
              <asvg:svgBlip xmlns:asvg="http://schemas.microsoft.com/office/drawing/2016/SVG/main" r:embed="rId34"/>
            </a:ext>
          </a:extLst>
        </a:blip>
        <a:stretch>
          <a:fillRect/>
        </a:stretch>
      </xdr:blipFill>
      <xdr:spPr>
        <a:xfrm>
          <a:off x="9899015" y="380365"/>
          <a:ext cx="165735" cy="167640"/>
        </a:xfrm>
        <a:prstGeom prst="rect">
          <a:avLst/>
        </a:prstGeom>
      </xdr:spPr>
    </xdr:pic>
    <xdr:clientData/>
  </xdr:twoCellAnchor>
  <xdr:twoCellAnchor>
    <xdr:from>
      <xdr:col>36</xdr:col>
      <xdr:colOff>71755</xdr:colOff>
      <xdr:row>2</xdr:row>
      <xdr:rowOff>10160</xdr:rowOff>
    </xdr:from>
    <xdr:to>
      <xdr:col>36</xdr:col>
      <xdr:colOff>215900</xdr:colOff>
      <xdr:row>2</xdr:row>
      <xdr:rowOff>154305</xdr:rowOff>
    </xdr:to>
    <xdr:pic>
      <xdr:nvPicPr>
        <xdr:cNvPr id="69" name="图片 68" descr="肌肉"/>
        <xdr:cNvPicPr>
          <a:picLocks noChangeAspect="1"/>
        </xdr:cNvPicPr>
      </xdr:nvPicPr>
      <xdr:blipFill>
        <a:blip r:embed="rId23">
          <a:extLst>
            <a:ext uri="{96DAC541-7B7A-43D3-8B79-37D633B846F1}">
              <asvg:svgBlip xmlns:asvg="http://schemas.microsoft.com/office/drawing/2016/SVG/main" r:embed="rId24"/>
            </a:ext>
          </a:extLst>
        </a:blip>
        <a:stretch>
          <a:fillRect/>
        </a:stretch>
      </xdr:blipFill>
      <xdr:spPr>
        <a:xfrm>
          <a:off x="9388475" y="391160"/>
          <a:ext cx="144145" cy="144145"/>
        </a:xfrm>
        <a:prstGeom prst="rect">
          <a:avLst/>
        </a:prstGeom>
      </xdr:spPr>
    </xdr:pic>
    <xdr:clientData/>
  </xdr:twoCellAnchor>
  <xdr:twoCellAnchor>
    <xdr:from>
      <xdr:col>35</xdr:col>
      <xdr:colOff>71755</xdr:colOff>
      <xdr:row>5</xdr:row>
      <xdr:rowOff>8890</xdr:rowOff>
    </xdr:from>
    <xdr:to>
      <xdr:col>35</xdr:col>
      <xdr:colOff>214630</xdr:colOff>
      <xdr:row>5</xdr:row>
      <xdr:rowOff>153035</xdr:rowOff>
    </xdr:to>
    <xdr:pic>
      <xdr:nvPicPr>
        <xdr:cNvPr id="70" name="图片 69" descr="心"/>
        <xdr:cNvPicPr>
          <a:picLocks noChangeAspect="1"/>
        </xdr:cNvPicPr>
      </xdr:nvPicPr>
      <xdr:blipFill>
        <a:blip r:embed="rId25">
          <a:extLst>
            <a:ext uri="{96DAC541-7B7A-43D3-8B79-37D633B846F1}">
              <asvg:svgBlip xmlns:asvg="http://schemas.microsoft.com/office/drawing/2016/SVG/main" r:embed="rId26"/>
            </a:ext>
          </a:extLst>
        </a:blip>
        <a:stretch>
          <a:fillRect/>
        </a:stretch>
      </xdr:blipFill>
      <xdr:spPr>
        <a:xfrm>
          <a:off x="9108440" y="961390"/>
          <a:ext cx="142875" cy="144145"/>
        </a:xfrm>
        <a:prstGeom prst="rect">
          <a:avLst/>
        </a:prstGeom>
      </xdr:spPr>
    </xdr:pic>
    <xdr:clientData/>
  </xdr:twoCellAnchor>
  <xdr:twoCellAnchor>
    <xdr:from>
      <xdr:col>36</xdr:col>
      <xdr:colOff>45720</xdr:colOff>
      <xdr:row>4</xdr:row>
      <xdr:rowOff>183515</xdr:rowOff>
    </xdr:from>
    <xdr:to>
      <xdr:col>36</xdr:col>
      <xdr:colOff>223520</xdr:colOff>
      <xdr:row>5</xdr:row>
      <xdr:rowOff>171450</xdr:rowOff>
    </xdr:to>
    <xdr:pic>
      <xdr:nvPicPr>
        <xdr:cNvPr id="71" name="图片 70" descr="参会人员"/>
        <xdr:cNvPicPr>
          <a:picLocks noChangeAspect="1"/>
        </xdr:cNvPicPr>
      </xdr:nvPicPr>
      <xdr:blipFill>
        <a:blip r:embed="rId27">
          <a:extLst>
            <a:ext uri="{96DAC541-7B7A-43D3-8B79-37D633B846F1}">
              <asvg:svgBlip xmlns:asvg="http://schemas.microsoft.com/office/drawing/2016/SVG/main" r:embed="rId28"/>
            </a:ext>
          </a:extLst>
        </a:blip>
        <a:stretch>
          <a:fillRect/>
        </a:stretch>
      </xdr:blipFill>
      <xdr:spPr>
        <a:xfrm>
          <a:off x="9362440" y="945515"/>
          <a:ext cx="177800" cy="17843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225425</xdr:colOff>
      <xdr:row>5</xdr:row>
      <xdr:rowOff>6985</xdr:rowOff>
    </xdr:from>
    <xdr:to>
      <xdr:col>4</xdr:col>
      <xdr:colOff>421005</xdr:colOff>
      <xdr:row>5</xdr:row>
      <xdr:rowOff>6985</xdr:rowOff>
    </xdr:to>
    <xdr:cxnSp>
      <xdr:nvCxnSpPr>
        <xdr:cNvPr id="2" name="直接连接符 1"/>
        <xdr:cNvCxnSpPr/>
      </xdr:nvCxnSpPr>
      <xdr:spPr>
        <a:xfrm>
          <a:off x="225425" y="2737485"/>
          <a:ext cx="2938780" cy="0"/>
        </a:xfrm>
        <a:prstGeom prst="line">
          <a:avLst/>
        </a:prstGeom>
        <a:ln w="2540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6</xdr:row>
      <xdr:rowOff>10160</xdr:rowOff>
    </xdr:from>
    <xdr:to>
      <xdr:col>4</xdr:col>
      <xdr:colOff>421005</xdr:colOff>
      <xdr:row>6</xdr:row>
      <xdr:rowOff>10160</xdr:rowOff>
    </xdr:to>
    <xdr:cxnSp>
      <xdr:nvCxnSpPr>
        <xdr:cNvPr id="3" name="直接连接符 2"/>
        <xdr:cNvCxnSpPr/>
      </xdr:nvCxnSpPr>
      <xdr:spPr>
        <a:xfrm>
          <a:off x="225425" y="3502660"/>
          <a:ext cx="2938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225425</xdr:colOff>
      <xdr:row>9</xdr:row>
      <xdr:rowOff>10795</xdr:rowOff>
    </xdr:from>
    <xdr:to>
      <xdr:col>4</xdr:col>
      <xdr:colOff>421005</xdr:colOff>
      <xdr:row>9</xdr:row>
      <xdr:rowOff>10795</xdr:rowOff>
    </xdr:to>
    <xdr:cxnSp>
      <xdr:nvCxnSpPr>
        <xdr:cNvPr id="4" name="直接连接符 3"/>
        <xdr:cNvCxnSpPr/>
      </xdr:nvCxnSpPr>
      <xdr:spPr>
        <a:xfrm>
          <a:off x="225425" y="5281295"/>
          <a:ext cx="2938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238125</xdr:colOff>
      <xdr:row>16</xdr:row>
      <xdr:rowOff>15240</xdr:rowOff>
    </xdr:from>
    <xdr:to>
      <xdr:col>4</xdr:col>
      <xdr:colOff>433705</xdr:colOff>
      <xdr:row>16</xdr:row>
      <xdr:rowOff>15240</xdr:rowOff>
    </xdr:to>
    <xdr:cxnSp>
      <xdr:nvCxnSpPr>
        <xdr:cNvPr id="5" name="直接连接符 4"/>
        <xdr:cNvCxnSpPr/>
      </xdr:nvCxnSpPr>
      <xdr:spPr>
        <a:xfrm>
          <a:off x="238125" y="9603740"/>
          <a:ext cx="2938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235585</xdr:colOff>
      <xdr:row>16</xdr:row>
      <xdr:rowOff>759460</xdr:rowOff>
    </xdr:from>
    <xdr:to>
      <xdr:col>4</xdr:col>
      <xdr:colOff>431165</xdr:colOff>
      <xdr:row>16</xdr:row>
      <xdr:rowOff>759460</xdr:rowOff>
    </xdr:to>
    <xdr:cxnSp>
      <xdr:nvCxnSpPr>
        <xdr:cNvPr id="6" name="直接连接符 5"/>
        <xdr:cNvCxnSpPr/>
      </xdr:nvCxnSpPr>
      <xdr:spPr>
        <a:xfrm>
          <a:off x="235585" y="10347960"/>
          <a:ext cx="2938780" cy="0"/>
        </a:xfrm>
        <a:prstGeom prst="line">
          <a:avLst/>
        </a:prstGeom>
        <a:ln w="19050">
          <a:solidFill>
            <a:schemeClr val="bg1">
              <a:lumMod val="75000"/>
            </a:schemeClr>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0</xdr:colOff>
      <xdr:row>1</xdr:row>
      <xdr:rowOff>0</xdr:rowOff>
    </xdr:from>
    <xdr:to>
      <xdr:col>36</xdr:col>
      <xdr:colOff>9525</xdr:colOff>
      <xdr:row>1</xdr:row>
      <xdr:rowOff>179705</xdr:rowOff>
    </xdr:to>
    <xdr:sp>
      <xdr:nvSpPr>
        <xdr:cNvPr id="7" name="矩形 6"/>
        <xdr:cNvSpPr/>
      </xdr:nvSpPr>
      <xdr:spPr>
        <a:xfrm>
          <a:off x="0" y="762000"/>
          <a:ext cx="23669625" cy="179705"/>
        </a:xfrm>
        <a:prstGeom prst="rect">
          <a:avLst/>
        </a:prstGeom>
        <a:solidFill>
          <a:srgbClr val="313131"/>
        </a:solidFill>
        <a:ln>
          <a:no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261620</xdr:colOff>
      <xdr:row>0</xdr:row>
      <xdr:rowOff>22860</xdr:rowOff>
    </xdr:from>
    <xdr:to>
      <xdr:col>5</xdr:col>
      <xdr:colOff>8255</xdr:colOff>
      <xdr:row>0</xdr:row>
      <xdr:rowOff>275590</xdr:rowOff>
    </xdr:to>
    <xdr:sp>
      <xdr:nvSpPr>
        <xdr:cNvPr id="8" name="直角三角形 7"/>
        <xdr:cNvSpPr/>
      </xdr:nvSpPr>
      <xdr:spPr>
        <a:xfrm flipH="1" flipV="1">
          <a:off x="2319020" y="22860"/>
          <a:ext cx="1118235" cy="252730"/>
        </a:xfrm>
        <a:prstGeom prst="rtTriangle">
          <a:avLst/>
        </a:prstGeom>
        <a:solidFill>
          <a:schemeClr val="tx1">
            <a:lumMod val="75000"/>
            <a:lumOff val="25000"/>
          </a:schemeClr>
        </a:solidFill>
        <a:ln>
          <a:noFill/>
        </a:ln>
        <a:effectLst>
          <a:innerShdw blurRad="63500" dist="50800" dir="1602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476250</xdr:colOff>
      <xdr:row>16</xdr:row>
      <xdr:rowOff>333375</xdr:rowOff>
    </xdr:from>
    <xdr:to>
      <xdr:col>7</xdr:col>
      <xdr:colOff>53340</xdr:colOff>
      <xdr:row>19</xdr:row>
      <xdr:rowOff>316865</xdr:rowOff>
    </xdr:to>
    <xdr:sp>
      <xdr:nvSpPr>
        <xdr:cNvPr id="2" name="文本框 1"/>
        <xdr:cNvSpPr txBox="1"/>
      </xdr:nvSpPr>
      <xdr:spPr>
        <a:xfrm>
          <a:off x="1470025" y="6240780"/>
          <a:ext cx="3225165" cy="1126490"/>
        </a:xfrm>
        <a:prstGeom prst="rect">
          <a:avLst/>
        </a:prstGeom>
        <a:solidFill>
          <a:schemeClr val="lt1"/>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p>
          <a:pPr algn="l"/>
          <a:r>
            <a:rPr lang="en-US" altLang="zh-CN" sz="1200" b="1">
              <a:latin typeface="Times New Roman" panose="02020603050405020304" charset="0"/>
              <a:cs typeface="Times New Roman" panose="02020603050405020304" charset="0"/>
            </a:rPr>
            <a:t>PC</a:t>
          </a:r>
          <a:r>
            <a:rPr lang="zh-CN" altLang="en-US" sz="1200" b="1">
              <a:latin typeface="Times New Roman" panose="02020603050405020304" charset="0"/>
              <a:cs typeface="Times New Roman" panose="02020603050405020304" charset="0"/>
            </a:rPr>
            <a:t>端若无法正常复制输出结果，请单击简化卡输出单元格（而非双击以选中公式）后，将其复制到文本框内再输出。</a:t>
          </a:r>
          <a:endParaRPr lang="zh-CN" altLang="en-US" sz="1200" b="1">
            <a:latin typeface="Times New Roman" panose="02020603050405020304" charset="0"/>
            <a:cs typeface="Times New Roman" panose="02020603050405020304" charset="0"/>
          </a:endParaRPr>
        </a:p>
        <a:p>
          <a:pPr algn="l"/>
          <a:r>
            <a:rPr lang="zh-CN" altLang="en-US" sz="1200" b="1">
              <a:latin typeface="Times New Roman" panose="02020603050405020304" charset="0"/>
              <a:cs typeface="Times New Roman" panose="02020603050405020304" charset="0"/>
            </a:rPr>
            <a:t>将该结果发送给骰娘，即可完成信息录入。</a:t>
          </a:r>
          <a:endParaRPr lang="en-US" altLang="zh-CN" sz="1200" b="1">
            <a:latin typeface="Times New Roman" panose="02020603050405020304" charset="0"/>
            <a:cs typeface="Times New Roman" panose="02020603050405020304" charset="0"/>
          </a:endParaRPr>
        </a:p>
      </xdr:txBody>
    </xdr:sp>
    <xdr:clientData/>
  </xdr:twoCellAnchor>
  <xdr:twoCellAnchor>
    <xdr:from>
      <xdr:col>2</xdr:col>
      <xdr:colOff>476250</xdr:colOff>
      <xdr:row>20</xdr:row>
      <xdr:rowOff>88265</xdr:rowOff>
    </xdr:from>
    <xdr:to>
      <xdr:col>7</xdr:col>
      <xdr:colOff>53340</xdr:colOff>
      <xdr:row>23</xdr:row>
      <xdr:rowOff>71755</xdr:rowOff>
    </xdr:to>
    <xdr:sp>
      <xdr:nvSpPr>
        <xdr:cNvPr id="3" name="文本框 2"/>
        <xdr:cNvSpPr txBox="1"/>
      </xdr:nvSpPr>
      <xdr:spPr>
        <a:xfrm>
          <a:off x="1470025" y="7519670"/>
          <a:ext cx="3225165" cy="1126490"/>
        </a:xfrm>
        <a:prstGeom prst="rect">
          <a:avLst/>
        </a:prstGeom>
        <a:solidFill>
          <a:schemeClr val="lt1"/>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ltLang="zh-CN" sz="1200" b="1">
            <a:latin typeface="Times New Roman" panose="02020603050405020304" charset="0"/>
            <a:cs typeface="Times New Roman" panose="020206030504050203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542290</xdr:colOff>
      <xdr:row>6</xdr:row>
      <xdr:rowOff>64135</xdr:rowOff>
    </xdr:to>
    <xdr:pic>
      <xdr:nvPicPr>
        <xdr:cNvPr id="5" name="ID_65FCD58497EF437FA699165EA403C4BB"/>
        <xdr:cNvPicPr>
          <a:picLocks noChangeAspect="1"/>
        </xdr:cNvPicPr>
      </xdr:nvPicPr>
      <xdr:blipFill>
        <a:blip r:embed="rId1" r:link="rId2"/>
        <a:stretch>
          <a:fillRect/>
        </a:stretch>
      </xdr:blipFill>
      <xdr:spPr>
        <a:xfrm>
          <a:off x="53340" y="3340100"/>
          <a:ext cx="1159510" cy="1161415"/>
        </a:xfrm>
        <a:prstGeom prst="rect">
          <a:avLst/>
        </a:prstGeom>
        <a:noFill/>
        <a:ln>
          <a:noFill/>
        </a:ln>
      </xdr:spPr>
    </xdr:pic>
    <xdr:clientData/>
  </xdr:twoCellAnchor>
  <xdr:twoCellAnchor editAs="oneCell">
    <xdr:from>
      <xdr:col>0</xdr:col>
      <xdr:colOff>0</xdr:colOff>
      <xdr:row>0</xdr:row>
      <xdr:rowOff>0</xdr:rowOff>
    </xdr:from>
    <xdr:to>
      <xdr:col>1</xdr:col>
      <xdr:colOff>373380</xdr:colOff>
      <xdr:row>5</xdr:row>
      <xdr:rowOff>76200</xdr:rowOff>
    </xdr:to>
    <xdr:pic>
      <xdr:nvPicPr>
        <xdr:cNvPr id="8" name="ID_9E0615141E544072985A467390B07B49"/>
        <xdr:cNvPicPr>
          <a:picLocks noChangeAspect="1"/>
        </xdr:cNvPicPr>
      </xdr:nvPicPr>
      <xdr:blipFill>
        <a:blip r:embed="rId3" r:link="rId2"/>
        <a:stretch>
          <a:fillRect/>
        </a:stretch>
      </xdr:blipFill>
      <xdr:spPr>
        <a:xfrm>
          <a:off x="106680" y="2153920"/>
          <a:ext cx="990600" cy="990600"/>
        </a:xfrm>
        <a:prstGeom prst="rect">
          <a:avLst/>
        </a:prstGeom>
        <a:noFill/>
        <a:ln>
          <a:noFill/>
        </a:ln>
      </xdr:spPr>
    </xdr:pic>
    <xdr:clientData/>
  </xdr:twoCellAnchor>
  <xdr:twoCellAnchor editAs="oneCell">
    <xdr:from>
      <xdr:col>0</xdr:col>
      <xdr:colOff>0</xdr:colOff>
      <xdr:row>0</xdr:row>
      <xdr:rowOff>0</xdr:rowOff>
    </xdr:from>
    <xdr:to>
      <xdr:col>1</xdr:col>
      <xdr:colOff>76200</xdr:colOff>
      <xdr:row>3</xdr:row>
      <xdr:rowOff>144780</xdr:rowOff>
    </xdr:to>
    <xdr:pic>
      <xdr:nvPicPr>
        <xdr:cNvPr id="9" name="ID_F24032A0ABB24BAD95DE4231078C89A4"/>
        <xdr:cNvPicPr>
          <a:picLocks noChangeAspect="1"/>
        </xdr:cNvPicPr>
      </xdr:nvPicPr>
      <xdr:blipFill>
        <a:blip r:embed="rId4" r:link="rId2"/>
        <a:stretch>
          <a:fillRect/>
        </a:stretch>
      </xdr:blipFill>
      <xdr:spPr>
        <a:xfrm>
          <a:off x="365760" y="1059180"/>
          <a:ext cx="693420" cy="693420"/>
        </a:xfrm>
        <a:prstGeom prst="rect">
          <a:avLst/>
        </a:prstGeom>
        <a:noFill/>
        <a:ln>
          <a:noFill/>
        </a:ln>
      </xdr:spPr>
    </xdr:pic>
    <xdr:clientData/>
  </xdr:twoCellAnchor>
  <xdr:twoCellAnchor editAs="oneCell">
    <xdr:from>
      <xdr:col>0</xdr:col>
      <xdr:colOff>0</xdr:colOff>
      <xdr:row>0</xdr:row>
      <xdr:rowOff>0</xdr:rowOff>
    </xdr:from>
    <xdr:to>
      <xdr:col>1</xdr:col>
      <xdr:colOff>121920</xdr:colOff>
      <xdr:row>4</xdr:row>
      <xdr:rowOff>7620</xdr:rowOff>
    </xdr:to>
    <xdr:pic>
      <xdr:nvPicPr>
        <xdr:cNvPr id="10" name="ID_316C90CB662848898D225F2BA6B737CC"/>
        <xdr:cNvPicPr>
          <a:picLocks noChangeAspect="1"/>
        </xdr:cNvPicPr>
      </xdr:nvPicPr>
      <xdr:blipFill>
        <a:blip r:embed="rId5" r:link="rId2"/>
        <a:stretch>
          <a:fillRect/>
        </a:stretch>
      </xdr:blipFill>
      <xdr:spPr>
        <a:xfrm>
          <a:off x="2692400" y="1036320"/>
          <a:ext cx="739140" cy="739140"/>
        </a:xfrm>
        <a:prstGeom prst="rect">
          <a:avLst/>
        </a:prstGeom>
        <a:noFill/>
        <a:ln>
          <a:noFill/>
        </a:ln>
      </xdr:spPr>
    </xdr:pic>
    <xdr:clientData/>
  </xdr:twoCellAnchor>
  <xdr:twoCellAnchor editAs="oneCell">
    <xdr:from>
      <xdr:col>0</xdr:col>
      <xdr:colOff>0</xdr:colOff>
      <xdr:row>0</xdr:row>
      <xdr:rowOff>0</xdr:rowOff>
    </xdr:from>
    <xdr:to>
      <xdr:col>1</xdr:col>
      <xdr:colOff>373380</xdr:colOff>
      <xdr:row>5</xdr:row>
      <xdr:rowOff>76200</xdr:rowOff>
    </xdr:to>
    <xdr:pic>
      <xdr:nvPicPr>
        <xdr:cNvPr id="11" name="ID_256465A6DA5D45AAA99BC6A000B2D0A1"/>
        <xdr:cNvPicPr>
          <a:picLocks noChangeAspect="1"/>
        </xdr:cNvPicPr>
      </xdr:nvPicPr>
      <xdr:blipFill>
        <a:blip r:embed="rId6" r:link="rId2"/>
        <a:stretch>
          <a:fillRect/>
        </a:stretch>
      </xdr:blipFill>
      <xdr:spPr>
        <a:xfrm>
          <a:off x="2504440" y="2192020"/>
          <a:ext cx="990600" cy="990600"/>
        </a:xfrm>
        <a:prstGeom prst="rect">
          <a:avLst/>
        </a:prstGeom>
        <a:noFill/>
        <a:ln>
          <a:noFill/>
        </a:ln>
      </xdr:spPr>
    </xdr:pic>
    <xdr:clientData/>
  </xdr:twoCellAnchor>
  <xdr:twoCellAnchor editAs="oneCell">
    <xdr:from>
      <xdr:col>0</xdr:col>
      <xdr:colOff>0</xdr:colOff>
      <xdr:row>0</xdr:row>
      <xdr:rowOff>0</xdr:rowOff>
    </xdr:from>
    <xdr:to>
      <xdr:col>1</xdr:col>
      <xdr:colOff>481330</xdr:colOff>
      <xdr:row>5</xdr:row>
      <xdr:rowOff>179070</xdr:rowOff>
    </xdr:to>
    <xdr:pic>
      <xdr:nvPicPr>
        <xdr:cNvPr id="12" name="ID_B4EB322AA68242E1B2447C8B8A70DCEA"/>
        <xdr:cNvPicPr>
          <a:picLocks noChangeAspect="1"/>
        </xdr:cNvPicPr>
      </xdr:nvPicPr>
      <xdr:blipFill>
        <a:blip r:embed="rId7" r:link="rId2"/>
        <a:stretch>
          <a:fillRect/>
        </a:stretch>
      </xdr:blipFill>
      <xdr:spPr>
        <a:xfrm>
          <a:off x="2452370" y="3422650"/>
          <a:ext cx="1098550" cy="1093470"/>
        </a:xfrm>
        <a:prstGeom prst="rect">
          <a:avLst/>
        </a:prstGeom>
        <a:noFill/>
        <a:ln>
          <a:noFill/>
        </a:ln>
      </xdr:spPr>
    </xdr:pic>
    <xdr:clientData/>
  </xdr:twoCellAnchor>
  <xdr:twoCellAnchor editAs="oneCell">
    <xdr:from>
      <xdr:col>0</xdr:col>
      <xdr:colOff>0</xdr:colOff>
      <xdr:row>0</xdr:row>
      <xdr:rowOff>0</xdr:rowOff>
    </xdr:from>
    <xdr:to>
      <xdr:col>3</xdr:col>
      <xdr:colOff>99060</xdr:colOff>
      <xdr:row>6</xdr:row>
      <xdr:rowOff>167640</xdr:rowOff>
    </xdr:to>
    <xdr:pic>
      <xdr:nvPicPr>
        <xdr:cNvPr id="2" name="ID_BA663A558C624BFBB40300DD5F36B5A5" descr="upload_post_object_v2_929796401"/>
        <xdr:cNvPicPr/>
      </xdr:nvPicPr>
      <xdr:blipFill>
        <a:blip r:embed="rId8"/>
        <a:stretch>
          <a:fillRect/>
        </a:stretch>
      </xdr:blipFill>
      <xdr:spPr>
        <a:xfrm>
          <a:off x="0" y="0"/>
          <a:ext cx="1950720" cy="1264920"/>
        </a:xfrm>
        <a:prstGeom prst="rect">
          <a:avLst/>
        </a:prstGeom>
      </xdr:spPr>
    </xdr:pic>
    <xdr:clientData/>
  </xdr:twoCellAnchor>
  <xdr:twoCellAnchor editAs="oneCell">
    <xdr:from>
      <xdr:col>0</xdr:col>
      <xdr:colOff>0</xdr:colOff>
      <xdr:row>0</xdr:row>
      <xdr:rowOff>0</xdr:rowOff>
    </xdr:from>
    <xdr:to>
      <xdr:col>3</xdr:col>
      <xdr:colOff>99060</xdr:colOff>
      <xdr:row>6</xdr:row>
      <xdr:rowOff>175260</xdr:rowOff>
    </xdr:to>
    <xdr:pic>
      <xdr:nvPicPr>
        <xdr:cNvPr id="4" name="ID_A93FE7EE100F48948D7BCFF440D7B5BC" descr="upload_post_object_v2_4002272626"/>
        <xdr:cNvPicPr/>
      </xdr:nvPicPr>
      <xdr:blipFill>
        <a:blip r:embed="rId9"/>
        <a:stretch>
          <a:fillRect/>
        </a:stretch>
      </xdr:blipFill>
      <xdr:spPr>
        <a:xfrm>
          <a:off x="0" y="0"/>
          <a:ext cx="1950720" cy="1272540"/>
        </a:xfrm>
        <a:prstGeom prst="rect">
          <a:avLst/>
        </a:prstGeom>
      </xdr:spPr>
    </xdr:pic>
    <xdr:clientData/>
  </xdr:twoCellAnchor>
  <xdr:twoCellAnchor editAs="oneCell">
    <xdr:from>
      <xdr:col>0</xdr:col>
      <xdr:colOff>0</xdr:colOff>
      <xdr:row>0</xdr:row>
      <xdr:rowOff>0</xdr:rowOff>
    </xdr:from>
    <xdr:to>
      <xdr:col>3</xdr:col>
      <xdr:colOff>99060</xdr:colOff>
      <xdr:row>8</xdr:row>
      <xdr:rowOff>160020</xdr:rowOff>
    </xdr:to>
    <xdr:pic>
      <xdr:nvPicPr>
        <xdr:cNvPr id="13" name="ID_425B65ED5B2144EAB89C32A70D1876EA" descr="upload_post_object_v2_1951603844"/>
        <xdr:cNvPicPr/>
      </xdr:nvPicPr>
      <xdr:blipFill>
        <a:blip r:embed="rId10"/>
        <a:stretch>
          <a:fillRect/>
        </a:stretch>
      </xdr:blipFill>
      <xdr:spPr>
        <a:xfrm>
          <a:off x="0" y="0"/>
          <a:ext cx="1950720" cy="1623060"/>
        </a:xfrm>
        <a:prstGeom prst="rect">
          <a:avLst/>
        </a:prstGeom>
      </xdr:spPr>
    </xdr:pic>
    <xdr:clientData/>
  </xdr:twoCellAnchor>
  <xdr:twoCellAnchor editAs="oneCell">
    <xdr:from>
      <xdr:col>0</xdr:col>
      <xdr:colOff>0</xdr:colOff>
      <xdr:row>0</xdr:row>
      <xdr:rowOff>0</xdr:rowOff>
    </xdr:from>
    <xdr:to>
      <xdr:col>1</xdr:col>
      <xdr:colOff>297180</xdr:colOff>
      <xdr:row>5</xdr:row>
      <xdr:rowOff>0</xdr:rowOff>
    </xdr:to>
    <xdr:pic>
      <xdr:nvPicPr>
        <xdr:cNvPr id="37" name="ID_A27648123EE64797A59A87ECD7AE0E88" descr="upload_post_object_v2_400937421"/>
        <xdr:cNvPicPr/>
      </xdr:nvPicPr>
      <xdr:blipFill>
        <a:blip r:embed="rId11"/>
        <a:stretch>
          <a:fillRect/>
        </a:stretch>
      </xdr:blipFill>
      <xdr:spPr>
        <a:xfrm>
          <a:off x="0" y="0"/>
          <a:ext cx="914400" cy="914400"/>
        </a:xfrm>
        <a:prstGeom prst="rect">
          <a:avLst/>
        </a:prstGeom>
      </xdr:spPr>
    </xdr:pic>
    <xdr:clientData/>
  </xdr:twoCellAnchor>
  <xdr:twoCellAnchor editAs="oneCell">
    <xdr:from>
      <xdr:col>0</xdr:col>
      <xdr:colOff>0</xdr:colOff>
      <xdr:row>0</xdr:row>
      <xdr:rowOff>0</xdr:rowOff>
    </xdr:from>
    <xdr:to>
      <xdr:col>0</xdr:col>
      <xdr:colOff>330200</xdr:colOff>
      <xdr:row>2</xdr:row>
      <xdr:rowOff>129540</xdr:rowOff>
    </xdr:to>
    <xdr:pic>
      <xdr:nvPicPr>
        <xdr:cNvPr id="3" name="ID_24B8006D8B31447DB954B3F97BE5472C" descr="upload_post_object_v2_62636748"/>
        <xdr:cNvPicPr/>
      </xdr:nvPicPr>
      <xdr:blipFill>
        <a:blip r:embed="rId12"/>
        <a:stretch>
          <a:fillRect/>
        </a:stretch>
      </xdr:blipFill>
      <xdr:spPr>
        <a:xfrm>
          <a:off x="0" y="0"/>
          <a:ext cx="330200" cy="4953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6" name="ID_4383669F852E4F94AAD5CEABA729CAAF" descr="upload_post_object_v2_1007184769"/>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7" name="ID_4A9D6CEFCEC74728B7ADADA2F836EFF5" descr="upload_post_object_v2_431198734"/>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26" name="ID_52910500F1A84228907C033B8440549C" descr="upload_post_object_v2_3423385868"/>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36" name="ID_3A4B0B08689E41B09A66E7B2A6D99B65" descr="upload_post_object_v2_1138959515"/>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43180</xdr:colOff>
      <xdr:row>2</xdr:row>
      <xdr:rowOff>129540</xdr:rowOff>
    </xdr:to>
    <xdr:pic>
      <xdr:nvPicPr>
        <xdr:cNvPr id="38" name="ID_ADB1DCD5768E4474B40F26C3DB75A3D0" descr="upload_post_object_v2_3072865694"/>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1</xdr:col>
      <xdr:colOff>43180</xdr:colOff>
      <xdr:row>2</xdr:row>
      <xdr:rowOff>129540</xdr:rowOff>
    </xdr:to>
    <xdr:pic>
      <xdr:nvPicPr>
        <xdr:cNvPr id="39" name="ID_2BC845A659C64344BF2C62DCAEDC0B72" descr="upload_post_object_v2_2431269068"/>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1</xdr:col>
      <xdr:colOff>208280</xdr:colOff>
      <xdr:row>4</xdr:row>
      <xdr:rowOff>93980</xdr:rowOff>
    </xdr:to>
    <xdr:pic>
      <xdr:nvPicPr>
        <xdr:cNvPr id="40" name="ID_1AAE383C3C174195AECECD5B32C17557" descr="upload_post_object_v2_1234641740"/>
        <xdr:cNvPicPr/>
      </xdr:nvPicPr>
      <xdr:blipFill>
        <a:blip r:embed="rId15"/>
        <a:stretch>
          <a:fillRect/>
        </a:stretch>
      </xdr:blipFill>
      <xdr:spPr>
        <a:xfrm>
          <a:off x="0" y="0"/>
          <a:ext cx="825500" cy="8255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3" name="ID_2FB619546A2944C291EBF3957FDE2776" descr="upload_post_object_v2_2651836850"/>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379730</xdr:colOff>
      <xdr:row>3</xdr:row>
      <xdr:rowOff>16510</xdr:rowOff>
    </xdr:to>
    <xdr:pic>
      <xdr:nvPicPr>
        <xdr:cNvPr id="44" name="ID_3597642F8FED46D888F8807B11582304" descr="upload_post_object_v2_1901216796"/>
        <xdr:cNvPicPr/>
      </xdr:nvPicPr>
      <xdr:blipFill>
        <a:blip r:embed="rId16"/>
        <a:stretch>
          <a:fillRect/>
        </a:stretch>
      </xdr:blipFill>
      <xdr:spPr>
        <a:xfrm>
          <a:off x="0" y="0"/>
          <a:ext cx="996950" cy="56515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5" name="ID_C0C2B1CB4BFC4BDEB3FFD3331D674E7B" descr="upload_post_object_v2_3468267768"/>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6" name="ID_78A52085924E44D4B46A9FFB3D1216A5" descr="upload_post_object_v2_799474445"/>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43180</xdr:colOff>
      <xdr:row>2</xdr:row>
      <xdr:rowOff>129540</xdr:rowOff>
    </xdr:to>
    <xdr:pic>
      <xdr:nvPicPr>
        <xdr:cNvPr id="47" name="ID_72E69CFB77F04EFCB61F520C8BA6E728" descr="upload_post_object_v2_4283199742"/>
        <xdr:cNvPicPr/>
      </xdr:nvPicPr>
      <xdr:blipFill>
        <a:blip r:embed="rId17"/>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0</xdr:col>
      <xdr:colOff>330200</xdr:colOff>
      <xdr:row>0</xdr:row>
      <xdr:rowOff>165100</xdr:rowOff>
    </xdr:to>
    <xdr:pic>
      <xdr:nvPicPr>
        <xdr:cNvPr id="48" name="ID_DC1FACA775E44A638A4093C721438612" descr="upload_post_object_v2_1438037981"/>
        <xdr:cNvPicPr/>
      </xdr:nvPicPr>
      <xdr:blipFill>
        <a:blip r:embed="rId13"/>
        <a:stretch>
          <a:fillRect/>
        </a:stretch>
      </xdr:blipFill>
      <xdr:spPr>
        <a:xfrm>
          <a:off x="0" y="0"/>
          <a:ext cx="330200" cy="165100"/>
        </a:xfrm>
        <a:prstGeom prst="rect">
          <a:avLst/>
        </a:prstGeom>
      </xdr:spPr>
    </xdr:pic>
    <xdr:clientData/>
  </xdr:twoCellAnchor>
  <xdr:twoCellAnchor editAs="oneCell">
    <xdr:from>
      <xdr:col>0</xdr:col>
      <xdr:colOff>0</xdr:colOff>
      <xdr:row>0</xdr:row>
      <xdr:rowOff>0</xdr:rowOff>
    </xdr:from>
    <xdr:to>
      <xdr:col>1</xdr:col>
      <xdr:colOff>43180</xdr:colOff>
      <xdr:row>2</xdr:row>
      <xdr:rowOff>129540</xdr:rowOff>
    </xdr:to>
    <xdr:pic>
      <xdr:nvPicPr>
        <xdr:cNvPr id="49" name="ID_830792E060BC459CABC1255919BA0274" descr="upload_post_object_v2_3325034672"/>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1</xdr:col>
      <xdr:colOff>43180</xdr:colOff>
      <xdr:row>2</xdr:row>
      <xdr:rowOff>129540</xdr:rowOff>
    </xdr:to>
    <xdr:pic>
      <xdr:nvPicPr>
        <xdr:cNvPr id="51" name="ID_35897E01DB4D4CEF8EB5F93DA898214A" descr="upload_post_object_v2_808434129"/>
        <xdr:cNvPicPr/>
      </xdr:nvPicPr>
      <xdr:blipFill>
        <a:blip r:embed="rId14"/>
        <a:stretch>
          <a:fillRect/>
        </a:stretch>
      </xdr:blipFill>
      <xdr:spPr>
        <a:xfrm>
          <a:off x="0" y="0"/>
          <a:ext cx="660400" cy="495300"/>
        </a:xfrm>
        <a:prstGeom prst="rect">
          <a:avLst/>
        </a:prstGeom>
      </xdr:spPr>
    </xdr:pic>
    <xdr:clientData/>
  </xdr:twoCellAnchor>
  <xdr:twoCellAnchor editAs="oneCell">
    <xdr:from>
      <xdr:col>0</xdr:col>
      <xdr:colOff>0</xdr:colOff>
      <xdr:row>0</xdr:row>
      <xdr:rowOff>0</xdr:rowOff>
    </xdr:from>
    <xdr:to>
      <xdr:col>0</xdr:col>
      <xdr:colOff>202565</xdr:colOff>
      <xdr:row>1</xdr:row>
      <xdr:rowOff>3175</xdr:rowOff>
    </xdr:to>
    <xdr:pic>
      <xdr:nvPicPr>
        <xdr:cNvPr id="28" name="ID_FA5000DDCA5E4D81AB5A9A457C22EDDB"/>
        <xdr:cNvPicPr>
          <a:picLocks noChangeAspect="1"/>
        </xdr:cNvPicPr>
      </xdr:nvPicPr>
      <xdr:blipFill>
        <a:blip r:embed="rId18" r:link="rId2"/>
        <a:stretch>
          <a:fillRect/>
        </a:stretch>
      </xdr:blipFill>
      <xdr:spPr>
        <a:xfrm>
          <a:off x="307975" y="6758305"/>
          <a:ext cx="202565" cy="186055"/>
        </a:xfrm>
        <a:prstGeom prst="rect">
          <a:avLst/>
        </a:prstGeom>
        <a:noFill/>
        <a:ln>
          <a:noFill/>
        </a:ln>
      </xdr:spPr>
    </xdr:pic>
    <xdr:clientData/>
  </xdr:twoCellAnchor>
  <xdr:twoCellAnchor editAs="oneCell">
    <xdr:from>
      <xdr:col>0</xdr:col>
      <xdr:colOff>0</xdr:colOff>
      <xdr:row>0</xdr:row>
      <xdr:rowOff>0</xdr:rowOff>
    </xdr:from>
    <xdr:to>
      <xdr:col>0</xdr:col>
      <xdr:colOff>202565</xdr:colOff>
      <xdr:row>1</xdr:row>
      <xdr:rowOff>3175</xdr:rowOff>
    </xdr:to>
    <xdr:pic>
      <xdr:nvPicPr>
        <xdr:cNvPr id="33" name="ID_131FF3363ED047DEB11CFC8572794CC4"/>
        <xdr:cNvPicPr>
          <a:picLocks noChangeAspect="1"/>
        </xdr:cNvPicPr>
      </xdr:nvPicPr>
      <xdr:blipFill>
        <a:blip r:embed="rId18" r:link="rId2"/>
        <a:stretch>
          <a:fillRect/>
        </a:stretch>
      </xdr:blipFill>
      <xdr:spPr>
        <a:xfrm>
          <a:off x="2290445" y="6753225"/>
          <a:ext cx="202565" cy="186055"/>
        </a:xfrm>
        <a:prstGeom prst="rect">
          <a:avLst/>
        </a:prstGeom>
        <a:noFill/>
        <a:ln>
          <a:noFill/>
        </a:ln>
      </xdr:spPr>
    </xdr:pic>
    <xdr:clientData/>
  </xdr:twoCellAnchor>
  <xdr:twoCellAnchor editAs="oneCell">
    <xdr:from>
      <xdr:col>0</xdr:col>
      <xdr:colOff>0</xdr:colOff>
      <xdr:row>0</xdr:row>
      <xdr:rowOff>0</xdr:rowOff>
    </xdr:from>
    <xdr:to>
      <xdr:col>0</xdr:col>
      <xdr:colOff>202565</xdr:colOff>
      <xdr:row>1</xdr:row>
      <xdr:rowOff>3175</xdr:rowOff>
    </xdr:to>
    <xdr:pic>
      <xdr:nvPicPr>
        <xdr:cNvPr id="63" name="ID_E9478C60C9034E3B8918B6E771168926"/>
        <xdr:cNvPicPr>
          <a:picLocks noChangeAspect="1"/>
        </xdr:cNvPicPr>
      </xdr:nvPicPr>
      <xdr:blipFill>
        <a:blip r:embed="rId18" r:link="rId2"/>
        <a:stretch>
          <a:fillRect/>
        </a:stretch>
      </xdr:blipFill>
      <xdr:spPr>
        <a:xfrm>
          <a:off x="4304030" y="6753225"/>
          <a:ext cx="202565" cy="186055"/>
        </a:xfrm>
        <a:prstGeom prst="rect">
          <a:avLst/>
        </a:prstGeom>
        <a:noFill/>
        <a:ln>
          <a:noFill/>
        </a:ln>
      </xdr:spPr>
    </xdr:pic>
    <xdr:clientData/>
  </xdr:twoCellAnchor>
  <xdr:twoCellAnchor editAs="oneCell">
    <xdr:from>
      <xdr:col>0</xdr:col>
      <xdr:colOff>0</xdr:colOff>
      <xdr:row>0</xdr:row>
      <xdr:rowOff>0</xdr:rowOff>
    </xdr:from>
    <xdr:to>
      <xdr:col>0</xdr:col>
      <xdr:colOff>250825</xdr:colOff>
      <xdr:row>0</xdr:row>
      <xdr:rowOff>178435</xdr:rowOff>
    </xdr:to>
    <xdr:pic>
      <xdr:nvPicPr>
        <xdr:cNvPr id="19" name="ID_4914E1D0AB40469A9DE49DBBA770FF55" descr="upload_post_object_v2_2109917646"/>
        <xdr:cNvPicPr>
          <a:picLocks noChangeAspect="1"/>
        </xdr:cNvPicPr>
      </xdr:nvPicPr>
      <xdr:blipFill>
        <a:blip r:embed="rId19"/>
        <a:stretch>
          <a:fillRect/>
        </a:stretch>
      </xdr:blipFill>
      <xdr:spPr>
        <a:xfrm>
          <a:off x="734060" y="10767060"/>
          <a:ext cx="250825" cy="178435"/>
        </a:xfrm>
        <a:prstGeom prst="rect">
          <a:avLst/>
        </a:prstGeom>
      </xdr:spPr>
    </xdr:pic>
    <xdr:clientData/>
  </xdr:twoCellAnchor>
  <xdr:twoCellAnchor editAs="oneCell">
    <xdr:from>
      <xdr:col>0</xdr:col>
      <xdr:colOff>0</xdr:colOff>
      <xdr:row>0</xdr:row>
      <xdr:rowOff>0</xdr:rowOff>
    </xdr:from>
    <xdr:to>
      <xdr:col>0</xdr:col>
      <xdr:colOff>206375</xdr:colOff>
      <xdr:row>0</xdr:row>
      <xdr:rowOff>179705</xdr:rowOff>
    </xdr:to>
    <xdr:pic>
      <xdr:nvPicPr>
        <xdr:cNvPr id="20" name="ID_16CED466236143CDABFFF99FF95D7272" descr="upload_post_object_v2_1662843099"/>
        <xdr:cNvPicPr>
          <a:picLocks noChangeAspect="1"/>
        </xdr:cNvPicPr>
      </xdr:nvPicPr>
      <xdr:blipFill>
        <a:blip r:embed="rId20"/>
        <a:stretch>
          <a:fillRect/>
        </a:stretch>
      </xdr:blipFill>
      <xdr:spPr>
        <a:xfrm>
          <a:off x="751205" y="11717655"/>
          <a:ext cx="206375" cy="179705"/>
        </a:xfrm>
        <a:prstGeom prst="rect">
          <a:avLst/>
        </a:prstGeom>
      </xdr:spPr>
    </xdr:pic>
    <xdr:clientData/>
  </xdr:twoCellAnchor>
  <xdr:twoCellAnchor editAs="oneCell">
    <xdr:from>
      <xdr:col>0</xdr:col>
      <xdr:colOff>0</xdr:colOff>
      <xdr:row>0</xdr:row>
      <xdr:rowOff>0</xdr:rowOff>
    </xdr:from>
    <xdr:to>
      <xdr:col>0</xdr:col>
      <xdr:colOff>179705</xdr:colOff>
      <xdr:row>0</xdr:row>
      <xdr:rowOff>178435</xdr:rowOff>
    </xdr:to>
    <xdr:pic>
      <xdr:nvPicPr>
        <xdr:cNvPr id="21" name="ID_B113DAA28B114FE2A26845A0B845A902" descr="图标_信用"/>
        <xdr:cNvPicPr>
          <a:picLocks noChangeAspect="1"/>
        </xdr:cNvPicPr>
      </xdr:nvPicPr>
      <xdr:blipFill>
        <a:blip r:embed="rId21"/>
        <a:stretch>
          <a:fillRect/>
        </a:stretch>
      </xdr:blipFill>
      <xdr:spPr>
        <a:xfrm>
          <a:off x="769620" y="13053060"/>
          <a:ext cx="179705" cy="178435"/>
        </a:xfrm>
        <a:prstGeom prst="rect">
          <a:avLst/>
        </a:prstGeom>
      </xdr:spPr>
    </xdr:pic>
    <xdr:clientData/>
  </xdr:twoCellAnchor>
  <xdr:twoCellAnchor editAs="oneCell">
    <xdr:from>
      <xdr:col>0</xdr:col>
      <xdr:colOff>0</xdr:colOff>
      <xdr:row>0</xdr:row>
      <xdr:rowOff>0</xdr:rowOff>
    </xdr:from>
    <xdr:to>
      <xdr:col>0</xdr:col>
      <xdr:colOff>182880</xdr:colOff>
      <xdr:row>0</xdr:row>
      <xdr:rowOff>181610</xdr:rowOff>
    </xdr:to>
    <xdr:pic>
      <xdr:nvPicPr>
        <xdr:cNvPr id="29" name="ID_D70E66E4768A4EA89893D4EFDCF2DD75" descr="icon_def"/>
        <xdr:cNvPicPr>
          <a:picLocks noChangeAspect="1"/>
        </xdr:cNvPicPr>
      </xdr:nvPicPr>
      <xdr:blipFill>
        <a:blip r:embed="rId22"/>
        <a:stretch>
          <a:fillRect/>
        </a:stretch>
      </xdr:blipFill>
      <xdr:spPr>
        <a:xfrm>
          <a:off x="8698865" y="4590415"/>
          <a:ext cx="182880" cy="181610"/>
        </a:xfrm>
        <a:prstGeom prst="rect">
          <a:avLst/>
        </a:prstGeom>
      </xdr:spPr>
    </xdr:pic>
    <xdr:clientData/>
  </xdr:twoCellAnchor>
  <xdr:twoCellAnchor editAs="oneCell">
    <xdr:from>
      <xdr:col>0</xdr:col>
      <xdr:colOff>0</xdr:colOff>
      <xdr:row>0</xdr:row>
      <xdr:rowOff>0</xdr:rowOff>
    </xdr:from>
    <xdr:to>
      <xdr:col>0</xdr:col>
      <xdr:colOff>183515</xdr:colOff>
      <xdr:row>0</xdr:row>
      <xdr:rowOff>181610</xdr:rowOff>
    </xdr:to>
    <xdr:pic>
      <xdr:nvPicPr>
        <xdr:cNvPr id="30" name="ID_A1414AFFEBA04A01AEBDBA46D04A6C4F" descr="icon_hp"/>
        <xdr:cNvPicPr>
          <a:picLocks noChangeAspect="1"/>
        </xdr:cNvPicPr>
      </xdr:nvPicPr>
      <xdr:blipFill>
        <a:blip r:embed="rId23"/>
        <a:stretch>
          <a:fillRect/>
        </a:stretch>
      </xdr:blipFill>
      <xdr:spPr>
        <a:xfrm>
          <a:off x="8681720" y="4396740"/>
          <a:ext cx="183515" cy="181610"/>
        </a:xfrm>
        <a:prstGeom prst="rect">
          <a:avLst/>
        </a:prstGeom>
      </xdr:spPr>
    </xdr:pic>
    <xdr:clientData/>
  </xdr:twoCellAnchor>
  <xdr:twoCellAnchor editAs="oneCell">
    <xdr:from>
      <xdr:col>0</xdr:col>
      <xdr:colOff>0</xdr:colOff>
      <xdr:row>0</xdr:row>
      <xdr:rowOff>0</xdr:rowOff>
    </xdr:from>
    <xdr:to>
      <xdr:col>0</xdr:col>
      <xdr:colOff>438785</xdr:colOff>
      <xdr:row>1</xdr:row>
      <xdr:rowOff>102870</xdr:rowOff>
    </xdr:to>
    <xdr:pic>
      <xdr:nvPicPr>
        <xdr:cNvPr id="78" name="ID_5C660F1396F847E988890FB776B024D1" descr="image_sp_start_bkg"/>
        <xdr:cNvPicPr>
          <a:picLocks noChangeAspect="1"/>
        </xdr:cNvPicPr>
      </xdr:nvPicPr>
      <xdr:blipFill>
        <a:blip r:embed="rId24"/>
        <a:stretch>
          <a:fillRect/>
        </a:stretch>
      </xdr:blipFill>
      <xdr:spPr>
        <a:xfrm>
          <a:off x="10064115" y="5153025"/>
          <a:ext cx="438785" cy="285750"/>
        </a:xfrm>
        <a:prstGeom prst="rect">
          <a:avLst/>
        </a:prstGeom>
      </xdr:spPr>
    </xdr:pic>
    <xdr:clientData/>
  </xdr:twoCellAnchor>
  <xdr:twoCellAnchor editAs="oneCell">
    <xdr:from>
      <xdr:col>0</xdr:col>
      <xdr:colOff>0</xdr:colOff>
      <xdr:row>0</xdr:row>
      <xdr:rowOff>0</xdr:rowOff>
    </xdr:from>
    <xdr:to>
      <xdr:col>0</xdr:col>
      <xdr:colOff>438785</xdr:colOff>
      <xdr:row>1</xdr:row>
      <xdr:rowOff>102870</xdr:rowOff>
    </xdr:to>
    <xdr:pic>
      <xdr:nvPicPr>
        <xdr:cNvPr id="79" name="ID_E00A0A014CCD414EA97973170AB8230F" descr="image_sp_cost_bkg"/>
        <xdr:cNvPicPr>
          <a:picLocks noChangeAspect="1"/>
        </xdr:cNvPicPr>
      </xdr:nvPicPr>
      <xdr:blipFill>
        <a:blip r:embed="rId25"/>
        <a:stretch>
          <a:fillRect/>
        </a:stretch>
      </xdr:blipFill>
      <xdr:spPr>
        <a:xfrm>
          <a:off x="10353675" y="5153025"/>
          <a:ext cx="438785" cy="285750"/>
        </a:xfrm>
        <a:prstGeom prst="rect">
          <a:avLst/>
        </a:prstGeom>
      </xdr:spPr>
    </xdr:pic>
    <xdr:clientData/>
  </xdr:twoCellAnchor>
  <xdr:twoCellAnchor editAs="oneCell">
    <xdr:from>
      <xdr:col>0</xdr:col>
      <xdr:colOff>0</xdr:colOff>
      <xdr:row>0</xdr:row>
      <xdr:rowOff>0</xdr:rowOff>
    </xdr:from>
    <xdr:to>
      <xdr:col>0</xdr:col>
      <xdr:colOff>184150</xdr:colOff>
      <xdr:row>0</xdr:row>
      <xdr:rowOff>179705</xdr:rowOff>
    </xdr:to>
    <xdr:pic>
      <xdr:nvPicPr>
        <xdr:cNvPr id="80" name="ID_EEDCD9ECDE6A4497A3362F50D354C631" descr="图片1(1)"/>
        <xdr:cNvPicPr>
          <a:picLocks noChangeAspect="1"/>
        </xdr:cNvPicPr>
      </xdr:nvPicPr>
      <xdr:blipFill>
        <a:blip r:embed="rId26"/>
        <a:stretch>
          <a:fillRect/>
        </a:stretch>
      </xdr:blipFill>
      <xdr:spPr>
        <a:xfrm>
          <a:off x="8676005" y="4973955"/>
          <a:ext cx="184150" cy="179705"/>
        </a:xfrm>
        <a:prstGeom prst="rect">
          <a:avLst/>
        </a:prstGeom>
      </xdr:spPr>
    </xdr:pic>
    <xdr:clientData/>
  </xdr:twoCellAnchor>
  <xdr:twoCellAnchor editAs="oneCell">
    <xdr:from>
      <xdr:col>0</xdr:col>
      <xdr:colOff>0</xdr:colOff>
      <xdr:row>0</xdr:row>
      <xdr:rowOff>0</xdr:rowOff>
    </xdr:from>
    <xdr:to>
      <xdr:col>0</xdr:col>
      <xdr:colOff>179705</xdr:colOff>
      <xdr:row>0</xdr:row>
      <xdr:rowOff>179070</xdr:rowOff>
    </xdr:to>
    <xdr:pic>
      <xdr:nvPicPr>
        <xdr:cNvPr id="81" name="ID_19C3B78CC006403F8817388CB955E7F9" descr="icon_res"/>
        <xdr:cNvPicPr>
          <a:picLocks noChangeAspect="1"/>
        </xdr:cNvPicPr>
      </xdr:nvPicPr>
      <xdr:blipFill>
        <a:blip r:embed="rId27"/>
        <a:stretch>
          <a:fillRect/>
        </a:stretch>
      </xdr:blipFill>
      <xdr:spPr>
        <a:xfrm>
          <a:off x="8681085" y="4775835"/>
          <a:ext cx="179705" cy="179070"/>
        </a:xfrm>
        <a:prstGeom prst="rect">
          <a:avLst/>
        </a:prstGeom>
      </xdr:spPr>
    </xdr:pic>
    <xdr:clientData/>
  </xdr:twoCellAnchor>
  <xdr:twoCellAnchor editAs="oneCell">
    <xdr:from>
      <xdr:col>0</xdr:col>
      <xdr:colOff>0</xdr:colOff>
      <xdr:row>0</xdr:row>
      <xdr:rowOff>0</xdr:rowOff>
    </xdr:from>
    <xdr:to>
      <xdr:col>0</xdr:col>
      <xdr:colOff>175895</xdr:colOff>
      <xdr:row>0</xdr:row>
      <xdr:rowOff>161925</xdr:rowOff>
    </xdr:to>
    <xdr:pic>
      <xdr:nvPicPr>
        <xdr:cNvPr id="23" name="ID_9CEB13D933F741199F2CC7014B01EF49"/>
        <xdr:cNvPicPr>
          <a:picLocks noChangeAspect="1"/>
        </xdr:cNvPicPr>
      </xdr:nvPicPr>
      <xdr:blipFill>
        <a:blip r:embed="rId18" r:link="rId2"/>
        <a:stretch>
          <a:fillRect/>
        </a:stretch>
      </xdr:blipFill>
      <xdr:spPr>
        <a:xfrm>
          <a:off x="6377305" y="4781550"/>
          <a:ext cx="175895" cy="161925"/>
        </a:xfrm>
        <a:prstGeom prst="rect">
          <a:avLst/>
        </a:prstGeom>
        <a:noFill/>
        <a:ln>
          <a:noFill/>
        </a:ln>
      </xdr:spPr>
    </xdr:pic>
    <xdr:clientData/>
  </xdr:twoCellAnchor>
  <xdr:twoCellAnchor editAs="oneCell">
    <xdr:from>
      <xdr:col>0</xdr:col>
      <xdr:colOff>0</xdr:colOff>
      <xdr:row>0</xdr:row>
      <xdr:rowOff>0</xdr:rowOff>
    </xdr:from>
    <xdr:to>
      <xdr:col>0</xdr:col>
      <xdr:colOff>274320</xdr:colOff>
      <xdr:row>1</xdr:row>
      <xdr:rowOff>91440</xdr:rowOff>
    </xdr:to>
    <xdr:pic>
      <xdr:nvPicPr>
        <xdr:cNvPr id="41" name="ID_938E7B6EC6DC43989029F357530E9FF5"/>
        <xdr:cNvPicPr>
          <a:picLocks noChangeAspect="1"/>
        </xdr:cNvPicPr>
      </xdr:nvPicPr>
      <xdr:blipFill>
        <a:blip r:embed="rId28" r:link="rId2"/>
        <a:stretch>
          <a:fillRect/>
        </a:stretch>
      </xdr:blipFill>
      <xdr:spPr>
        <a:xfrm>
          <a:off x="9204960" y="11542395"/>
          <a:ext cx="274320" cy="274320"/>
        </a:xfrm>
        <a:prstGeom prst="rect">
          <a:avLst/>
        </a:prstGeom>
        <a:noFill/>
        <a:ln w="9525">
          <a:noFill/>
        </a:ln>
      </xdr:spPr>
    </xdr:pic>
    <xdr:clientData/>
  </xdr:twoCellAnchor>
  <xdr:twoCellAnchor editAs="oneCell">
    <xdr:from>
      <xdr:col>0</xdr:col>
      <xdr:colOff>0</xdr:colOff>
      <xdr:row>0</xdr:row>
      <xdr:rowOff>0</xdr:rowOff>
    </xdr:from>
    <xdr:to>
      <xdr:col>0</xdr:col>
      <xdr:colOff>228600</xdr:colOff>
      <xdr:row>1</xdr:row>
      <xdr:rowOff>106680</xdr:rowOff>
    </xdr:to>
    <xdr:pic>
      <xdr:nvPicPr>
        <xdr:cNvPr id="55" name="ID_73B0392D2D594B229D110AC5FC6E2D87"/>
        <xdr:cNvPicPr>
          <a:picLocks noChangeAspect="1"/>
        </xdr:cNvPicPr>
      </xdr:nvPicPr>
      <xdr:blipFill>
        <a:blip r:embed="rId29" r:link="rId2"/>
        <a:stretch>
          <a:fillRect/>
        </a:stretch>
      </xdr:blipFill>
      <xdr:spPr>
        <a:xfrm>
          <a:off x="9212580" y="17455515"/>
          <a:ext cx="228600" cy="289560"/>
        </a:xfrm>
        <a:prstGeom prst="rect">
          <a:avLst/>
        </a:prstGeom>
        <a:noFill/>
        <a:ln w="9525">
          <a:noFill/>
        </a:ln>
      </xdr:spPr>
    </xdr:pic>
    <xdr:clientData/>
  </xdr:twoCellAnchor>
  <xdr:twoCellAnchor editAs="oneCell">
    <xdr:from>
      <xdr:col>0</xdr:col>
      <xdr:colOff>0</xdr:colOff>
      <xdr:row>0</xdr:row>
      <xdr:rowOff>0</xdr:rowOff>
    </xdr:from>
    <xdr:to>
      <xdr:col>0</xdr:col>
      <xdr:colOff>228600</xdr:colOff>
      <xdr:row>1</xdr:row>
      <xdr:rowOff>106680</xdr:rowOff>
    </xdr:to>
    <xdr:pic>
      <xdr:nvPicPr>
        <xdr:cNvPr id="57" name="ID_B50E86722A1F47D690B053F14E5AF737"/>
        <xdr:cNvPicPr>
          <a:picLocks noChangeAspect="1"/>
        </xdr:cNvPicPr>
      </xdr:nvPicPr>
      <xdr:blipFill>
        <a:blip r:embed="rId30" r:link="rId2"/>
        <a:stretch>
          <a:fillRect/>
        </a:stretch>
      </xdr:blipFill>
      <xdr:spPr>
        <a:xfrm>
          <a:off x="9212580" y="20198715"/>
          <a:ext cx="228600" cy="289560"/>
        </a:xfrm>
        <a:prstGeom prst="rect">
          <a:avLst/>
        </a:prstGeom>
        <a:noFill/>
        <a:ln w="9525">
          <a:noFill/>
        </a:ln>
      </xdr:spPr>
    </xdr:pic>
    <xdr:clientData/>
  </xdr:twoCellAnchor>
  <xdr:twoCellAnchor editAs="oneCell">
    <xdr:from>
      <xdr:col>0</xdr:col>
      <xdr:colOff>0</xdr:colOff>
      <xdr:row>0</xdr:row>
      <xdr:rowOff>0</xdr:rowOff>
    </xdr:from>
    <xdr:to>
      <xdr:col>0</xdr:col>
      <xdr:colOff>289560</xdr:colOff>
      <xdr:row>1</xdr:row>
      <xdr:rowOff>106680</xdr:rowOff>
    </xdr:to>
    <xdr:pic>
      <xdr:nvPicPr>
        <xdr:cNvPr id="58" name="ID_3404A736235E4D9AAEFEADCFD1863B98"/>
        <xdr:cNvPicPr>
          <a:picLocks noChangeAspect="1"/>
        </xdr:cNvPicPr>
      </xdr:nvPicPr>
      <xdr:blipFill>
        <a:blip r:embed="rId31" r:link="rId2"/>
        <a:stretch>
          <a:fillRect/>
        </a:stretch>
      </xdr:blipFill>
      <xdr:spPr>
        <a:xfrm>
          <a:off x="9220200" y="26530935"/>
          <a:ext cx="289560" cy="289560"/>
        </a:xfrm>
        <a:prstGeom prst="rect">
          <a:avLst/>
        </a:prstGeom>
        <a:noFill/>
        <a:ln w="9525">
          <a:noFill/>
        </a:ln>
      </xdr:spPr>
    </xdr:pic>
    <xdr:clientData/>
  </xdr:twoCellAnchor>
  <xdr:twoCellAnchor editAs="oneCell">
    <xdr:from>
      <xdr:col>0</xdr:col>
      <xdr:colOff>0</xdr:colOff>
      <xdr:row>0</xdr:row>
      <xdr:rowOff>0</xdr:rowOff>
    </xdr:from>
    <xdr:to>
      <xdr:col>0</xdr:col>
      <xdr:colOff>525780</xdr:colOff>
      <xdr:row>2</xdr:row>
      <xdr:rowOff>30480</xdr:rowOff>
    </xdr:to>
    <xdr:pic>
      <xdr:nvPicPr>
        <xdr:cNvPr id="61" name="ID_36B14F9BB2414A61887561355AF4AE58"/>
        <xdr:cNvPicPr>
          <a:picLocks noChangeAspect="1"/>
        </xdr:cNvPicPr>
      </xdr:nvPicPr>
      <xdr:blipFill>
        <a:blip r:embed="rId32" r:link="rId2"/>
        <a:stretch>
          <a:fillRect/>
        </a:stretch>
      </xdr:blipFill>
      <xdr:spPr>
        <a:xfrm>
          <a:off x="9090660" y="25464135"/>
          <a:ext cx="525780" cy="396240"/>
        </a:xfrm>
        <a:prstGeom prst="rect">
          <a:avLst/>
        </a:prstGeom>
        <a:noFill/>
        <a:ln w="9525">
          <a:noFill/>
        </a:ln>
      </xdr:spPr>
    </xdr:pic>
    <xdr:clientData/>
  </xdr:twoCellAnchor>
  <xdr:twoCellAnchor editAs="oneCell">
    <xdr:from>
      <xdr:col>0</xdr:col>
      <xdr:colOff>0</xdr:colOff>
      <xdr:row>0</xdr:row>
      <xdr:rowOff>0</xdr:rowOff>
    </xdr:from>
    <xdr:to>
      <xdr:col>0</xdr:col>
      <xdr:colOff>541020</xdr:colOff>
      <xdr:row>2</xdr:row>
      <xdr:rowOff>160020</xdr:rowOff>
    </xdr:to>
    <xdr:pic>
      <xdr:nvPicPr>
        <xdr:cNvPr id="18" name="ID_E8432A8329DC429187475324D11B3301" descr="图标_职业_辅助_大图"/>
        <xdr:cNvPicPr>
          <a:picLocks noChangeAspect="1"/>
        </xdr:cNvPicPr>
      </xdr:nvPicPr>
      <xdr:blipFill>
        <a:blip r:embed="rId33"/>
        <a:stretch>
          <a:fillRect/>
        </a:stretch>
      </xdr:blipFill>
      <xdr:spPr>
        <a:xfrm>
          <a:off x="617220" y="4554855"/>
          <a:ext cx="541020" cy="525780"/>
        </a:xfrm>
        <a:prstGeom prst="rect">
          <a:avLst/>
        </a:prstGeom>
      </xdr:spPr>
    </xdr:pic>
    <xdr:clientData/>
  </xdr:twoCellAnchor>
  <xdr:twoCellAnchor editAs="oneCell">
    <xdr:from>
      <xdr:col>0</xdr:col>
      <xdr:colOff>0</xdr:colOff>
      <xdr:row>0</xdr:row>
      <xdr:rowOff>0</xdr:rowOff>
    </xdr:from>
    <xdr:to>
      <xdr:col>0</xdr:col>
      <xdr:colOff>541020</xdr:colOff>
      <xdr:row>2</xdr:row>
      <xdr:rowOff>165735</xdr:rowOff>
    </xdr:to>
    <xdr:pic>
      <xdr:nvPicPr>
        <xdr:cNvPr id="22" name="ID_6BD44C88BDF04BC28506CFEE37C08E21" descr="图标_职业_特种_大图"/>
        <xdr:cNvPicPr>
          <a:picLocks noChangeAspect="1"/>
        </xdr:cNvPicPr>
      </xdr:nvPicPr>
      <xdr:blipFill>
        <a:blip r:embed="rId34"/>
        <a:stretch>
          <a:fillRect/>
        </a:stretch>
      </xdr:blipFill>
      <xdr:spPr>
        <a:xfrm>
          <a:off x="617220" y="6741795"/>
          <a:ext cx="541020" cy="531495"/>
        </a:xfrm>
        <a:prstGeom prst="rect">
          <a:avLst/>
        </a:prstGeom>
      </xdr:spPr>
    </xdr:pic>
    <xdr:clientData/>
  </xdr:twoCellAnchor>
  <xdr:twoCellAnchor editAs="oneCell">
    <xdr:from>
      <xdr:col>0</xdr:col>
      <xdr:colOff>0</xdr:colOff>
      <xdr:row>0</xdr:row>
      <xdr:rowOff>0</xdr:rowOff>
    </xdr:from>
    <xdr:to>
      <xdr:col>0</xdr:col>
      <xdr:colOff>541020</xdr:colOff>
      <xdr:row>2</xdr:row>
      <xdr:rowOff>158115</xdr:rowOff>
    </xdr:to>
    <xdr:pic>
      <xdr:nvPicPr>
        <xdr:cNvPr id="14" name="ID_DC3FF61C4C3A43A8878CE11429382A86" descr="图标_职业_术师_大图"/>
        <xdr:cNvPicPr>
          <a:picLocks noChangeAspect="1"/>
        </xdr:cNvPicPr>
      </xdr:nvPicPr>
      <xdr:blipFill>
        <a:blip r:embed="rId35"/>
        <a:stretch>
          <a:fillRect/>
        </a:stretch>
      </xdr:blipFill>
      <xdr:spPr>
        <a:xfrm>
          <a:off x="617220" y="6195060"/>
          <a:ext cx="541020" cy="523875"/>
        </a:xfrm>
        <a:prstGeom prst="rect">
          <a:avLst/>
        </a:prstGeom>
      </xdr:spPr>
    </xdr:pic>
    <xdr:clientData/>
  </xdr:twoCellAnchor>
  <xdr:twoCellAnchor editAs="oneCell">
    <xdr:from>
      <xdr:col>0</xdr:col>
      <xdr:colOff>0</xdr:colOff>
      <xdr:row>0</xdr:row>
      <xdr:rowOff>0</xdr:rowOff>
    </xdr:from>
    <xdr:to>
      <xdr:col>0</xdr:col>
      <xdr:colOff>541020</xdr:colOff>
      <xdr:row>2</xdr:row>
      <xdr:rowOff>158115</xdr:rowOff>
    </xdr:to>
    <xdr:pic>
      <xdr:nvPicPr>
        <xdr:cNvPr id="15" name="ID_52415B6A2B1D4D28A07C36CA61249B08" descr="图标_职业_狙击_大图"/>
        <xdr:cNvPicPr>
          <a:picLocks noChangeAspect="1"/>
        </xdr:cNvPicPr>
      </xdr:nvPicPr>
      <xdr:blipFill>
        <a:blip r:embed="rId36"/>
        <a:stretch>
          <a:fillRect/>
        </a:stretch>
      </xdr:blipFill>
      <xdr:spPr>
        <a:xfrm>
          <a:off x="617220" y="5648325"/>
          <a:ext cx="541020" cy="523875"/>
        </a:xfrm>
        <a:prstGeom prst="rect">
          <a:avLst/>
        </a:prstGeom>
      </xdr:spPr>
    </xdr:pic>
    <xdr:clientData/>
  </xdr:twoCellAnchor>
  <xdr:twoCellAnchor editAs="oneCell">
    <xdr:from>
      <xdr:col>0</xdr:col>
      <xdr:colOff>0</xdr:colOff>
      <xdr:row>0</xdr:row>
      <xdr:rowOff>0</xdr:rowOff>
    </xdr:from>
    <xdr:to>
      <xdr:col>0</xdr:col>
      <xdr:colOff>541020</xdr:colOff>
      <xdr:row>2</xdr:row>
      <xdr:rowOff>160020</xdr:rowOff>
    </xdr:to>
    <xdr:pic>
      <xdr:nvPicPr>
        <xdr:cNvPr id="16" name="ID_B8866FF8443B4D5096579B7AE4F8D3EB" descr="图标_职业_近卫_大图"/>
        <xdr:cNvPicPr>
          <a:picLocks noChangeAspect="1"/>
        </xdr:cNvPicPr>
      </xdr:nvPicPr>
      <xdr:blipFill>
        <a:blip r:embed="rId37"/>
        <a:stretch>
          <a:fillRect/>
        </a:stretch>
      </xdr:blipFill>
      <xdr:spPr>
        <a:xfrm>
          <a:off x="617220" y="5101590"/>
          <a:ext cx="541020" cy="525780"/>
        </a:xfrm>
        <a:prstGeom prst="rect">
          <a:avLst/>
        </a:prstGeom>
      </xdr:spPr>
    </xdr:pic>
    <xdr:clientData/>
  </xdr:twoCellAnchor>
  <xdr:twoCellAnchor editAs="oneCell">
    <xdr:from>
      <xdr:col>0</xdr:col>
      <xdr:colOff>0</xdr:colOff>
      <xdr:row>0</xdr:row>
      <xdr:rowOff>0</xdr:rowOff>
    </xdr:from>
    <xdr:to>
      <xdr:col>0</xdr:col>
      <xdr:colOff>541020</xdr:colOff>
      <xdr:row>2</xdr:row>
      <xdr:rowOff>173355</xdr:rowOff>
    </xdr:to>
    <xdr:pic>
      <xdr:nvPicPr>
        <xdr:cNvPr id="25" name="ID_3CC9339639E34C35B185CE317598FFE5" descr="图标_职业_重装_大图"/>
        <xdr:cNvPicPr>
          <a:picLocks noChangeAspect="1"/>
        </xdr:cNvPicPr>
      </xdr:nvPicPr>
      <xdr:blipFill>
        <a:blip r:embed="rId38"/>
        <a:stretch>
          <a:fillRect/>
        </a:stretch>
      </xdr:blipFill>
      <xdr:spPr>
        <a:xfrm>
          <a:off x="617220" y="8383905"/>
          <a:ext cx="541020" cy="539115"/>
        </a:xfrm>
        <a:prstGeom prst="rect">
          <a:avLst/>
        </a:prstGeom>
      </xdr:spPr>
    </xdr:pic>
    <xdr:clientData/>
  </xdr:twoCellAnchor>
  <xdr:twoCellAnchor editAs="oneCell">
    <xdr:from>
      <xdr:col>0</xdr:col>
      <xdr:colOff>0</xdr:colOff>
      <xdr:row>0</xdr:row>
      <xdr:rowOff>0</xdr:rowOff>
    </xdr:from>
    <xdr:to>
      <xdr:col>0</xdr:col>
      <xdr:colOff>541020</xdr:colOff>
      <xdr:row>2</xdr:row>
      <xdr:rowOff>173355</xdr:rowOff>
    </xdr:to>
    <xdr:pic>
      <xdr:nvPicPr>
        <xdr:cNvPr id="24" name="ID_A73A0903F4264DAB82ED6940717697CB" descr="图标_职业_医疗_大图"/>
        <xdr:cNvPicPr>
          <a:picLocks noChangeAspect="1"/>
        </xdr:cNvPicPr>
      </xdr:nvPicPr>
      <xdr:blipFill>
        <a:blip r:embed="rId39"/>
        <a:stretch>
          <a:fillRect/>
        </a:stretch>
      </xdr:blipFill>
      <xdr:spPr>
        <a:xfrm>
          <a:off x="617220" y="7837170"/>
          <a:ext cx="541020" cy="539115"/>
        </a:xfrm>
        <a:prstGeom prst="rect">
          <a:avLst/>
        </a:prstGeom>
      </xdr:spPr>
    </xdr:pic>
    <xdr:clientData/>
  </xdr:twoCellAnchor>
  <xdr:twoCellAnchor editAs="oneCell">
    <xdr:from>
      <xdr:col>0</xdr:col>
      <xdr:colOff>0</xdr:colOff>
      <xdr:row>0</xdr:row>
      <xdr:rowOff>0</xdr:rowOff>
    </xdr:from>
    <xdr:to>
      <xdr:col>0</xdr:col>
      <xdr:colOff>541020</xdr:colOff>
      <xdr:row>2</xdr:row>
      <xdr:rowOff>179070</xdr:rowOff>
    </xdr:to>
    <xdr:pic>
      <xdr:nvPicPr>
        <xdr:cNvPr id="17" name="ID_B4C652478C52453380C9AA09DFBAEA6F" descr="图标_职业_先锋_大图"/>
        <xdr:cNvPicPr>
          <a:picLocks noChangeAspect="1"/>
        </xdr:cNvPicPr>
      </xdr:nvPicPr>
      <xdr:blipFill>
        <a:blip r:embed="rId40"/>
        <a:stretch>
          <a:fillRect/>
        </a:stretch>
      </xdr:blipFill>
      <xdr:spPr>
        <a:xfrm>
          <a:off x="617220" y="7288530"/>
          <a:ext cx="541020" cy="544830"/>
        </a:xfrm>
        <a:prstGeom prst="rect">
          <a:avLst/>
        </a:prstGeom>
      </xdr:spPr>
    </xdr:pic>
    <xdr:clientData/>
  </xdr:twoCellAnchor>
  <xdr:twoCellAnchor editAs="oneCell">
    <xdr:from>
      <xdr:col>0</xdr:col>
      <xdr:colOff>0</xdr:colOff>
      <xdr:row>0</xdr:row>
      <xdr:rowOff>0</xdr:rowOff>
    </xdr:from>
    <xdr:to>
      <xdr:col>0</xdr:col>
      <xdr:colOff>520065</xdr:colOff>
      <xdr:row>2</xdr:row>
      <xdr:rowOff>144145</xdr:rowOff>
    </xdr:to>
    <xdr:pic>
      <xdr:nvPicPr>
        <xdr:cNvPr id="59" name="ID_9D483020AB87475C9D130AB233FB50FC"/>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1729740" y="9475470"/>
          <a:ext cx="520065" cy="509905"/>
        </a:xfrm>
        <a:prstGeom prst="rect">
          <a:avLst/>
        </a:prstGeom>
      </xdr:spPr>
    </xdr:pic>
    <xdr:clientData/>
  </xdr:twoCellAnchor>
  <xdr:twoCellAnchor editAs="oneCell">
    <xdr:from>
      <xdr:col>0</xdr:col>
      <xdr:colOff>0</xdr:colOff>
      <xdr:row>0</xdr:row>
      <xdr:rowOff>0</xdr:rowOff>
    </xdr:from>
    <xdr:to>
      <xdr:col>0</xdr:col>
      <xdr:colOff>513715</xdr:colOff>
      <xdr:row>2</xdr:row>
      <xdr:rowOff>96520</xdr:rowOff>
    </xdr:to>
    <xdr:pic>
      <xdr:nvPicPr>
        <xdr:cNvPr id="60" name="ID_2043D1D571B44113913F90DAD270C230"/>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1732280" y="10022205"/>
          <a:ext cx="513715" cy="462280"/>
        </a:xfrm>
        <a:prstGeom prst="rect">
          <a:avLst/>
        </a:prstGeom>
      </xdr:spPr>
    </xdr:pic>
    <xdr:clientData/>
  </xdr:twoCellAnchor>
  <xdr:twoCellAnchor editAs="oneCell">
    <xdr:from>
      <xdr:col>0</xdr:col>
      <xdr:colOff>0</xdr:colOff>
      <xdr:row>0</xdr:row>
      <xdr:rowOff>0</xdr:rowOff>
    </xdr:from>
    <xdr:to>
      <xdr:col>0</xdr:col>
      <xdr:colOff>483235</xdr:colOff>
      <xdr:row>2</xdr:row>
      <xdr:rowOff>117475</xdr:rowOff>
    </xdr:to>
    <xdr:pic>
      <xdr:nvPicPr>
        <xdr:cNvPr id="62" name="ID_75FFA70B2C824179836D8DA037F08694"/>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1729740" y="10568940"/>
          <a:ext cx="483235" cy="483235"/>
        </a:xfrm>
        <a:prstGeom prst="rect">
          <a:avLst/>
        </a:prstGeom>
      </xdr:spPr>
    </xdr:pic>
    <xdr:clientData/>
  </xdr:twoCellAnchor>
  <xdr:twoCellAnchor editAs="oneCell">
    <xdr:from>
      <xdr:col>0</xdr:col>
      <xdr:colOff>0</xdr:colOff>
      <xdr:row>0</xdr:row>
      <xdr:rowOff>0</xdr:rowOff>
    </xdr:from>
    <xdr:to>
      <xdr:col>0</xdr:col>
      <xdr:colOff>541020</xdr:colOff>
      <xdr:row>3</xdr:row>
      <xdr:rowOff>6985</xdr:rowOff>
    </xdr:to>
    <xdr:pic>
      <xdr:nvPicPr>
        <xdr:cNvPr id="65" name="ID_55ED5011E91E401EAC898BCC296F7884"/>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1760855" y="11129010"/>
          <a:ext cx="541020" cy="555625"/>
        </a:xfrm>
        <a:prstGeom prst="rect">
          <a:avLst/>
        </a:prstGeom>
      </xdr:spPr>
    </xdr:pic>
    <xdr:clientData/>
  </xdr:twoCellAnchor>
  <xdr:twoCellAnchor editAs="oneCell">
    <xdr:from>
      <xdr:col>0</xdr:col>
      <xdr:colOff>0</xdr:colOff>
      <xdr:row>0</xdr:row>
      <xdr:rowOff>0</xdr:rowOff>
    </xdr:from>
    <xdr:to>
      <xdr:col>0</xdr:col>
      <xdr:colOff>525145</xdr:colOff>
      <xdr:row>3</xdr:row>
      <xdr:rowOff>6350</xdr:rowOff>
    </xdr:to>
    <xdr:pic>
      <xdr:nvPicPr>
        <xdr:cNvPr id="67" name="ID_340ECEE81B904C63BC1FDB79FEE97A77"/>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1764665" y="11717655"/>
          <a:ext cx="525145" cy="554990"/>
        </a:xfrm>
        <a:prstGeom prst="rect">
          <a:avLst/>
        </a:prstGeom>
      </xdr:spPr>
    </xdr:pic>
    <xdr:clientData/>
  </xdr:twoCellAnchor>
  <xdr:twoCellAnchor editAs="oneCell">
    <xdr:from>
      <xdr:col>0</xdr:col>
      <xdr:colOff>0</xdr:colOff>
      <xdr:row>0</xdr:row>
      <xdr:rowOff>0</xdr:rowOff>
    </xdr:from>
    <xdr:to>
      <xdr:col>0</xdr:col>
      <xdr:colOff>562610</xdr:colOff>
      <xdr:row>3</xdr:row>
      <xdr:rowOff>13970</xdr:rowOff>
    </xdr:to>
    <xdr:pic>
      <xdr:nvPicPr>
        <xdr:cNvPr id="72" name="ID_711A68FC722D47E39FEB7C80579ECDFB"/>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1731010" y="12219940"/>
          <a:ext cx="562610" cy="562610"/>
        </a:xfrm>
        <a:prstGeom prst="rect">
          <a:avLst/>
        </a:prstGeom>
      </xdr:spPr>
    </xdr:pic>
    <xdr:clientData/>
  </xdr:twoCellAnchor>
  <xdr:twoCellAnchor editAs="oneCell">
    <xdr:from>
      <xdr:col>0</xdr:col>
      <xdr:colOff>0</xdr:colOff>
      <xdr:row>0</xdr:row>
      <xdr:rowOff>0</xdr:rowOff>
    </xdr:from>
    <xdr:to>
      <xdr:col>0</xdr:col>
      <xdr:colOff>569595</xdr:colOff>
      <xdr:row>2</xdr:row>
      <xdr:rowOff>109855</xdr:rowOff>
    </xdr:to>
    <xdr:pic>
      <xdr:nvPicPr>
        <xdr:cNvPr id="74" name="ID_CDF75A9588564816BC80857A5E0A0534"/>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1790065" y="12801600"/>
          <a:ext cx="569595" cy="475615"/>
        </a:xfrm>
        <a:prstGeom prst="rect">
          <a:avLst/>
        </a:prstGeom>
      </xdr:spPr>
    </xdr:pic>
    <xdr:clientData/>
  </xdr:twoCellAnchor>
  <xdr:twoCellAnchor editAs="oneCell">
    <xdr:from>
      <xdr:col>0</xdr:col>
      <xdr:colOff>0</xdr:colOff>
      <xdr:row>0</xdr:row>
      <xdr:rowOff>0</xdr:rowOff>
    </xdr:from>
    <xdr:to>
      <xdr:col>0</xdr:col>
      <xdr:colOff>391795</xdr:colOff>
      <xdr:row>3</xdr:row>
      <xdr:rowOff>34925</xdr:rowOff>
    </xdr:to>
    <xdr:pic>
      <xdr:nvPicPr>
        <xdr:cNvPr id="76" name="ID_F68FB23C557B439B8A2572C0FBE16F40"/>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1795780" y="13331825"/>
          <a:ext cx="391795" cy="583565"/>
        </a:xfrm>
        <a:prstGeom prst="rect">
          <a:avLst/>
        </a:prstGeom>
      </xdr:spPr>
    </xdr:pic>
    <xdr:clientData/>
  </xdr:twoCellAnchor>
  <xdr:twoCellAnchor editAs="oneCell">
    <xdr:from>
      <xdr:col>0</xdr:col>
      <xdr:colOff>0</xdr:colOff>
      <xdr:row>0</xdr:row>
      <xdr:rowOff>0</xdr:rowOff>
    </xdr:from>
    <xdr:to>
      <xdr:col>0</xdr:col>
      <xdr:colOff>378460</xdr:colOff>
      <xdr:row>2</xdr:row>
      <xdr:rowOff>180975</xdr:rowOff>
    </xdr:to>
    <xdr:pic>
      <xdr:nvPicPr>
        <xdr:cNvPr id="82" name="ID_FCAFC47947C24D5D81B03CE4B8E39B3F"/>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1773555" y="13869035"/>
          <a:ext cx="378460" cy="546735"/>
        </a:xfrm>
        <a:prstGeom prst="rect">
          <a:avLst/>
        </a:prstGeom>
      </xdr:spPr>
    </xdr:pic>
    <xdr:clientData/>
  </xdr:twoCellAnchor>
  <xdr:twoCellAnchor editAs="oneCell">
    <xdr:from>
      <xdr:col>0</xdr:col>
      <xdr:colOff>0</xdr:colOff>
      <xdr:row>0</xdr:row>
      <xdr:rowOff>0</xdr:rowOff>
    </xdr:from>
    <xdr:to>
      <xdr:col>0</xdr:col>
      <xdr:colOff>541020</xdr:colOff>
      <xdr:row>2</xdr:row>
      <xdr:rowOff>157480</xdr:rowOff>
    </xdr:to>
    <xdr:pic>
      <xdr:nvPicPr>
        <xdr:cNvPr id="83" name="ID_D02AFEA056F34EDF9305AB2E62A6F194"/>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1752600" y="14426565"/>
          <a:ext cx="541020" cy="523240"/>
        </a:xfrm>
        <a:prstGeom prst="rect">
          <a:avLst/>
        </a:prstGeom>
      </xdr:spPr>
    </xdr:pic>
    <xdr:clientData/>
  </xdr:twoCellAnchor>
  <xdr:twoCellAnchor editAs="oneCell">
    <xdr:from>
      <xdr:col>0</xdr:col>
      <xdr:colOff>0</xdr:colOff>
      <xdr:row>0</xdr:row>
      <xdr:rowOff>0</xdr:rowOff>
    </xdr:from>
    <xdr:to>
      <xdr:col>0</xdr:col>
      <xdr:colOff>563880</xdr:colOff>
      <xdr:row>3</xdr:row>
      <xdr:rowOff>28575</xdr:rowOff>
    </xdr:to>
    <xdr:pic>
      <xdr:nvPicPr>
        <xdr:cNvPr id="85" name="ID_42628839994B45458AFF7794DE1DB7BB"/>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1813560" y="14965045"/>
          <a:ext cx="563880" cy="577215"/>
        </a:xfrm>
        <a:prstGeom prst="rect">
          <a:avLst/>
        </a:prstGeom>
      </xdr:spPr>
    </xdr:pic>
    <xdr:clientData/>
  </xdr:twoCellAnchor>
  <xdr:twoCellAnchor editAs="oneCell">
    <xdr:from>
      <xdr:col>0</xdr:col>
      <xdr:colOff>0</xdr:colOff>
      <xdr:row>0</xdr:row>
      <xdr:rowOff>0</xdr:rowOff>
    </xdr:from>
    <xdr:to>
      <xdr:col>0</xdr:col>
      <xdr:colOff>548005</xdr:colOff>
      <xdr:row>3</xdr:row>
      <xdr:rowOff>3175</xdr:rowOff>
    </xdr:to>
    <xdr:pic>
      <xdr:nvPicPr>
        <xdr:cNvPr id="86" name="ID_55E27B07EFB448A3966D1B1A8A49B567"/>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1779905" y="15506700"/>
          <a:ext cx="548005" cy="551815"/>
        </a:xfrm>
        <a:prstGeom prst="rect">
          <a:avLst/>
        </a:prstGeom>
      </xdr:spPr>
    </xdr:pic>
    <xdr:clientData/>
  </xdr:twoCellAnchor>
  <xdr:twoCellAnchor editAs="oneCell">
    <xdr:from>
      <xdr:col>0</xdr:col>
      <xdr:colOff>0</xdr:colOff>
      <xdr:row>0</xdr:row>
      <xdr:rowOff>0</xdr:rowOff>
    </xdr:from>
    <xdr:to>
      <xdr:col>0</xdr:col>
      <xdr:colOff>523240</xdr:colOff>
      <xdr:row>3</xdr:row>
      <xdr:rowOff>31750</xdr:rowOff>
    </xdr:to>
    <xdr:pic>
      <xdr:nvPicPr>
        <xdr:cNvPr id="87" name="ID_96EF36D3F82249A39B95CB3CFF88103F"/>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1747520" y="16118840"/>
          <a:ext cx="523240" cy="580390"/>
        </a:xfrm>
        <a:prstGeom prst="rect">
          <a:avLst/>
        </a:prstGeom>
      </xdr:spPr>
    </xdr:pic>
    <xdr:clientData/>
  </xdr:twoCellAnchor>
  <xdr:twoCellAnchor editAs="oneCell">
    <xdr:from>
      <xdr:col>0</xdr:col>
      <xdr:colOff>0</xdr:colOff>
      <xdr:row>0</xdr:row>
      <xdr:rowOff>0</xdr:rowOff>
    </xdr:from>
    <xdr:to>
      <xdr:col>0</xdr:col>
      <xdr:colOff>522605</xdr:colOff>
      <xdr:row>3</xdr:row>
      <xdr:rowOff>46355</xdr:rowOff>
    </xdr:to>
    <xdr:pic>
      <xdr:nvPicPr>
        <xdr:cNvPr id="90" name="ID_31B1E1FE11A74A38B79F6511A50CFF49"/>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1790065" y="16790670"/>
          <a:ext cx="522605" cy="594995"/>
        </a:xfrm>
        <a:prstGeom prst="rect">
          <a:avLst/>
        </a:prstGeom>
      </xdr:spPr>
    </xdr:pic>
    <xdr:clientData/>
  </xdr:twoCellAnchor>
  <xdr:twoCellAnchor editAs="oneCell">
    <xdr:from>
      <xdr:col>0</xdr:col>
      <xdr:colOff>0</xdr:colOff>
      <xdr:row>0</xdr:row>
      <xdr:rowOff>0</xdr:rowOff>
    </xdr:from>
    <xdr:to>
      <xdr:col>0</xdr:col>
      <xdr:colOff>537210</xdr:colOff>
      <xdr:row>2</xdr:row>
      <xdr:rowOff>180975</xdr:rowOff>
    </xdr:to>
    <xdr:pic>
      <xdr:nvPicPr>
        <xdr:cNvPr id="91" name="ID_D58BF42396AC4308879EE20E288199CA"/>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1790700" y="17244060"/>
          <a:ext cx="537210" cy="546735"/>
        </a:xfrm>
        <a:prstGeom prst="rect">
          <a:avLst/>
        </a:prstGeom>
      </xdr:spPr>
    </xdr:pic>
    <xdr:clientData/>
  </xdr:twoCellAnchor>
  <xdr:twoCellAnchor editAs="oneCell">
    <xdr:from>
      <xdr:col>0</xdr:col>
      <xdr:colOff>0</xdr:colOff>
      <xdr:row>0</xdr:row>
      <xdr:rowOff>0</xdr:rowOff>
    </xdr:from>
    <xdr:to>
      <xdr:col>0</xdr:col>
      <xdr:colOff>551180</xdr:colOff>
      <xdr:row>3</xdr:row>
      <xdr:rowOff>21590</xdr:rowOff>
    </xdr:to>
    <xdr:pic>
      <xdr:nvPicPr>
        <xdr:cNvPr id="92" name="ID_900B474B364742B2839E0461C50AB857"/>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1782445" y="17726025"/>
          <a:ext cx="551180" cy="570230"/>
        </a:xfrm>
        <a:prstGeom prst="rect">
          <a:avLst/>
        </a:prstGeom>
      </xdr:spPr>
    </xdr:pic>
    <xdr:clientData/>
  </xdr:twoCellAnchor>
  <xdr:twoCellAnchor editAs="oneCell">
    <xdr:from>
      <xdr:col>0</xdr:col>
      <xdr:colOff>0</xdr:colOff>
      <xdr:row>0</xdr:row>
      <xdr:rowOff>0</xdr:rowOff>
    </xdr:from>
    <xdr:to>
      <xdr:col>0</xdr:col>
      <xdr:colOff>554355</xdr:colOff>
      <xdr:row>3</xdr:row>
      <xdr:rowOff>26035</xdr:rowOff>
    </xdr:to>
    <xdr:pic>
      <xdr:nvPicPr>
        <xdr:cNvPr id="93" name="ID_0F6C9241EA6D40A9ABB21B4A7817E458"/>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1808480" y="18265140"/>
          <a:ext cx="554355" cy="574675"/>
        </a:xfrm>
        <a:prstGeom prst="rect">
          <a:avLst/>
        </a:prstGeom>
      </xdr:spPr>
    </xdr:pic>
    <xdr:clientData/>
  </xdr:twoCellAnchor>
  <xdr:twoCellAnchor editAs="oneCell">
    <xdr:from>
      <xdr:col>0</xdr:col>
      <xdr:colOff>0</xdr:colOff>
      <xdr:row>0</xdr:row>
      <xdr:rowOff>0</xdr:rowOff>
    </xdr:from>
    <xdr:to>
      <xdr:col>0</xdr:col>
      <xdr:colOff>499745</xdr:colOff>
      <xdr:row>2</xdr:row>
      <xdr:rowOff>149225</xdr:rowOff>
    </xdr:to>
    <xdr:pic>
      <xdr:nvPicPr>
        <xdr:cNvPr id="94" name="ID_D7C82F3FACA14305BB5D39804CA78D94"/>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1814195" y="18860135"/>
          <a:ext cx="499745" cy="514985"/>
        </a:xfrm>
        <a:prstGeom prst="rect">
          <a:avLst/>
        </a:prstGeom>
      </xdr:spPr>
    </xdr:pic>
    <xdr:clientData/>
  </xdr:twoCellAnchor>
  <xdr:twoCellAnchor editAs="oneCell">
    <xdr:from>
      <xdr:col>0</xdr:col>
      <xdr:colOff>0</xdr:colOff>
      <xdr:row>0</xdr:row>
      <xdr:rowOff>0</xdr:rowOff>
    </xdr:from>
    <xdr:to>
      <xdr:col>0</xdr:col>
      <xdr:colOff>563880</xdr:colOff>
      <xdr:row>2</xdr:row>
      <xdr:rowOff>140970</xdr:rowOff>
    </xdr:to>
    <xdr:pic>
      <xdr:nvPicPr>
        <xdr:cNvPr id="95" name="ID_87BBEF148CA74F158CF4A6DE4E9CF37D"/>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1784985" y="19441160"/>
          <a:ext cx="563880" cy="506730"/>
        </a:xfrm>
        <a:prstGeom prst="rect">
          <a:avLst/>
        </a:prstGeom>
      </xdr:spPr>
    </xdr:pic>
    <xdr:clientData/>
  </xdr:twoCellAnchor>
  <xdr:twoCellAnchor editAs="oneCell">
    <xdr:from>
      <xdr:col>0</xdr:col>
      <xdr:colOff>0</xdr:colOff>
      <xdr:row>0</xdr:row>
      <xdr:rowOff>0</xdr:rowOff>
    </xdr:from>
    <xdr:to>
      <xdr:col>0</xdr:col>
      <xdr:colOff>552450</xdr:colOff>
      <xdr:row>3</xdr:row>
      <xdr:rowOff>24765</xdr:rowOff>
    </xdr:to>
    <xdr:pic>
      <xdr:nvPicPr>
        <xdr:cNvPr id="96" name="ID_650E4A34B21B426196708D7D30EC7645"/>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1813560" y="19900900"/>
          <a:ext cx="552450" cy="573405"/>
        </a:xfrm>
        <a:prstGeom prst="rect">
          <a:avLst/>
        </a:prstGeom>
      </xdr:spPr>
    </xdr:pic>
    <xdr:clientData/>
  </xdr:twoCellAnchor>
  <xdr:twoCellAnchor editAs="oneCell">
    <xdr:from>
      <xdr:col>0</xdr:col>
      <xdr:colOff>0</xdr:colOff>
      <xdr:row>0</xdr:row>
      <xdr:rowOff>0</xdr:rowOff>
    </xdr:from>
    <xdr:to>
      <xdr:col>0</xdr:col>
      <xdr:colOff>563880</xdr:colOff>
      <xdr:row>3</xdr:row>
      <xdr:rowOff>40005</xdr:rowOff>
    </xdr:to>
    <xdr:pic>
      <xdr:nvPicPr>
        <xdr:cNvPr id="97" name="ID_6D0E85631DA94EC1A33EDB3F8C2E46CB"/>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1819910" y="20502880"/>
          <a:ext cx="563880" cy="588645"/>
        </a:xfrm>
        <a:prstGeom prst="rect">
          <a:avLst/>
        </a:prstGeom>
      </xdr:spPr>
    </xdr:pic>
    <xdr:clientData/>
  </xdr:twoCellAnchor>
  <xdr:twoCellAnchor editAs="oneCell">
    <xdr:from>
      <xdr:col>0</xdr:col>
      <xdr:colOff>0</xdr:colOff>
      <xdr:row>0</xdr:row>
      <xdr:rowOff>0</xdr:rowOff>
    </xdr:from>
    <xdr:to>
      <xdr:col>0</xdr:col>
      <xdr:colOff>563880</xdr:colOff>
      <xdr:row>3</xdr:row>
      <xdr:rowOff>36830</xdr:rowOff>
    </xdr:to>
    <xdr:pic>
      <xdr:nvPicPr>
        <xdr:cNvPr id="98" name="ID_9DE61F186B5A44EB8C8D8A9CA17CBF50"/>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1884045" y="21139150"/>
          <a:ext cx="563880" cy="585470"/>
        </a:xfrm>
        <a:prstGeom prst="rect">
          <a:avLst/>
        </a:prstGeom>
      </xdr:spPr>
    </xdr:pic>
    <xdr:clientData/>
  </xdr:twoCellAnchor>
  <xdr:twoCellAnchor editAs="oneCell">
    <xdr:from>
      <xdr:col>0</xdr:col>
      <xdr:colOff>0</xdr:colOff>
      <xdr:row>0</xdr:row>
      <xdr:rowOff>0</xdr:rowOff>
    </xdr:from>
    <xdr:to>
      <xdr:col>0</xdr:col>
      <xdr:colOff>579755</xdr:colOff>
      <xdr:row>2</xdr:row>
      <xdr:rowOff>153035</xdr:rowOff>
    </xdr:to>
    <xdr:pic>
      <xdr:nvPicPr>
        <xdr:cNvPr id="99" name="ID_8CC09361A8C64EECA9B27477FBBC2B30"/>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1860550" y="21643975"/>
          <a:ext cx="579755" cy="518795"/>
        </a:xfrm>
        <a:prstGeom prst="rect">
          <a:avLst/>
        </a:prstGeom>
      </xdr:spPr>
    </xdr:pic>
    <xdr:clientData/>
  </xdr:twoCellAnchor>
  <xdr:twoCellAnchor editAs="oneCell">
    <xdr:from>
      <xdr:col>0</xdr:col>
      <xdr:colOff>0</xdr:colOff>
      <xdr:row>0</xdr:row>
      <xdr:rowOff>0</xdr:rowOff>
    </xdr:from>
    <xdr:to>
      <xdr:col>0</xdr:col>
      <xdr:colOff>529590</xdr:colOff>
      <xdr:row>3</xdr:row>
      <xdr:rowOff>3810</xdr:rowOff>
    </xdr:to>
    <xdr:pic>
      <xdr:nvPicPr>
        <xdr:cNvPr id="100" name="ID_268318A30B8C44FBA9E6E8E1FCEC6FB1"/>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1854835" y="22138005"/>
          <a:ext cx="529590" cy="552450"/>
        </a:xfrm>
        <a:prstGeom prst="rect">
          <a:avLst/>
        </a:prstGeom>
      </xdr:spPr>
    </xdr:pic>
    <xdr:clientData/>
  </xdr:twoCellAnchor>
  <xdr:twoCellAnchor editAs="oneCell">
    <xdr:from>
      <xdr:col>0</xdr:col>
      <xdr:colOff>0</xdr:colOff>
      <xdr:row>0</xdr:row>
      <xdr:rowOff>0</xdr:rowOff>
    </xdr:from>
    <xdr:to>
      <xdr:col>0</xdr:col>
      <xdr:colOff>560705</xdr:colOff>
      <xdr:row>3</xdr:row>
      <xdr:rowOff>35560</xdr:rowOff>
    </xdr:to>
    <xdr:pic>
      <xdr:nvPicPr>
        <xdr:cNvPr id="101" name="ID_34AF8C72BB48405DAD5FC819D163CCCC"/>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1854835" y="22665055"/>
          <a:ext cx="560705" cy="584200"/>
        </a:xfrm>
        <a:prstGeom prst="rect">
          <a:avLst/>
        </a:prstGeom>
      </xdr:spPr>
    </xdr:pic>
    <xdr:clientData/>
  </xdr:twoCellAnchor>
  <xdr:twoCellAnchor editAs="oneCell">
    <xdr:from>
      <xdr:col>0</xdr:col>
      <xdr:colOff>0</xdr:colOff>
      <xdr:row>0</xdr:row>
      <xdr:rowOff>0</xdr:rowOff>
    </xdr:from>
    <xdr:to>
      <xdr:col>0</xdr:col>
      <xdr:colOff>527685</xdr:colOff>
      <xdr:row>2</xdr:row>
      <xdr:rowOff>180975</xdr:rowOff>
    </xdr:to>
    <xdr:pic>
      <xdr:nvPicPr>
        <xdr:cNvPr id="102" name="ID_1987BC76BF3C492595F435D716BDE814"/>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1837055" y="23251160"/>
          <a:ext cx="527685" cy="546735"/>
        </a:xfrm>
        <a:prstGeom prst="rect">
          <a:avLst/>
        </a:prstGeom>
      </xdr:spPr>
    </xdr:pic>
    <xdr:clientData/>
  </xdr:twoCellAnchor>
  <xdr:twoCellAnchor editAs="oneCell">
    <xdr:from>
      <xdr:col>0</xdr:col>
      <xdr:colOff>0</xdr:colOff>
      <xdr:row>0</xdr:row>
      <xdr:rowOff>0</xdr:rowOff>
    </xdr:from>
    <xdr:to>
      <xdr:col>0</xdr:col>
      <xdr:colOff>536575</xdr:colOff>
      <xdr:row>2</xdr:row>
      <xdr:rowOff>179705</xdr:rowOff>
    </xdr:to>
    <xdr:pic>
      <xdr:nvPicPr>
        <xdr:cNvPr id="103" name="ID_724187EA4D5B47FB9E1429E0677576D7"/>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1819910" y="23773130"/>
          <a:ext cx="536575" cy="545465"/>
        </a:xfrm>
        <a:prstGeom prst="rect">
          <a:avLst/>
        </a:prstGeom>
      </xdr:spPr>
    </xdr:pic>
    <xdr:clientData/>
  </xdr:twoCellAnchor>
  <xdr:twoCellAnchor editAs="oneCell">
    <xdr:from>
      <xdr:col>0</xdr:col>
      <xdr:colOff>0</xdr:colOff>
      <xdr:row>0</xdr:row>
      <xdr:rowOff>0</xdr:rowOff>
    </xdr:from>
    <xdr:to>
      <xdr:col>0</xdr:col>
      <xdr:colOff>563880</xdr:colOff>
      <xdr:row>3</xdr:row>
      <xdr:rowOff>31115</xdr:rowOff>
    </xdr:to>
    <xdr:pic>
      <xdr:nvPicPr>
        <xdr:cNvPr id="105" name="ID_0745C76CA7DB47DDB14E2AEB98F48956"/>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1895475" y="24323675"/>
          <a:ext cx="563880" cy="579755"/>
        </a:xfrm>
        <a:prstGeom prst="rect">
          <a:avLst/>
        </a:prstGeom>
      </xdr:spPr>
    </xdr:pic>
    <xdr:clientData/>
  </xdr:twoCellAnchor>
  <xdr:twoCellAnchor editAs="oneCell">
    <xdr:from>
      <xdr:col>0</xdr:col>
      <xdr:colOff>0</xdr:colOff>
      <xdr:row>0</xdr:row>
      <xdr:rowOff>0</xdr:rowOff>
    </xdr:from>
    <xdr:to>
      <xdr:col>0</xdr:col>
      <xdr:colOff>575945</xdr:colOff>
      <xdr:row>2</xdr:row>
      <xdr:rowOff>143510</xdr:rowOff>
    </xdr:to>
    <xdr:pic>
      <xdr:nvPicPr>
        <xdr:cNvPr id="104" name="ID_6601B38DD1A44F4D923C0AF8EAD00C85"/>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1983740" y="25074245"/>
          <a:ext cx="575945" cy="509270"/>
        </a:xfrm>
        <a:prstGeom prst="rect">
          <a:avLst/>
        </a:prstGeom>
      </xdr:spPr>
    </xdr:pic>
    <xdr:clientData/>
  </xdr:twoCellAnchor>
  <xdr:twoCellAnchor editAs="oneCell">
    <xdr:from>
      <xdr:col>0</xdr:col>
      <xdr:colOff>0</xdr:colOff>
      <xdr:row>0</xdr:row>
      <xdr:rowOff>0</xdr:rowOff>
    </xdr:from>
    <xdr:to>
      <xdr:col>0</xdr:col>
      <xdr:colOff>579120</xdr:colOff>
      <xdr:row>1</xdr:row>
      <xdr:rowOff>153670</xdr:rowOff>
    </xdr:to>
    <xdr:pic>
      <xdr:nvPicPr>
        <xdr:cNvPr id="106" name="ID_2BA53CCA4CE84F1EADDE6FA9F5B37FAF"/>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1795145" y="25507950"/>
          <a:ext cx="579120" cy="336550"/>
        </a:xfrm>
        <a:prstGeom prst="rect">
          <a:avLst/>
        </a:prstGeom>
      </xdr:spPr>
    </xdr:pic>
    <xdr:clientData/>
  </xdr:twoCellAnchor>
  <xdr:twoCellAnchor editAs="oneCell">
    <xdr:from>
      <xdr:col>0</xdr:col>
      <xdr:colOff>0</xdr:colOff>
      <xdr:row>0</xdr:row>
      <xdr:rowOff>0</xdr:rowOff>
    </xdr:from>
    <xdr:to>
      <xdr:col>0</xdr:col>
      <xdr:colOff>548640</xdr:colOff>
      <xdr:row>3</xdr:row>
      <xdr:rowOff>27305</xdr:rowOff>
    </xdr:to>
    <xdr:pic>
      <xdr:nvPicPr>
        <xdr:cNvPr id="107" name="ID_A90817B127234987B5D9D9856FCE9E28"/>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1837690" y="26018490"/>
          <a:ext cx="548640" cy="575945"/>
        </a:xfrm>
        <a:prstGeom prst="rect">
          <a:avLst/>
        </a:prstGeom>
      </xdr:spPr>
    </xdr:pic>
    <xdr:clientData/>
  </xdr:twoCellAnchor>
  <xdr:twoCellAnchor editAs="oneCell">
    <xdr:from>
      <xdr:col>0</xdr:col>
      <xdr:colOff>0</xdr:colOff>
      <xdr:row>0</xdr:row>
      <xdr:rowOff>0</xdr:rowOff>
    </xdr:from>
    <xdr:to>
      <xdr:col>0</xdr:col>
      <xdr:colOff>579755</xdr:colOff>
      <xdr:row>1</xdr:row>
      <xdr:rowOff>140335</xdr:rowOff>
    </xdr:to>
    <xdr:pic>
      <xdr:nvPicPr>
        <xdr:cNvPr id="108" name="ID_EED51BDA0129403AB88AC1181045C08D"/>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1859915" y="26584275"/>
          <a:ext cx="579755" cy="323215"/>
        </a:xfrm>
        <a:prstGeom prst="rect">
          <a:avLst/>
        </a:prstGeom>
      </xdr:spPr>
    </xdr:pic>
    <xdr:clientData/>
  </xdr:twoCellAnchor>
  <xdr:twoCellAnchor editAs="oneCell">
    <xdr:from>
      <xdr:col>0</xdr:col>
      <xdr:colOff>0</xdr:colOff>
      <xdr:row>0</xdr:row>
      <xdr:rowOff>0</xdr:rowOff>
    </xdr:from>
    <xdr:to>
      <xdr:col>0</xdr:col>
      <xdr:colOff>550545</xdr:colOff>
      <xdr:row>3</xdr:row>
      <xdr:rowOff>26035</xdr:rowOff>
    </xdr:to>
    <xdr:pic>
      <xdr:nvPicPr>
        <xdr:cNvPr id="109" name="ID_9B0638086A6C4D9C8C8FEDB24747A8A4"/>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1831340" y="27108150"/>
          <a:ext cx="550545" cy="574675"/>
        </a:xfrm>
        <a:prstGeom prst="rect">
          <a:avLst/>
        </a:prstGeom>
      </xdr:spPr>
    </xdr:pic>
    <xdr:clientData/>
  </xdr:twoCellAnchor>
  <xdr:twoCellAnchor editAs="oneCell">
    <xdr:from>
      <xdr:col>0</xdr:col>
      <xdr:colOff>0</xdr:colOff>
      <xdr:row>0</xdr:row>
      <xdr:rowOff>0</xdr:rowOff>
    </xdr:from>
    <xdr:to>
      <xdr:col>0</xdr:col>
      <xdr:colOff>545465</xdr:colOff>
      <xdr:row>3</xdr:row>
      <xdr:rowOff>43180</xdr:rowOff>
    </xdr:to>
    <xdr:pic>
      <xdr:nvPicPr>
        <xdr:cNvPr id="110" name="ID_E845A5320CAD44A9BFD6E151F5F18BFC"/>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1843405" y="27571065"/>
          <a:ext cx="545465" cy="591820"/>
        </a:xfrm>
        <a:prstGeom prst="rect">
          <a:avLst/>
        </a:prstGeom>
      </xdr:spPr>
    </xdr:pic>
    <xdr:clientData/>
  </xdr:twoCellAnchor>
  <xdr:twoCellAnchor editAs="oneCell">
    <xdr:from>
      <xdr:col>0</xdr:col>
      <xdr:colOff>0</xdr:colOff>
      <xdr:row>0</xdr:row>
      <xdr:rowOff>0</xdr:rowOff>
    </xdr:from>
    <xdr:to>
      <xdr:col>0</xdr:col>
      <xdr:colOff>575310</xdr:colOff>
      <xdr:row>2</xdr:row>
      <xdr:rowOff>6985</xdr:rowOff>
    </xdr:to>
    <xdr:pic>
      <xdr:nvPicPr>
        <xdr:cNvPr id="111" name="ID_12839D4FE4AB45359BB8E9884953DF81"/>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1901825" y="28214955"/>
          <a:ext cx="575310" cy="372745"/>
        </a:xfrm>
        <a:prstGeom prst="rect">
          <a:avLst/>
        </a:prstGeom>
      </xdr:spPr>
    </xdr:pic>
    <xdr:clientData/>
  </xdr:twoCellAnchor>
  <xdr:twoCellAnchor editAs="oneCell">
    <xdr:from>
      <xdr:col>0</xdr:col>
      <xdr:colOff>0</xdr:colOff>
      <xdr:row>0</xdr:row>
      <xdr:rowOff>0</xdr:rowOff>
    </xdr:from>
    <xdr:to>
      <xdr:col>0</xdr:col>
      <xdr:colOff>563880</xdr:colOff>
      <xdr:row>3</xdr:row>
      <xdr:rowOff>18415</xdr:rowOff>
    </xdr:to>
    <xdr:pic>
      <xdr:nvPicPr>
        <xdr:cNvPr id="112" name="ID_AE8F2C60D7AA41FFA9E81C3C13CEF01C"/>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1895475" y="28731210"/>
          <a:ext cx="563880" cy="567055"/>
        </a:xfrm>
        <a:prstGeom prst="rect">
          <a:avLst/>
        </a:prstGeom>
      </xdr:spPr>
    </xdr:pic>
    <xdr:clientData/>
  </xdr:twoCellAnchor>
  <xdr:twoCellAnchor editAs="oneCell">
    <xdr:from>
      <xdr:col>0</xdr:col>
      <xdr:colOff>0</xdr:colOff>
      <xdr:row>0</xdr:row>
      <xdr:rowOff>0</xdr:rowOff>
    </xdr:from>
    <xdr:to>
      <xdr:col>0</xdr:col>
      <xdr:colOff>579755</xdr:colOff>
      <xdr:row>2</xdr:row>
      <xdr:rowOff>178435</xdr:rowOff>
    </xdr:to>
    <xdr:pic>
      <xdr:nvPicPr>
        <xdr:cNvPr id="113" name="ID_587F5504AC034E57906F1999DD0D79F6"/>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1825625" y="29273500"/>
          <a:ext cx="579755" cy="544195"/>
        </a:xfrm>
        <a:prstGeom prst="rect">
          <a:avLst/>
        </a:prstGeom>
      </xdr:spPr>
    </xdr:pic>
    <xdr:clientData/>
  </xdr:twoCellAnchor>
  <xdr:twoCellAnchor editAs="oneCell">
    <xdr:from>
      <xdr:col>0</xdr:col>
      <xdr:colOff>0</xdr:colOff>
      <xdr:row>0</xdr:row>
      <xdr:rowOff>0</xdr:rowOff>
    </xdr:from>
    <xdr:to>
      <xdr:col>0</xdr:col>
      <xdr:colOff>516255</xdr:colOff>
      <xdr:row>2</xdr:row>
      <xdr:rowOff>149225</xdr:rowOff>
    </xdr:to>
    <xdr:pic>
      <xdr:nvPicPr>
        <xdr:cNvPr id="114" name="ID_411D84E06C08443995D759FB88AFFC25"/>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1837055" y="29829125"/>
          <a:ext cx="516255" cy="514985"/>
        </a:xfrm>
        <a:prstGeom prst="rect">
          <a:avLst/>
        </a:prstGeom>
      </xdr:spPr>
    </xdr:pic>
    <xdr:clientData/>
  </xdr:twoCellAnchor>
  <xdr:twoCellAnchor editAs="oneCell">
    <xdr:from>
      <xdr:col>0</xdr:col>
      <xdr:colOff>0</xdr:colOff>
      <xdr:row>0</xdr:row>
      <xdr:rowOff>0</xdr:rowOff>
    </xdr:from>
    <xdr:to>
      <xdr:col>0</xdr:col>
      <xdr:colOff>533400</xdr:colOff>
      <xdr:row>2</xdr:row>
      <xdr:rowOff>170180</xdr:rowOff>
    </xdr:to>
    <xdr:pic>
      <xdr:nvPicPr>
        <xdr:cNvPr id="115" name="ID_4531C3F21E7D4959BFBDD1BEE8C35193"/>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1871345" y="30358080"/>
          <a:ext cx="533400" cy="535940"/>
        </a:xfrm>
        <a:prstGeom prst="rect">
          <a:avLst/>
        </a:prstGeom>
      </xdr:spPr>
    </xdr:pic>
    <xdr:clientData/>
  </xdr:twoCellAnchor>
  <xdr:twoCellAnchor editAs="oneCell">
    <xdr:from>
      <xdr:col>0</xdr:col>
      <xdr:colOff>0</xdr:colOff>
      <xdr:row>0</xdr:row>
      <xdr:rowOff>0</xdr:rowOff>
    </xdr:from>
    <xdr:to>
      <xdr:col>0</xdr:col>
      <xdr:colOff>533400</xdr:colOff>
      <xdr:row>2</xdr:row>
      <xdr:rowOff>170180</xdr:rowOff>
    </xdr:to>
    <xdr:pic>
      <xdr:nvPicPr>
        <xdr:cNvPr id="116" name="ID_E5459B55432144A9BE0802B7314E7226"/>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1849120" y="30857825"/>
          <a:ext cx="533400" cy="535940"/>
        </a:xfrm>
        <a:prstGeom prst="rect">
          <a:avLst/>
        </a:prstGeom>
      </xdr:spPr>
    </xdr:pic>
    <xdr:clientData/>
  </xdr:twoCellAnchor>
  <xdr:twoCellAnchor editAs="oneCell">
    <xdr:from>
      <xdr:col>0</xdr:col>
      <xdr:colOff>0</xdr:colOff>
      <xdr:row>0</xdr:row>
      <xdr:rowOff>0</xdr:rowOff>
    </xdr:from>
    <xdr:to>
      <xdr:col>0</xdr:col>
      <xdr:colOff>538480</xdr:colOff>
      <xdr:row>2</xdr:row>
      <xdr:rowOff>180975</xdr:rowOff>
    </xdr:to>
    <xdr:pic>
      <xdr:nvPicPr>
        <xdr:cNvPr id="117" name="ID_5E2AC4CDC2E5479A8CB02CD57CAC9231"/>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1821815" y="31381065"/>
          <a:ext cx="538480" cy="546735"/>
        </a:xfrm>
        <a:prstGeom prst="rect">
          <a:avLst/>
        </a:prstGeom>
      </xdr:spPr>
    </xdr:pic>
    <xdr:clientData/>
  </xdr:twoCellAnchor>
  <xdr:twoCellAnchor editAs="oneCell">
    <xdr:from>
      <xdr:col>0</xdr:col>
      <xdr:colOff>0</xdr:colOff>
      <xdr:row>0</xdr:row>
      <xdr:rowOff>0</xdr:rowOff>
    </xdr:from>
    <xdr:to>
      <xdr:col>0</xdr:col>
      <xdr:colOff>546100</xdr:colOff>
      <xdr:row>3</xdr:row>
      <xdr:rowOff>5080</xdr:rowOff>
    </xdr:to>
    <xdr:pic>
      <xdr:nvPicPr>
        <xdr:cNvPr id="118" name="ID_5114C21391D644A0B74979067F5316AE"/>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2007870" y="31993205"/>
          <a:ext cx="546100" cy="553720"/>
        </a:xfrm>
        <a:prstGeom prst="rect">
          <a:avLst/>
        </a:prstGeom>
      </xdr:spPr>
    </xdr:pic>
    <xdr:clientData/>
  </xdr:twoCellAnchor>
  <xdr:twoCellAnchor editAs="oneCell">
    <xdr:from>
      <xdr:col>0</xdr:col>
      <xdr:colOff>0</xdr:colOff>
      <xdr:row>0</xdr:row>
      <xdr:rowOff>0</xdr:rowOff>
    </xdr:from>
    <xdr:to>
      <xdr:col>0</xdr:col>
      <xdr:colOff>523875</xdr:colOff>
      <xdr:row>3</xdr:row>
      <xdr:rowOff>26035</xdr:rowOff>
    </xdr:to>
    <xdr:pic>
      <xdr:nvPicPr>
        <xdr:cNvPr id="137" name="ID_0413AC295DEA416DB25AFCCF674B467D"/>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1837690" y="32473265"/>
          <a:ext cx="523875" cy="574675"/>
        </a:xfrm>
        <a:prstGeom prst="rect">
          <a:avLst/>
        </a:prstGeom>
      </xdr:spPr>
    </xdr:pic>
    <xdr:clientData/>
  </xdr:twoCellAnchor>
  <xdr:twoCellAnchor editAs="oneCell">
    <xdr:from>
      <xdr:col>0</xdr:col>
      <xdr:colOff>0</xdr:colOff>
      <xdr:row>0</xdr:row>
      <xdr:rowOff>0</xdr:rowOff>
    </xdr:from>
    <xdr:to>
      <xdr:col>0</xdr:col>
      <xdr:colOff>546100</xdr:colOff>
      <xdr:row>2</xdr:row>
      <xdr:rowOff>148590</xdr:rowOff>
    </xdr:to>
    <xdr:pic>
      <xdr:nvPicPr>
        <xdr:cNvPr id="127" name="ID_543CEB5128D34C7B86B42FC8E8D28A51"/>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1811655" y="33114615"/>
          <a:ext cx="546100" cy="514350"/>
        </a:xfrm>
        <a:prstGeom prst="rect">
          <a:avLst/>
        </a:prstGeom>
      </xdr:spPr>
    </xdr:pic>
    <xdr:clientData/>
  </xdr:twoCellAnchor>
  <xdr:twoCellAnchor editAs="oneCell">
    <xdr:from>
      <xdr:col>0</xdr:col>
      <xdr:colOff>0</xdr:colOff>
      <xdr:row>0</xdr:row>
      <xdr:rowOff>0</xdr:rowOff>
    </xdr:from>
    <xdr:to>
      <xdr:col>0</xdr:col>
      <xdr:colOff>507365</xdr:colOff>
      <xdr:row>3</xdr:row>
      <xdr:rowOff>3810</xdr:rowOff>
    </xdr:to>
    <xdr:pic>
      <xdr:nvPicPr>
        <xdr:cNvPr id="129" name="ID_7B87AE799769450B9256FAAF182CD9AE"/>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1854835" y="33615630"/>
          <a:ext cx="507365" cy="552450"/>
        </a:xfrm>
        <a:prstGeom prst="rect">
          <a:avLst/>
        </a:prstGeom>
      </xdr:spPr>
    </xdr:pic>
    <xdr:clientData/>
  </xdr:twoCellAnchor>
  <xdr:twoCellAnchor editAs="oneCell">
    <xdr:from>
      <xdr:col>0</xdr:col>
      <xdr:colOff>0</xdr:colOff>
      <xdr:row>0</xdr:row>
      <xdr:rowOff>0</xdr:rowOff>
    </xdr:from>
    <xdr:to>
      <xdr:col>0</xdr:col>
      <xdr:colOff>487680</xdr:colOff>
      <xdr:row>2</xdr:row>
      <xdr:rowOff>170180</xdr:rowOff>
    </xdr:to>
    <xdr:pic>
      <xdr:nvPicPr>
        <xdr:cNvPr id="131" name="ID_F47D1CE6A416434C8C6DECDA90B84463"/>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1871980" y="34190305"/>
          <a:ext cx="487680" cy="535940"/>
        </a:xfrm>
        <a:prstGeom prst="rect">
          <a:avLst/>
        </a:prstGeom>
      </xdr:spPr>
    </xdr:pic>
    <xdr:clientData/>
  </xdr:twoCellAnchor>
  <xdr:twoCellAnchor editAs="oneCell">
    <xdr:from>
      <xdr:col>0</xdr:col>
      <xdr:colOff>0</xdr:colOff>
      <xdr:row>0</xdr:row>
      <xdr:rowOff>0</xdr:rowOff>
    </xdr:from>
    <xdr:to>
      <xdr:col>0</xdr:col>
      <xdr:colOff>535940</xdr:colOff>
      <xdr:row>2</xdr:row>
      <xdr:rowOff>170180</xdr:rowOff>
    </xdr:to>
    <xdr:pic>
      <xdr:nvPicPr>
        <xdr:cNvPr id="133" name="ID_1535B9B984F542669E3F4CDECDF0E294"/>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1936750" y="34711640"/>
          <a:ext cx="535940" cy="535940"/>
        </a:xfrm>
        <a:prstGeom prst="rect">
          <a:avLst/>
        </a:prstGeom>
      </xdr:spPr>
    </xdr:pic>
    <xdr:clientData/>
  </xdr:twoCellAnchor>
  <xdr:twoCellAnchor editAs="oneCell">
    <xdr:from>
      <xdr:col>0</xdr:col>
      <xdr:colOff>0</xdr:colOff>
      <xdr:row>0</xdr:row>
      <xdr:rowOff>0</xdr:rowOff>
    </xdr:from>
    <xdr:to>
      <xdr:col>0</xdr:col>
      <xdr:colOff>499745</xdr:colOff>
      <xdr:row>3</xdr:row>
      <xdr:rowOff>5715</xdr:rowOff>
    </xdr:to>
    <xdr:pic>
      <xdr:nvPicPr>
        <xdr:cNvPr id="135" name="ID_429575C20C454685927B901E0BD3B163"/>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1802130" y="35256470"/>
          <a:ext cx="499745" cy="554355"/>
        </a:xfrm>
        <a:prstGeom prst="rect">
          <a:avLst/>
        </a:prstGeom>
      </xdr:spPr>
    </xdr:pic>
    <xdr:clientData/>
  </xdr:twoCellAnchor>
  <xdr:twoCellAnchor editAs="oneCell">
    <xdr:from>
      <xdr:col>0</xdr:col>
      <xdr:colOff>0</xdr:colOff>
      <xdr:row>0</xdr:row>
      <xdr:rowOff>0</xdr:rowOff>
    </xdr:from>
    <xdr:to>
      <xdr:col>0</xdr:col>
      <xdr:colOff>440055</xdr:colOff>
      <xdr:row>3</xdr:row>
      <xdr:rowOff>21590</xdr:rowOff>
    </xdr:to>
    <xdr:pic>
      <xdr:nvPicPr>
        <xdr:cNvPr id="153" name="ID_72337A65D96F4DCBB149A894D71C0F01"/>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1878965" y="35756850"/>
          <a:ext cx="440055" cy="570230"/>
        </a:xfrm>
        <a:prstGeom prst="rect">
          <a:avLst/>
        </a:prstGeom>
      </xdr:spPr>
    </xdr:pic>
    <xdr:clientData/>
  </xdr:twoCellAnchor>
  <xdr:twoCellAnchor editAs="oneCell">
    <xdr:from>
      <xdr:col>0</xdr:col>
      <xdr:colOff>0</xdr:colOff>
      <xdr:row>0</xdr:row>
      <xdr:rowOff>0</xdr:rowOff>
    </xdr:from>
    <xdr:to>
      <xdr:col>0</xdr:col>
      <xdr:colOff>429260</xdr:colOff>
      <xdr:row>2</xdr:row>
      <xdr:rowOff>180975</xdr:rowOff>
    </xdr:to>
    <xdr:pic>
      <xdr:nvPicPr>
        <xdr:cNvPr id="139" name="ID_BC9BF5D8FB1C4CBA87DE995C8A8FFCAA"/>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1921510" y="36327080"/>
          <a:ext cx="429260" cy="546735"/>
        </a:xfrm>
        <a:prstGeom prst="rect">
          <a:avLst/>
        </a:prstGeom>
      </xdr:spPr>
    </xdr:pic>
    <xdr:clientData/>
  </xdr:twoCellAnchor>
  <xdr:twoCellAnchor editAs="oneCell">
    <xdr:from>
      <xdr:col>0</xdr:col>
      <xdr:colOff>0</xdr:colOff>
      <xdr:row>0</xdr:row>
      <xdr:rowOff>0</xdr:rowOff>
    </xdr:from>
    <xdr:to>
      <xdr:col>0</xdr:col>
      <xdr:colOff>501015</xdr:colOff>
      <xdr:row>3</xdr:row>
      <xdr:rowOff>10160</xdr:rowOff>
    </xdr:to>
    <xdr:pic>
      <xdr:nvPicPr>
        <xdr:cNvPr id="141" name="ID_90F20AB540BE45CFAC9BB23F4390FC05"/>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1874520" y="36939220"/>
          <a:ext cx="501015" cy="558800"/>
        </a:xfrm>
        <a:prstGeom prst="rect">
          <a:avLst/>
        </a:prstGeom>
      </xdr:spPr>
    </xdr:pic>
    <xdr:clientData/>
  </xdr:twoCellAnchor>
  <xdr:twoCellAnchor editAs="oneCell">
    <xdr:from>
      <xdr:col>0</xdr:col>
      <xdr:colOff>0</xdr:colOff>
      <xdr:row>0</xdr:row>
      <xdr:rowOff>0</xdr:rowOff>
    </xdr:from>
    <xdr:to>
      <xdr:col>0</xdr:col>
      <xdr:colOff>439420</xdr:colOff>
      <xdr:row>3</xdr:row>
      <xdr:rowOff>40005</xdr:rowOff>
    </xdr:to>
    <xdr:pic>
      <xdr:nvPicPr>
        <xdr:cNvPr id="143" name="ID_EDC42243F4724EBD938FA33CE8845F07"/>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1899920" y="37414835"/>
          <a:ext cx="439420" cy="588645"/>
        </a:xfrm>
        <a:prstGeom prst="rect">
          <a:avLst/>
        </a:prstGeom>
      </xdr:spPr>
    </xdr:pic>
    <xdr:clientData/>
  </xdr:twoCellAnchor>
  <xdr:twoCellAnchor editAs="oneCell">
    <xdr:from>
      <xdr:col>0</xdr:col>
      <xdr:colOff>0</xdr:colOff>
      <xdr:row>0</xdr:row>
      <xdr:rowOff>0</xdr:rowOff>
    </xdr:from>
    <xdr:to>
      <xdr:col>0</xdr:col>
      <xdr:colOff>434340</xdr:colOff>
      <xdr:row>2</xdr:row>
      <xdr:rowOff>180975</xdr:rowOff>
    </xdr:to>
    <xdr:pic>
      <xdr:nvPicPr>
        <xdr:cNvPr id="145" name="ID_E54B32B7B56745BDA30D02BC0C5D532C"/>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1987550" y="37988240"/>
          <a:ext cx="434340" cy="546735"/>
        </a:xfrm>
        <a:prstGeom prst="rect">
          <a:avLst/>
        </a:prstGeom>
      </xdr:spPr>
    </xdr:pic>
    <xdr:clientData/>
  </xdr:twoCellAnchor>
  <xdr:twoCellAnchor editAs="oneCell">
    <xdr:from>
      <xdr:col>0</xdr:col>
      <xdr:colOff>0</xdr:colOff>
      <xdr:row>0</xdr:row>
      <xdr:rowOff>0</xdr:rowOff>
    </xdr:from>
    <xdr:to>
      <xdr:col>0</xdr:col>
      <xdr:colOff>440055</xdr:colOff>
      <xdr:row>3</xdr:row>
      <xdr:rowOff>15240</xdr:rowOff>
    </xdr:to>
    <xdr:pic>
      <xdr:nvPicPr>
        <xdr:cNvPr id="147" name="ID_88A769A11C8243D5AA8B415ADF26F880"/>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1888490" y="38490525"/>
          <a:ext cx="440055" cy="563880"/>
        </a:xfrm>
        <a:prstGeom prst="rect">
          <a:avLst/>
        </a:prstGeom>
      </xdr:spPr>
    </xdr:pic>
    <xdr:clientData/>
  </xdr:twoCellAnchor>
  <xdr:twoCellAnchor editAs="oneCell">
    <xdr:from>
      <xdr:col>0</xdr:col>
      <xdr:colOff>0</xdr:colOff>
      <xdr:row>0</xdr:row>
      <xdr:rowOff>0</xdr:rowOff>
    </xdr:from>
    <xdr:to>
      <xdr:col>0</xdr:col>
      <xdr:colOff>438150</xdr:colOff>
      <xdr:row>3</xdr:row>
      <xdr:rowOff>13335</xdr:rowOff>
    </xdr:to>
    <xdr:pic>
      <xdr:nvPicPr>
        <xdr:cNvPr id="149" name="ID_947A4308C71C49A596D7AA046DD6E883"/>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1856740" y="39088695"/>
          <a:ext cx="438150" cy="561975"/>
        </a:xfrm>
        <a:prstGeom prst="rect">
          <a:avLst/>
        </a:prstGeom>
      </xdr:spPr>
    </xdr:pic>
    <xdr:clientData/>
  </xdr:twoCellAnchor>
  <xdr:twoCellAnchor editAs="oneCell">
    <xdr:from>
      <xdr:col>0</xdr:col>
      <xdr:colOff>0</xdr:colOff>
      <xdr:row>0</xdr:row>
      <xdr:rowOff>0</xdr:rowOff>
    </xdr:from>
    <xdr:to>
      <xdr:col>0</xdr:col>
      <xdr:colOff>481330</xdr:colOff>
      <xdr:row>3</xdr:row>
      <xdr:rowOff>4445</xdr:rowOff>
    </xdr:to>
    <xdr:pic>
      <xdr:nvPicPr>
        <xdr:cNvPr id="151" name="ID_020B7383D9B74101917D14ADD1270259"/>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1844675" y="39580185"/>
          <a:ext cx="481330" cy="553085"/>
        </a:xfrm>
        <a:prstGeom prst="rect">
          <a:avLst/>
        </a:prstGeom>
      </xdr:spPr>
    </xdr:pic>
    <xdr:clientData/>
  </xdr:twoCellAnchor>
  <xdr:twoCellAnchor editAs="oneCell">
    <xdr:from>
      <xdr:col>0</xdr:col>
      <xdr:colOff>0</xdr:colOff>
      <xdr:row>0</xdr:row>
      <xdr:rowOff>0</xdr:rowOff>
    </xdr:from>
    <xdr:to>
      <xdr:col>0</xdr:col>
      <xdr:colOff>530225</xdr:colOff>
      <xdr:row>2</xdr:row>
      <xdr:rowOff>172720</xdr:rowOff>
    </xdr:to>
    <xdr:pic>
      <xdr:nvPicPr>
        <xdr:cNvPr id="119" name="ID_CA80DA5E106B48DBB37704E283FF884B"/>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1784350" y="4559935"/>
          <a:ext cx="530225" cy="538480"/>
        </a:xfrm>
        <a:prstGeom prst="rect">
          <a:avLst/>
        </a:prstGeom>
      </xdr:spPr>
    </xdr:pic>
    <xdr:clientData/>
  </xdr:twoCellAnchor>
  <xdr:twoCellAnchor editAs="oneCell">
    <xdr:from>
      <xdr:col>0</xdr:col>
      <xdr:colOff>0</xdr:colOff>
      <xdr:row>0</xdr:row>
      <xdr:rowOff>0</xdr:rowOff>
    </xdr:from>
    <xdr:to>
      <xdr:col>0</xdr:col>
      <xdr:colOff>528955</xdr:colOff>
      <xdr:row>2</xdr:row>
      <xdr:rowOff>164465</xdr:rowOff>
    </xdr:to>
    <xdr:pic>
      <xdr:nvPicPr>
        <xdr:cNvPr id="120" name="ID_04E4CFF56CEF45C78BFA44EAC3A1827F"/>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1800225" y="5149215"/>
          <a:ext cx="528955" cy="530225"/>
        </a:xfrm>
        <a:prstGeom prst="rect">
          <a:avLst/>
        </a:prstGeom>
      </xdr:spPr>
    </xdr:pic>
    <xdr:clientData/>
  </xdr:twoCellAnchor>
  <xdr:twoCellAnchor editAs="oneCell">
    <xdr:from>
      <xdr:col>0</xdr:col>
      <xdr:colOff>0</xdr:colOff>
      <xdr:row>0</xdr:row>
      <xdr:rowOff>0</xdr:rowOff>
    </xdr:from>
    <xdr:to>
      <xdr:col>0</xdr:col>
      <xdr:colOff>546100</xdr:colOff>
      <xdr:row>2</xdr:row>
      <xdr:rowOff>101600</xdr:rowOff>
    </xdr:to>
    <xdr:pic>
      <xdr:nvPicPr>
        <xdr:cNvPr id="121" name="ID_8A3A3A6C6FFE4A2F9115A34132255FC3"/>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1802130" y="5690870"/>
          <a:ext cx="546100" cy="467360"/>
        </a:xfrm>
        <a:prstGeom prst="rect">
          <a:avLst/>
        </a:prstGeom>
      </xdr:spPr>
    </xdr:pic>
    <xdr:clientData/>
  </xdr:twoCellAnchor>
  <xdr:twoCellAnchor editAs="oneCell">
    <xdr:from>
      <xdr:col>0</xdr:col>
      <xdr:colOff>0</xdr:colOff>
      <xdr:row>0</xdr:row>
      <xdr:rowOff>0</xdr:rowOff>
    </xdr:from>
    <xdr:to>
      <xdr:col>0</xdr:col>
      <xdr:colOff>567055</xdr:colOff>
      <xdr:row>2</xdr:row>
      <xdr:rowOff>147320</xdr:rowOff>
    </xdr:to>
    <xdr:pic>
      <xdr:nvPicPr>
        <xdr:cNvPr id="122" name="ID_E0483A607AB043C5893713F4F421B0AF"/>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1790065" y="6243320"/>
          <a:ext cx="567055" cy="513080"/>
        </a:xfrm>
        <a:prstGeom prst="rect">
          <a:avLst/>
        </a:prstGeom>
      </xdr:spPr>
    </xdr:pic>
    <xdr:clientData/>
  </xdr:twoCellAnchor>
  <xdr:twoCellAnchor editAs="oneCell">
    <xdr:from>
      <xdr:col>0</xdr:col>
      <xdr:colOff>0</xdr:colOff>
      <xdr:row>0</xdr:row>
      <xdr:rowOff>0</xdr:rowOff>
    </xdr:from>
    <xdr:to>
      <xdr:col>0</xdr:col>
      <xdr:colOff>530225</xdr:colOff>
      <xdr:row>3</xdr:row>
      <xdr:rowOff>4445</xdr:rowOff>
    </xdr:to>
    <xdr:pic>
      <xdr:nvPicPr>
        <xdr:cNvPr id="123" name="ID_627B5B3B6ADA47B9A3CC2575279ECC44"/>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1837055" y="6812915"/>
          <a:ext cx="530225" cy="553085"/>
        </a:xfrm>
        <a:prstGeom prst="rect">
          <a:avLst/>
        </a:prstGeom>
      </xdr:spPr>
    </xdr:pic>
    <xdr:clientData/>
  </xdr:twoCellAnchor>
  <xdr:twoCellAnchor editAs="oneCell">
    <xdr:from>
      <xdr:col>0</xdr:col>
      <xdr:colOff>0</xdr:colOff>
      <xdr:row>0</xdr:row>
      <xdr:rowOff>0</xdr:rowOff>
    </xdr:from>
    <xdr:to>
      <xdr:col>0</xdr:col>
      <xdr:colOff>504190</xdr:colOff>
      <xdr:row>2</xdr:row>
      <xdr:rowOff>137795</xdr:rowOff>
    </xdr:to>
    <xdr:pic>
      <xdr:nvPicPr>
        <xdr:cNvPr id="124" name="ID_51B4A4E681D44155ACD8BC7D27A22DE1"/>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1819910" y="7412355"/>
          <a:ext cx="504190" cy="503555"/>
        </a:xfrm>
        <a:prstGeom prst="rect">
          <a:avLst/>
        </a:prstGeom>
      </xdr:spPr>
    </xdr:pic>
    <xdr:clientData/>
  </xdr:twoCellAnchor>
  <xdr:twoCellAnchor editAs="oneCell">
    <xdr:from>
      <xdr:col>0</xdr:col>
      <xdr:colOff>0</xdr:colOff>
      <xdr:row>0</xdr:row>
      <xdr:rowOff>0</xdr:rowOff>
    </xdr:from>
    <xdr:to>
      <xdr:col>0</xdr:col>
      <xdr:colOff>478155</xdr:colOff>
      <xdr:row>2</xdr:row>
      <xdr:rowOff>112395</xdr:rowOff>
    </xdr:to>
    <xdr:pic>
      <xdr:nvPicPr>
        <xdr:cNvPr id="125" name="ID_A619715545F6466EAF5FF4EC9A627A83"/>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1837055" y="7884160"/>
          <a:ext cx="478155" cy="478155"/>
        </a:xfrm>
        <a:prstGeom prst="rect">
          <a:avLst/>
        </a:prstGeom>
      </xdr:spPr>
    </xdr:pic>
    <xdr:clientData/>
  </xdr:twoCellAnchor>
  <xdr:twoCellAnchor editAs="oneCell">
    <xdr:from>
      <xdr:col>0</xdr:col>
      <xdr:colOff>0</xdr:colOff>
      <xdr:row>0</xdr:row>
      <xdr:rowOff>0</xdr:rowOff>
    </xdr:from>
    <xdr:to>
      <xdr:col>0</xdr:col>
      <xdr:colOff>494030</xdr:colOff>
      <xdr:row>2</xdr:row>
      <xdr:rowOff>80645</xdr:rowOff>
    </xdr:to>
    <xdr:pic>
      <xdr:nvPicPr>
        <xdr:cNvPr id="126" name="ID_67E70C85B5E94E06BEDC8322323DB34F"/>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1813560" y="8430260"/>
          <a:ext cx="494030" cy="446405"/>
        </a:xfrm>
        <a:prstGeom prst="rect">
          <a:avLst/>
        </a:prstGeom>
      </xdr:spPr>
    </xdr:pic>
    <xdr:clientData/>
  </xdr:twoCellAnchor>
  <xdr:twoCellAnchor editAs="oneCell">
    <xdr:from>
      <xdr:col>0</xdr:col>
      <xdr:colOff>0</xdr:colOff>
      <xdr:row>0</xdr:row>
      <xdr:rowOff>0</xdr:rowOff>
    </xdr:from>
    <xdr:to>
      <xdr:col>0</xdr:col>
      <xdr:colOff>500380</xdr:colOff>
      <xdr:row>2</xdr:row>
      <xdr:rowOff>138430</xdr:rowOff>
    </xdr:to>
    <xdr:pic>
      <xdr:nvPicPr>
        <xdr:cNvPr id="27" name="ID_9B3AF7493347416FB7CC44E188B7DAD0"/>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1764665" y="8950325"/>
          <a:ext cx="500380" cy="504190"/>
        </a:xfrm>
        <a:prstGeom prst="snipRound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pageSetUpPr autoPageBreaks="0"/>
  </sheetPr>
  <dimension ref="A1:BE250"/>
  <sheetViews>
    <sheetView showGridLines="0" tabSelected="1" zoomScale="115" zoomScaleNormal="115" workbookViewId="0">
      <selection activeCell="AR19" sqref="AR19:AZ22"/>
    </sheetView>
  </sheetViews>
  <sheetFormatPr defaultColWidth="3.76851851851852" defaultRowHeight="15" customHeight="1"/>
  <cols>
    <col min="1" max="1" width="3.63888888888889" style="749" customWidth="1"/>
    <col min="2" max="2" width="3.76851851851852" style="751" customWidth="1"/>
    <col min="3" max="6" width="3.76851851851852" style="751"/>
    <col min="7" max="7" width="3.76851851851852" style="751" customWidth="1"/>
    <col min="8" max="9" width="3.76851851851852" style="751"/>
    <col min="10" max="10" width="3.76851851851852" style="751" customWidth="1"/>
    <col min="11" max="11" width="3.76851851851852" style="751"/>
    <col min="12" max="12" width="3.76851851851852" style="751" customWidth="1"/>
    <col min="13" max="29" width="3.76851851851852" style="751"/>
    <col min="30" max="30" width="3.76851851851852" style="749"/>
    <col min="31" max="34" width="3.76851851851852" style="751"/>
    <col min="35" max="35" width="3.76851851851852" style="751" customWidth="1"/>
    <col min="36" max="36" width="4.08333333333333" style="751"/>
    <col min="37" max="38" width="3.76851851851852" style="751" customWidth="1"/>
    <col min="39" max="39" width="4.08333333333333" style="751"/>
    <col min="40" max="41" width="3.76851851851852" style="751"/>
    <col min="42" max="42" width="3.89814814814815" style="751" customWidth="1"/>
    <col min="43" max="53" width="3.76851851851852" style="751"/>
    <col min="54" max="57" width="3.76851851851852" style="749"/>
    <col min="58" max="91" width="0.527777777777778" style="751" hidden="1" customWidth="1"/>
    <col min="92" max="16363" width="0.0555555555555556" style="751" hidden="1" customWidth="1"/>
    <col min="16365" max="16384" width="3.76851851851852" style="751"/>
  </cols>
  <sheetData>
    <row r="1" s="749" customFormat="1" customHeight="1" spans="1:55">
      <c r="A1" s="752"/>
      <c r="B1" s="752"/>
      <c r="C1" s="752"/>
      <c r="D1" s="752"/>
      <c r="E1" s="752"/>
      <c r="F1" s="752"/>
      <c r="G1" s="752"/>
      <c r="H1" s="752"/>
    </row>
    <row r="2" customHeight="1" spans="1:55">
      <c r="B2" s="753" t="s">
        <v>0</v>
      </c>
      <c r="C2" s="754"/>
      <c r="D2" s="754"/>
      <c r="E2" s="754"/>
      <c r="F2" s="754"/>
      <c r="G2" s="754"/>
      <c r="H2" s="754"/>
      <c r="I2" s="755"/>
      <c r="J2" s="749"/>
      <c r="K2" s="749"/>
      <c r="L2" s="756" t="s">
        <v>1</v>
      </c>
      <c r="M2" s="757"/>
      <c r="N2" s="757"/>
      <c r="O2" s="757"/>
      <c r="P2" s="757"/>
      <c r="Q2" s="757"/>
      <c r="R2" s="757"/>
      <c r="S2" s="757"/>
      <c r="T2" s="757"/>
      <c r="U2" s="758"/>
      <c r="V2" s="749"/>
      <c r="W2" s="749"/>
      <c r="X2" s="756" t="s">
        <v>2</v>
      </c>
      <c r="Y2" s="757"/>
      <c r="Z2" s="757"/>
      <c r="AA2" s="757"/>
      <c r="AB2" s="757"/>
      <c r="AC2" s="757"/>
      <c r="AE2" s="759" t="s">
        <v>3</v>
      </c>
      <c r="AF2" s="760" t="s">
        <v>4</v>
      </c>
      <c r="AG2" s="761" t="s">
        <v>5</v>
      </c>
      <c r="AH2" s="762" t="s">
        <v>6</v>
      </c>
      <c r="AI2" s="763"/>
      <c r="AJ2" s="763"/>
      <c r="AK2" s="764" t="s">
        <v>7</v>
      </c>
      <c r="AL2" s="765" t="s">
        <v>8</v>
      </c>
      <c r="AM2" s="766" t="s">
        <v>9</v>
      </c>
      <c r="AN2" s="767" t="s">
        <v>10</v>
      </c>
      <c r="AO2" s="749"/>
      <c r="AP2" s="749"/>
      <c r="AQ2" s="749"/>
      <c r="AR2" s="749"/>
      <c r="AS2" s="749"/>
      <c r="AT2" s="749"/>
      <c r="AU2" s="749"/>
      <c r="AV2" s="749"/>
      <c r="AW2" s="749"/>
      <c r="AX2" s="749"/>
      <c r="AY2" s="749"/>
      <c r="AZ2" s="749"/>
      <c r="BA2" s="749"/>
    </row>
    <row r="3" customHeight="1" spans="1:55">
      <c r="B3" s="768" t="s">
        <v>11</v>
      </c>
      <c r="C3" s="769"/>
      <c r="D3" s="770"/>
      <c r="E3" s="770"/>
      <c r="F3" s="770"/>
      <c r="G3" s="770"/>
      <c r="H3" s="770"/>
      <c r="I3" s="770"/>
      <c r="J3" s="749"/>
      <c r="K3" s="749"/>
      <c r="L3" s="771" t="s">
        <v>12</v>
      </c>
      <c r="M3" s="772"/>
      <c r="N3" s="772"/>
      <c r="O3" s="772"/>
      <c r="P3" s="772"/>
      <c r="Q3" s="773" t="s">
        <v>13</v>
      </c>
      <c r="R3" s="773"/>
      <c r="S3" s="774" t="s">
        <v>14</v>
      </c>
      <c r="T3" s="773" t="s">
        <v>15</v>
      </c>
      <c r="U3" s="775" t="s">
        <v>16</v>
      </c>
      <c r="V3" s="749"/>
      <c r="W3" s="749"/>
      <c r="X3" s="776"/>
      <c r="Y3" s="777"/>
      <c r="Z3" s="777"/>
      <c r="AA3" s="777"/>
      <c r="AB3" s="777"/>
      <c r="AC3" s="778"/>
      <c r="AE3" s="779"/>
      <c r="AF3" s="780"/>
      <c r="AG3" s="781"/>
      <c r="AH3" s="782" t="s">
        <v>17</v>
      </c>
      <c r="AI3" s="782" t="s">
        <v>18</v>
      </c>
      <c r="AJ3" s="782" t="s">
        <v>19</v>
      </c>
      <c r="AK3" s="783"/>
      <c r="AL3" s="784"/>
      <c r="AM3" s="785"/>
      <c r="AN3" s="786"/>
      <c r="AO3" s="749"/>
      <c r="AP3" s="749"/>
      <c r="AQ3" s="749"/>
      <c r="AR3" s="749"/>
      <c r="AS3" s="749"/>
      <c r="AT3" s="787"/>
      <c r="AU3" s="787"/>
      <c r="AV3" s="787"/>
      <c r="AW3" s="787"/>
      <c r="AX3" s="787"/>
      <c r="AY3" s="787"/>
      <c r="AZ3" s="787"/>
      <c r="BA3" s="787"/>
    </row>
    <row r="4" customHeight="1" spans="1:55">
      <c r="B4" s="788" t="s">
        <v>20</v>
      </c>
      <c r="C4" s="789"/>
      <c r="D4" s="790"/>
      <c r="E4" s="790"/>
      <c r="F4" s="790"/>
      <c r="G4" s="790"/>
      <c r="H4" s="790"/>
      <c r="I4" s="791"/>
      <c r="J4" s="749"/>
      <c r="K4" s="749"/>
      <c r="L4" s="792" t="s">
        <v>21</v>
      </c>
      <c r="M4" s="793"/>
      <c r="N4" s="793"/>
      <c r="O4" s="793"/>
      <c r="P4" s="794"/>
      <c r="Q4" s="795">
        <f ca="1">SUM(S4:U4)</f>
        <v>5</v>
      </c>
      <c r="R4" s="796" t="s">
        <v>22</v>
      </c>
      <c r="S4" s="797">
        <v>5</v>
      </c>
      <c r="T4" s="798">
        <f ca="1">SUM(特质表!P3:特质表!P4)</f>
        <v>0</v>
      </c>
      <c r="U4" s="799"/>
      <c r="V4" s="749"/>
      <c r="W4" s="749"/>
      <c r="X4" s="800"/>
      <c r="Y4" s="801"/>
      <c r="Z4" s="801"/>
      <c r="AA4" s="801"/>
      <c r="AB4" s="801"/>
      <c r="AC4" s="802"/>
      <c r="AE4" s="779"/>
      <c r="AF4" s="780"/>
      <c r="AG4" s="798">
        <f>AX9-SUM(AK4:AN4)</f>
        <v>0</v>
      </c>
      <c r="AH4" s="798">
        <f>AX9-SUM(AI4:AJ4)</f>
        <v>0</v>
      </c>
      <c r="AI4" s="798"/>
      <c r="AJ4" s="798"/>
      <c r="AK4" s="798"/>
      <c r="AL4" s="798"/>
      <c r="AM4" s="798"/>
      <c r="AN4" s="803"/>
      <c r="AO4" s="749"/>
      <c r="AP4" s="749"/>
      <c r="AQ4" s="749"/>
      <c r="AR4" s="804"/>
      <c r="AS4" s="805">
        <f>AX10</f>
        <v>1</v>
      </c>
      <c r="AT4" s="805"/>
      <c r="AU4" s="805"/>
      <c r="AV4" s="806"/>
      <c r="AW4" s="806"/>
      <c r="AX4" s="806"/>
      <c r="AY4" s="806"/>
      <c r="AZ4" s="806"/>
      <c r="BA4" s="806"/>
      <c r="BB4" s="807"/>
      <c r="BC4" s="749" t="s">
        <v>23</v>
      </c>
    </row>
    <row r="5" customHeight="1" spans="1:55">
      <c r="B5" s="788" t="s">
        <v>24</v>
      </c>
      <c r="C5" s="789"/>
      <c r="D5" s="789"/>
      <c r="E5" s="789"/>
      <c r="F5" s="789" t="s">
        <v>25</v>
      </c>
      <c r="G5" s="789"/>
      <c r="H5" s="789"/>
      <c r="I5" s="808"/>
      <c r="J5" s="749"/>
      <c r="K5" s="749"/>
      <c r="L5" s="809" t="s">
        <v>26</v>
      </c>
      <c r="M5" s="810"/>
      <c r="N5" s="810"/>
      <c r="O5" s="810"/>
      <c r="P5" s="811"/>
      <c r="Q5" s="812">
        <f ca="1" t="shared" ref="Q4:Q11" si="0">SUM(S5:U5)</f>
        <v>5</v>
      </c>
      <c r="R5" s="813" t="s">
        <v>22</v>
      </c>
      <c r="S5" s="797">
        <v>5</v>
      </c>
      <c r="T5" s="798">
        <f ca="1">SUM(特质表!Q3:特质表!Q4)</f>
        <v>0</v>
      </c>
      <c r="U5" s="799"/>
      <c r="V5" s="749"/>
      <c r="W5" s="749"/>
      <c r="X5" s="800"/>
      <c r="Y5" s="801"/>
      <c r="Z5" s="801"/>
      <c r="AA5" s="801"/>
      <c r="AB5" s="801"/>
      <c r="AC5" s="802"/>
      <c r="AE5" s="779"/>
      <c r="AF5" s="780" t="s">
        <v>27</v>
      </c>
      <c r="AG5" s="814" t="s">
        <v>5</v>
      </c>
      <c r="AH5" s="815" t="s">
        <v>28</v>
      </c>
      <c r="AI5" s="815" t="s">
        <v>29</v>
      </c>
      <c r="AJ5" s="816" t="s">
        <v>30</v>
      </c>
      <c r="AK5" s="816" t="s">
        <v>31</v>
      </c>
      <c r="AL5" s="817" t="s">
        <v>32</v>
      </c>
      <c r="AM5" s="817" t="s">
        <v>33</v>
      </c>
      <c r="AN5" s="818" t="s">
        <v>34</v>
      </c>
      <c r="AO5" s="749"/>
      <c r="AP5" s="749"/>
      <c r="AQ5" s="749"/>
      <c r="AR5" s="804"/>
      <c r="AS5" s="805"/>
      <c r="AT5" s="819"/>
      <c r="AU5" s="819"/>
      <c r="AV5" s="820"/>
      <c r="AW5" s="820"/>
      <c r="AX5" s="820"/>
      <c r="AY5" s="820"/>
      <c r="AZ5" s="820"/>
      <c r="BA5" s="806"/>
      <c r="BB5" s="807"/>
    </row>
    <row r="6" customHeight="1" spans="1:55">
      <c r="B6" s="788" t="s">
        <v>35</v>
      </c>
      <c r="C6" s="789"/>
      <c r="D6" s="821"/>
      <c r="E6" s="790"/>
      <c r="F6" s="790"/>
      <c r="G6" s="790"/>
      <c r="H6" s="790"/>
      <c r="I6" s="791"/>
      <c r="J6" s="749"/>
      <c r="K6" s="749"/>
      <c r="L6" s="822" t="s">
        <v>36</v>
      </c>
      <c r="M6" s="823"/>
      <c r="N6" s="823"/>
      <c r="O6" s="823"/>
      <c r="P6" s="824"/>
      <c r="Q6" s="825">
        <f ca="1" t="shared" si="0"/>
        <v>5</v>
      </c>
      <c r="R6" s="826" t="s">
        <v>22</v>
      </c>
      <c r="S6" s="797">
        <v>5</v>
      </c>
      <c r="T6" s="798">
        <f ca="1">SUM(特质表!R3:特质表!R4)</f>
        <v>0</v>
      </c>
      <c r="U6" s="799"/>
      <c r="V6" s="749"/>
      <c r="W6" s="749"/>
      <c r="X6" s="800"/>
      <c r="Y6" s="801"/>
      <c r="Z6" s="801"/>
      <c r="AA6" s="801"/>
      <c r="AB6" s="801"/>
      <c r="AC6" s="802"/>
      <c r="AE6" s="779"/>
      <c r="AF6" s="780"/>
      <c r="AG6" s="781"/>
      <c r="AH6" s="827"/>
      <c r="AI6" s="827"/>
      <c r="AJ6" s="828"/>
      <c r="AK6" s="828"/>
      <c r="AL6" s="785"/>
      <c r="AM6" s="785"/>
      <c r="AN6" s="829"/>
      <c r="AO6" s="749"/>
      <c r="AP6" s="749"/>
      <c r="AQ6" s="749"/>
      <c r="AR6" s="804"/>
      <c r="AS6" s="805"/>
      <c r="AT6" s="805"/>
      <c r="AU6" s="805"/>
      <c r="AV6" s="806"/>
      <c r="AW6" s="806"/>
      <c r="AX6" s="806" t="s">
        <v>37</v>
      </c>
      <c r="AY6" s="806"/>
      <c r="AZ6" s="806"/>
      <c r="BA6" s="806"/>
      <c r="BB6" s="807"/>
    </row>
    <row r="7" customHeight="1" spans="1:55">
      <c r="B7" s="788" t="s">
        <v>38</v>
      </c>
      <c r="C7" s="789"/>
      <c r="D7" s="790"/>
      <c r="E7" s="790"/>
      <c r="F7" s="790"/>
      <c r="G7" s="790"/>
      <c r="H7" s="790"/>
      <c r="I7" s="791"/>
      <c r="J7" s="749"/>
      <c r="K7" s="749"/>
      <c r="L7" s="830" t="s">
        <v>39</v>
      </c>
      <c r="M7" s="831"/>
      <c r="N7" s="831"/>
      <c r="O7" s="831"/>
      <c r="P7" s="832"/>
      <c r="Q7" s="833">
        <f ca="1" t="shared" si="0"/>
        <v>5</v>
      </c>
      <c r="R7" s="834" t="s">
        <v>22</v>
      </c>
      <c r="S7" s="797">
        <v>5</v>
      </c>
      <c r="T7" s="798">
        <f ca="1">SUM(特质表!S3:特质表!S4)</f>
        <v>0</v>
      </c>
      <c r="U7" s="799"/>
      <c r="V7" s="835" t="s">
        <v>40</v>
      </c>
      <c r="W7" s="749"/>
      <c r="X7" s="800"/>
      <c r="Y7" s="801"/>
      <c r="Z7" s="801"/>
      <c r="AA7" s="801"/>
      <c r="AB7" s="801"/>
      <c r="AC7" s="802"/>
      <c r="AE7" s="836"/>
      <c r="AF7" s="837"/>
      <c r="AG7" s="838">
        <f>AX9-SUM(AH7:AN7)</f>
        <v>0</v>
      </c>
      <c r="AH7" s="838"/>
      <c r="AI7" s="838"/>
      <c r="AJ7" s="838"/>
      <c r="AK7" s="838"/>
      <c r="AL7" s="838"/>
      <c r="AM7" s="838"/>
      <c r="AN7" s="839"/>
      <c r="AO7" s="749"/>
      <c r="AP7" s="749"/>
      <c r="AQ7" s="749"/>
      <c r="AR7" s="749"/>
      <c r="AS7" s="840"/>
      <c r="AT7" s="841"/>
      <c r="AU7" s="841"/>
      <c r="AV7" s="841"/>
      <c r="AW7" s="841"/>
      <c r="AX7" s="841"/>
      <c r="AY7" s="841"/>
      <c r="AZ7" s="841"/>
      <c r="BA7" s="842"/>
      <c r="BB7" s="843"/>
    </row>
    <row r="8" customHeight="1" spans="1:55">
      <c r="B8" s="788" t="s">
        <v>41</v>
      </c>
      <c r="C8" s="789"/>
      <c r="D8" s="790"/>
      <c r="E8" s="790"/>
      <c r="F8" s="790"/>
      <c r="G8" s="790"/>
      <c r="H8" s="790"/>
      <c r="I8" s="791"/>
      <c r="J8" s="749"/>
      <c r="K8" s="749"/>
      <c r="L8" s="844" t="s">
        <v>42</v>
      </c>
      <c r="M8" s="845"/>
      <c r="N8" s="845"/>
      <c r="O8" s="845"/>
      <c r="P8" s="846"/>
      <c r="Q8" s="847">
        <f ca="1" t="shared" si="0"/>
        <v>5</v>
      </c>
      <c r="R8" s="848" t="s">
        <v>22</v>
      </c>
      <c r="S8" s="797">
        <v>5</v>
      </c>
      <c r="T8" s="798">
        <f ca="1">SUM(特质表!T3:特质表!T4)</f>
        <v>0</v>
      </c>
      <c r="U8" s="799"/>
      <c r="V8" s="849"/>
      <c r="W8" s="749"/>
      <c r="X8" s="800"/>
      <c r="Y8" s="801"/>
      <c r="Z8" s="801"/>
      <c r="AA8" s="801"/>
      <c r="AB8" s="801"/>
      <c r="AC8" s="802"/>
      <c r="AE8" s="749"/>
      <c r="AF8" s="749"/>
      <c r="AG8" s="749"/>
      <c r="AH8" s="749"/>
      <c r="AI8" s="749"/>
      <c r="AJ8" s="749"/>
      <c r="AK8" s="787"/>
      <c r="AL8" s="787"/>
      <c r="AM8" s="787"/>
      <c r="AN8" s="787"/>
      <c r="AO8" s="749"/>
      <c r="AP8" s="850" t="str">
        <f>IFERROR(VLOOKUP(下拉列表!V2,下拉列表!V42:W44,2,0),"")</f>
        <v>=DISPIMG("ID_BA663A558C624BFBB40300DD5F36B5A5",1)</v>
      </c>
      <c r="AQ8" s="850"/>
      <c r="AR8" s="851"/>
      <c r="AS8" s="851"/>
      <c r="AT8" s="851"/>
      <c r="AU8" s="852"/>
      <c r="AV8" s="853" t="s">
        <v>37</v>
      </c>
      <c r="AW8" s="853"/>
      <c r="AX8" s="854">
        <v>1</v>
      </c>
      <c r="AY8" s="854"/>
      <c r="AZ8" s="855"/>
      <c r="BA8" s="856"/>
      <c r="BB8" s="843"/>
    </row>
    <row r="9" customHeight="1" spans="1:55">
      <c r="B9" s="788" t="s">
        <v>43</v>
      </c>
      <c r="C9" s="789"/>
      <c r="D9" s="789" t="s">
        <v>44</v>
      </c>
      <c r="E9" s="789"/>
      <c r="F9" s="789" t="s">
        <v>45</v>
      </c>
      <c r="G9" s="789"/>
      <c r="H9" s="857" t="s">
        <v>46</v>
      </c>
      <c r="I9" s="858"/>
      <c r="J9" s="749"/>
      <c r="K9" s="749"/>
      <c r="L9" s="859" t="s">
        <v>47</v>
      </c>
      <c r="M9" s="860"/>
      <c r="N9" s="860"/>
      <c r="O9" s="860"/>
      <c r="P9" s="861"/>
      <c r="Q9" s="862">
        <f ca="1" t="shared" si="0"/>
        <v>5</v>
      </c>
      <c r="R9" s="863" t="s">
        <v>22</v>
      </c>
      <c r="S9" s="797">
        <v>5</v>
      </c>
      <c r="T9" s="798">
        <f ca="1">SUM(特质表!U3:特质表!U4)</f>
        <v>0</v>
      </c>
      <c r="U9" s="799"/>
      <c r="V9" s="864"/>
      <c r="W9" s="749"/>
      <c r="X9" s="800"/>
      <c r="Y9" s="801"/>
      <c r="Z9" s="801"/>
      <c r="AA9" s="801"/>
      <c r="AB9" s="801"/>
      <c r="AC9" s="802"/>
      <c r="AE9" s="865" t="str">
        <f>VLOOKUP(D9,职业图标!A22:B29,2,0)</f>
        <v>=DISPIMG("ID_B4C652478C52453380C9AA09DFBAEA6F",1)</v>
      </c>
      <c r="AF9" s="866"/>
      <c r="AG9" s="867" t="str">
        <f>IF(D9=0,"",D9)</f>
        <v>先锋</v>
      </c>
      <c r="AH9" s="868"/>
      <c r="AI9" s="868"/>
      <c r="AJ9" s="869"/>
      <c r="AK9" s="870"/>
      <c r="AL9" s="870"/>
      <c r="AM9" s="870"/>
      <c r="AN9" s="871"/>
      <c r="AO9" s="807"/>
      <c r="AP9" s="850"/>
      <c r="AQ9" s="850"/>
      <c r="AR9" s="872" t="s">
        <v>48</v>
      </c>
      <c r="AS9" s="872"/>
      <c r="AT9" s="872"/>
      <c r="AU9" s="873"/>
      <c r="AV9" s="853" t="s">
        <v>49</v>
      </c>
      <c r="AW9" s="853"/>
      <c r="AX9" s="874"/>
      <c r="AY9" s="874"/>
      <c r="AZ9" s="875"/>
      <c r="BA9" s="876"/>
      <c r="BB9" s="843"/>
    </row>
    <row r="10" customHeight="1" spans="1:55">
      <c r="B10" s="877" t="s">
        <v>50</v>
      </c>
      <c r="C10" s="878"/>
      <c r="D10" s="879"/>
      <c r="E10" s="880"/>
      <c r="F10" s="878" t="s">
        <v>51</v>
      </c>
      <c r="G10" s="878"/>
      <c r="H10" s="881"/>
      <c r="I10" s="882"/>
      <c r="J10" s="883"/>
      <c r="K10" s="749"/>
      <c r="L10" s="884" t="s">
        <v>52</v>
      </c>
      <c r="M10" s="885"/>
      <c r="N10" s="885"/>
      <c r="O10" s="885"/>
      <c r="P10" s="886"/>
      <c r="Q10" s="887">
        <f ca="1" t="shared" si="0"/>
        <v>5</v>
      </c>
      <c r="R10" s="888" t="s">
        <v>22</v>
      </c>
      <c r="S10" s="889">
        <v>5</v>
      </c>
      <c r="T10" s="890">
        <f ca="1">SUM(特质表!V3:特质表!V4)</f>
        <v>0</v>
      </c>
      <c r="U10" s="891"/>
      <c r="V10" s="891">
        <f>INT((AX10-1)/5)-SUM(U4:U10)</f>
        <v>0</v>
      </c>
      <c r="W10" s="749"/>
      <c r="X10" s="892"/>
      <c r="Y10" s="893"/>
      <c r="Z10" s="893"/>
      <c r="AA10" s="893"/>
      <c r="AB10" s="893"/>
      <c r="AC10" s="894"/>
      <c r="AE10" s="895"/>
      <c r="AF10" s="896"/>
      <c r="AG10" s="897"/>
      <c r="AH10" s="897"/>
      <c r="AI10" s="897"/>
      <c r="AJ10" s="898"/>
      <c r="AK10" s="899" t="str">
        <f>IFERROR(VLOOKUP(D9,职业图标!J10:K17,2,FALSE),"")</f>
        <v>VANGUARD</v>
      </c>
      <c r="AL10" s="900"/>
      <c r="AM10" s="900"/>
      <c r="AN10" s="900"/>
      <c r="AO10" s="807"/>
      <c r="AP10" s="850"/>
      <c r="AQ10" s="850"/>
      <c r="AR10" s="872" t="str">
        <f>"阶段"&amp;IF(AX10/5&lt;=1,"零",IF(AX10/5&lt;=2,"一","二"))</f>
        <v>阶段零</v>
      </c>
      <c r="AS10" s="872"/>
      <c r="AT10" s="872"/>
      <c r="AU10" s="841"/>
      <c r="AV10" s="853" t="s">
        <v>53</v>
      </c>
      <c r="AW10" s="853"/>
      <c r="AX10" s="854">
        <f>AX8+AX9</f>
        <v>1</v>
      </c>
      <c r="AY10" s="854"/>
      <c r="AZ10" s="855"/>
      <c r="BA10" s="901"/>
      <c r="BB10" s="843"/>
    </row>
    <row r="11" customHeight="1" spans="1:55">
      <c r="A11" s="902" t="str" cm="1">
        <f t="array" ref="A11">IFERROR(_xlfn.IFS(D10&lt;SQRT(H10/24)*100,"偏胖",D10&lt;SQRT(H10/18)*100,"均衡",D10&gt;SQRT(H10/18),"偏瘦"),"")</f>
        <v/>
      </c>
      <c r="B11" s="903" t="s">
        <v>54</v>
      </c>
      <c r="C11" s="903"/>
      <c r="D11" s="904" t="str">
        <f>ROUNDDOWN(SQRT(H10/24)*100,0)&amp;"~"&amp;ROUNDDOWN(SQRT(H10/18)*100,0)&amp;"cm"</f>
        <v>0~0cm</v>
      </c>
      <c r="E11" s="904"/>
      <c r="F11" s="903" t="s">
        <v>55</v>
      </c>
      <c r="G11" s="903"/>
      <c r="H11" s="904" t="str">
        <f ca="1">下拉列表!V71&amp;"~"&amp;下拉列表!V70&amp;"kg"</f>
        <v>40~60kg</v>
      </c>
      <c r="I11" s="904"/>
      <c r="J11" s="903" t="str" cm="1">
        <f ca="1" t="array" ref="J11">IFERROR(_xlfn.IFS(H10&gt;下拉列表!V70,"过重",H10&lt;下拉列表!V70,"均衡",H10&lt;下拉列表!V71,"过轻"),"")</f>
        <v>均衡</v>
      </c>
      <c r="K11" s="749"/>
      <c r="L11" s="749"/>
      <c r="M11" s="749"/>
      <c r="N11" s="749"/>
      <c r="O11" s="749"/>
      <c r="P11" s="903" t="s">
        <v>56</v>
      </c>
      <c r="Q11" s="903">
        <f ca="1" t="shared" si="0"/>
        <v>35</v>
      </c>
      <c r="R11" s="903" t="s">
        <v>57</v>
      </c>
      <c r="S11" s="903">
        <f t="shared" ref="S11:U11" si="1">SUM(S4:S10)</f>
        <v>35</v>
      </c>
      <c r="T11" s="903">
        <f ca="1" t="shared" si="1"/>
        <v>0</v>
      </c>
      <c r="U11" s="903">
        <f t="shared" si="1"/>
        <v>0</v>
      </c>
      <c r="V11" s="749"/>
      <c r="W11" s="749"/>
      <c r="X11" s="749"/>
      <c r="Y11" s="749"/>
      <c r="Z11" s="749"/>
      <c r="AA11" s="749"/>
      <c r="AB11" s="749"/>
      <c r="AC11" s="749"/>
      <c r="AE11" s="905"/>
      <c r="AF11" s="906"/>
      <c r="AG11" s="907"/>
      <c r="AH11" s="907"/>
      <c r="AI11" s="907"/>
      <c r="AJ11" s="908"/>
      <c r="AK11" s="900"/>
      <c r="AL11" s="900"/>
      <c r="AM11" s="900"/>
      <c r="AN11" s="900"/>
      <c r="AO11" s="807"/>
      <c r="AP11" s="909"/>
      <c r="AQ11" s="910"/>
      <c r="AR11" s="910"/>
      <c r="AS11" s="910"/>
      <c r="AT11" s="910"/>
      <c r="AU11" s="841"/>
      <c r="AV11" s="841"/>
      <c r="AW11" s="841"/>
      <c r="AX11" s="841"/>
      <c r="AY11" s="841"/>
      <c r="AZ11" s="841"/>
      <c r="BA11" s="842"/>
      <c r="BB11" s="843"/>
    </row>
    <row r="12" customHeight="1" spans="1:55">
      <c r="B12" s="911" t="s">
        <v>58</v>
      </c>
      <c r="C12" s="912"/>
      <c r="D12" s="912"/>
      <c r="E12" s="912"/>
      <c r="F12" s="912"/>
      <c r="G12" s="912"/>
      <c r="H12" s="912"/>
      <c r="I12" s="913"/>
      <c r="J12" s="749"/>
      <c r="K12" s="749"/>
      <c r="L12" s="756" t="s">
        <v>59</v>
      </c>
      <c r="M12" s="914"/>
      <c r="N12" s="914"/>
      <c r="O12" s="914"/>
      <c r="P12" s="914"/>
      <c r="Q12" s="914"/>
      <c r="R12" s="914"/>
      <c r="S12" s="914"/>
      <c r="T12" s="914"/>
      <c r="U12" s="914"/>
      <c r="V12" s="914"/>
      <c r="W12" s="914"/>
      <c r="X12" s="914"/>
      <c r="Y12" s="914"/>
      <c r="Z12" s="914"/>
      <c r="AA12" s="914"/>
      <c r="AB12" s="914"/>
      <c r="AC12" s="915"/>
      <c r="AO12" s="916"/>
      <c r="AP12" s="916"/>
      <c r="AQ12" s="916"/>
      <c r="AR12" s="916"/>
      <c r="AS12" s="916"/>
      <c r="AT12" s="916"/>
      <c r="AU12" s="916"/>
      <c r="AV12" s="916"/>
      <c r="AW12" s="916"/>
      <c r="AX12" s="916"/>
      <c r="AY12" s="916"/>
      <c r="AZ12" s="916"/>
      <c r="BA12" s="916"/>
      <c r="BB12" s="807"/>
    </row>
    <row r="13" customHeight="1" spans="1:55">
      <c r="B13" s="917" t="s">
        <v>60</v>
      </c>
      <c r="C13" s="918"/>
      <c r="D13" s="919" t="s">
        <v>61</v>
      </c>
      <c r="E13" s="920"/>
      <c r="F13" s="921" t="s">
        <v>62</v>
      </c>
      <c r="G13" s="918"/>
      <c r="H13" s="921" t="s">
        <v>63</v>
      </c>
      <c r="I13" s="922"/>
      <c r="J13" s="749"/>
      <c r="K13" s="749"/>
      <c r="L13" s="923" t="s">
        <v>64</v>
      </c>
      <c r="M13" s="924"/>
      <c r="N13" s="924"/>
      <c r="O13" s="924"/>
      <c r="P13" s="924"/>
      <c r="Q13" s="924"/>
      <c r="R13" s="925" t="s">
        <v>65</v>
      </c>
      <c r="S13" s="925"/>
      <c r="T13" s="925"/>
      <c r="U13" s="925"/>
      <c r="V13" s="925"/>
      <c r="W13" s="925"/>
      <c r="X13" s="926" t="s">
        <v>66</v>
      </c>
      <c r="Y13" s="926"/>
      <c r="Z13" s="926"/>
      <c r="AA13" s="926"/>
      <c r="AB13" s="926"/>
      <c r="AC13" s="927"/>
      <c r="AE13" s="928"/>
      <c r="AF13" s="929"/>
      <c r="AG13" s="929"/>
      <c r="AH13" s="929"/>
      <c r="AI13" s="929"/>
      <c r="AJ13" s="929"/>
      <c r="AK13" s="929"/>
      <c r="AL13" s="929"/>
      <c r="AM13" s="929"/>
      <c r="AN13" s="929"/>
      <c r="AO13" s="930" t="s">
        <v>67</v>
      </c>
      <c r="AP13" s="931" t="str">
        <f>IFERROR(职业计算表!M3,"")</f>
        <v>=DISPIMG("ID_2FB619546A2944C291EBF3957FDE2776",1)</v>
      </c>
      <c r="AQ13" s="931"/>
      <c r="AR13" s="931"/>
      <c r="AS13" s="931"/>
      <c r="AT13" s="931"/>
      <c r="AU13" s="931"/>
      <c r="AV13" s="932" t="s">
        <v>68</v>
      </c>
      <c r="AW13" s="933" t="str">
        <f>IFERROR(职业计算表!O3,"")</f>
        <v>伤害骰面为D6的近战物理武器
通常是各类长柄武器，如长枪和戟。
能够在中等距离发动灵活的突刺，将移动与伤害合为一体。</v>
      </c>
      <c r="AX13" s="933"/>
      <c r="AY13" s="933"/>
      <c r="AZ13" s="933"/>
      <c r="BA13" s="934"/>
      <c r="BB13" s="843"/>
    </row>
    <row r="14" customHeight="1" spans="1:55">
      <c r="B14" s="935">
        <f ca="1">Q4</f>
        <v>5</v>
      </c>
      <c r="C14" s="936"/>
      <c r="D14" s="937"/>
      <c r="E14" s="936"/>
      <c r="F14" s="937"/>
      <c r="G14" s="936"/>
      <c r="H14" s="938" t="str">
        <f>_xlfn.IFS(F14&lt;20,"未感染",F14&lt;40,"前期",F14&lt;60,"中期",F14&lt;80,"后期",F14&lt;=100,"末期")</f>
        <v>未感染</v>
      </c>
      <c r="I14" s="939"/>
      <c r="J14" s="749"/>
      <c r="K14" s="749"/>
      <c r="L14" s="940"/>
      <c r="M14" s="941"/>
      <c r="N14" s="941"/>
      <c r="O14" s="941"/>
      <c r="P14" s="941"/>
      <c r="Q14" s="941"/>
      <c r="R14" s="942"/>
      <c r="S14" s="942"/>
      <c r="T14" s="942"/>
      <c r="U14" s="942"/>
      <c r="V14" s="942"/>
      <c r="W14" s="942"/>
      <c r="X14" s="943"/>
      <c r="Y14" s="943"/>
      <c r="Z14" s="943"/>
      <c r="AA14" s="943"/>
      <c r="AB14" s="943"/>
      <c r="AC14" s="944"/>
      <c r="AE14" s="945"/>
      <c r="AF14" s="946" t="str">
        <f>IFERROR(VLOOKUP(H9,职业图标!C22:D86,2,0),"")</f>
        <v>=DISPIMG("ID_411D84E06C08443995D759FB88AFFC25",1)</v>
      </c>
      <c r="AG14" s="946"/>
      <c r="AH14" s="947"/>
      <c r="AI14" s="948" t="str">
        <f>IF(H9=0,"",H9)</f>
        <v>冲锋手</v>
      </c>
      <c r="AJ14" s="948"/>
      <c r="AK14" s="948"/>
      <c r="AL14" s="949" t="str">
        <f>_xlfn.DISPIMG("ID_A27648123EE64797A59A87ECD7AE0E88",1)</f>
        <v>=DISPIMG("ID_A27648123EE64797A59A87ECD7AE0E88",1)</v>
      </c>
      <c r="AM14" s="950"/>
      <c r="AN14" s="951"/>
      <c r="AO14" s="952"/>
      <c r="AP14" s="801"/>
      <c r="AQ14" s="801"/>
      <c r="AR14" s="801"/>
      <c r="AS14" s="801"/>
      <c r="AT14" s="801"/>
      <c r="AU14" s="801"/>
      <c r="AV14" s="953"/>
      <c r="AW14" s="954"/>
      <c r="AX14" s="954"/>
      <c r="AY14" s="954"/>
      <c r="AZ14" s="954"/>
      <c r="BA14" s="955"/>
      <c r="BB14" s="843"/>
    </row>
    <row r="15" customHeight="1" spans="1:55">
      <c r="B15" s="956" t="s">
        <v>69</v>
      </c>
      <c r="C15" s="957"/>
      <c r="D15" s="957"/>
      <c r="E15" s="957"/>
      <c r="F15" s="958" t="s">
        <v>70</v>
      </c>
      <c r="G15" s="957" t="str">
        <f>IFERROR(VLOOKUP(C15,感染系统!$H$2:$I$17,2,0)," ")</f>
        <v> </v>
      </c>
      <c r="H15" s="957"/>
      <c r="I15" s="959"/>
      <c r="J15" s="749"/>
      <c r="K15" s="749"/>
      <c r="L15" s="960" t="str">
        <f>IFERROR(VLOOKUP(L14,主要特质表!A2:D35,4,0),"")</f>
        <v/>
      </c>
      <c r="M15" s="961"/>
      <c r="N15" s="961"/>
      <c r="O15" s="961"/>
      <c r="P15" s="961"/>
      <c r="Q15" s="961"/>
      <c r="R15" s="962" t="str">
        <f>IFERROR(VLOOKUP(R14,主要特质表!E2:H56,4,0),"")</f>
        <v/>
      </c>
      <c r="S15" s="962"/>
      <c r="T15" s="962"/>
      <c r="U15" s="962"/>
      <c r="V15" s="962"/>
      <c r="W15" s="962"/>
      <c r="X15" s="963" t="str">
        <f>IFERROR(VLOOKUP(X14,主要特质表!I2:L14,4,0),"")</f>
        <v/>
      </c>
      <c r="Y15" s="963"/>
      <c r="Z15" s="963"/>
      <c r="AA15" s="963"/>
      <c r="AB15" s="963"/>
      <c r="AC15" s="964"/>
      <c r="AE15" s="945"/>
      <c r="AF15" s="946"/>
      <c r="AG15" s="946"/>
      <c r="AH15" s="947"/>
      <c r="AI15" s="948"/>
      <c r="AJ15" s="948"/>
      <c r="AK15" s="948"/>
      <c r="AL15" s="965"/>
      <c r="AM15" s="966"/>
      <c r="AN15" s="951"/>
      <c r="AO15" s="952"/>
      <c r="AP15" s="801"/>
      <c r="AQ15" s="801"/>
      <c r="AR15" s="801"/>
      <c r="AS15" s="801"/>
      <c r="AT15" s="801"/>
      <c r="AU15" s="801"/>
      <c r="AV15" s="953"/>
      <c r="AW15" s="954"/>
      <c r="AX15" s="954"/>
      <c r="AY15" s="954"/>
      <c r="AZ15" s="954"/>
      <c r="BA15" s="955"/>
      <c r="BB15" s="843"/>
    </row>
    <row r="16" customHeight="1" spans="1:55">
      <c r="B16" s="967"/>
      <c r="C16" s="968"/>
      <c r="D16" s="968"/>
      <c r="E16" s="968"/>
      <c r="F16" s="969"/>
      <c r="G16" s="957" t="str">
        <f>IFERROR(VLOOKUP(C16,感染系统!$H$2:$I$17,2,0)," ")</f>
        <v> </v>
      </c>
      <c r="H16" s="957"/>
      <c r="I16" s="959"/>
      <c r="J16" s="749"/>
      <c r="K16" s="749"/>
      <c r="L16" s="960"/>
      <c r="M16" s="961"/>
      <c r="N16" s="961"/>
      <c r="O16" s="961"/>
      <c r="P16" s="961"/>
      <c r="Q16" s="961"/>
      <c r="R16" s="962"/>
      <c r="S16" s="962"/>
      <c r="T16" s="962"/>
      <c r="U16" s="962"/>
      <c r="V16" s="962"/>
      <c r="W16" s="962"/>
      <c r="X16" s="963"/>
      <c r="Y16" s="963"/>
      <c r="Z16" s="963"/>
      <c r="AA16" s="963"/>
      <c r="AB16" s="963"/>
      <c r="AC16" s="964"/>
      <c r="AE16" s="945"/>
      <c r="AF16" s="946"/>
      <c r="AG16" s="946"/>
      <c r="AH16" s="947"/>
      <c r="AI16" s="948"/>
      <c r="AJ16" s="948"/>
      <c r="AK16" s="948"/>
      <c r="AL16" s="970"/>
      <c r="AM16" s="971"/>
      <c r="AN16" s="951"/>
      <c r="AO16" s="952"/>
      <c r="AP16" s="801"/>
      <c r="AQ16" s="801"/>
      <c r="AR16" s="801"/>
      <c r="AS16" s="801"/>
      <c r="AT16" s="801"/>
      <c r="AU16" s="801"/>
      <c r="AV16" s="953"/>
      <c r="AW16" s="954"/>
      <c r="AX16" s="954"/>
      <c r="AY16" s="954"/>
      <c r="AZ16" s="954"/>
      <c r="BA16" s="955"/>
      <c r="BB16" s="843"/>
    </row>
    <row r="17" customHeight="1" spans="2:54">
      <c r="B17" s="967"/>
      <c r="C17" s="968"/>
      <c r="D17" s="968"/>
      <c r="E17" s="968"/>
      <c r="F17" s="969"/>
      <c r="G17" s="957" t="str">
        <f>IFERROR(VLOOKUP(C17,感染系统!$H$2:$I$17,2,0)," ")</f>
        <v> </v>
      </c>
      <c r="H17" s="957"/>
      <c r="I17" s="959"/>
      <c r="J17" s="749"/>
      <c r="K17" s="749"/>
      <c r="L17" s="960"/>
      <c r="M17" s="961"/>
      <c r="N17" s="961"/>
      <c r="O17" s="961"/>
      <c r="P17" s="961"/>
      <c r="Q17" s="961"/>
      <c r="R17" s="962"/>
      <c r="S17" s="962"/>
      <c r="T17" s="962"/>
      <c r="U17" s="962"/>
      <c r="V17" s="962"/>
      <c r="W17" s="962"/>
      <c r="X17" s="963"/>
      <c r="Y17" s="963"/>
      <c r="Z17" s="963"/>
      <c r="AA17" s="963"/>
      <c r="AB17" s="963"/>
      <c r="AC17" s="964"/>
      <c r="AE17" s="945"/>
      <c r="AF17" s="972"/>
      <c r="AG17" s="972"/>
      <c r="AH17" s="972"/>
      <c r="AI17" s="972"/>
      <c r="AJ17" s="972"/>
      <c r="AK17" s="972"/>
      <c r="AL17" s="972"/>
      <c r="AM17" s="972"/>
      <c r="AN17" s="951"/>
      <c r="AO17" s="973"/>
      <c r="AP17" s="893"/>
      <c r="AQ17" s="893"/>
      <c r="AR17" s="893"/>
      <c r="AS17" s="893"/>
      <c r="AT17" s="893"/>
      <c r="AU17" s="893"/>
      <c r="AV17" s="974"/>
      <c r="AW17" s="975"/>
      <c r="AX17" s="975"/>
      <c r="AY17" s="975"/>
      <c r="AZ17" s="975"/>
      <c r="BA17" s="976"/>
      <c r="BB17" s="843"/>
    </row>
    <row r="18" customHeight="1" spans="2:54">
      <c r="B18" s="977"/>
      <c r="C18" s="978"/>
      <c r="D18" s="978"/>
      <c r="E18" s="978"/>
      <c r="F18" s="979"/>
      <c r="G18" s="957" t="str">
        <f>IFERROR(VLOOKUP(C18,感染系统!$H$2:$I$17,2,0)," ")</f>
        <v> </v>
      </c>
      <c r="H18" s="957"/>
      <c r="I18" s="959"/>
      <c r="J18" s="749"/>
      <c r="K18" s="749"/>
      <c r="L18" s="960"/>
      <c r="M18" s="961"/>
      <c r="N18" s="961"/>
      <c r="O18" s="961"/>
      <c r="P18" s="961"/>
      <c r="Q18" s="961"/>
      <c r="R18" s="962"/>
      <c r="S18" s="962"/>
      <c r="T18" s="962"/>
      <c r="U18" s="962"/>
      <c r="V18" s="962"/>
      <c r="W18" s="962"/>
      <c r="X18" s="963"/>
      <c r="Y18" s="963"/>
      <c r="Z18" s="963"/>
      <c r="AA18" s="963"/>
      <c r="AB18" s="963"/>
      <c r="AC18" s="964"/>
      <c r="AE18" s="945"/>
      <c r="AF18" s="980" t="s">
        <v>71</v>
      </c>
      <c r="AG18" s="951"/>
      <c r="AH18" s="951"/>
      <c r="AI18" s="951"/>
      <c r="AJ18" s="951"/>
      <c r="AK18" s="951"/>
      <c r="AL18" s="951"/>
      <c r="AM18" s="951"/>
      <c r="AN18" s="951"/>
      <c r="AO18" s="981" t="s">
        <v>72</v>
      </c>
      <c r="AP18" s="982" t="s">
        <v>73</v>
      </c>
      <c r="AQ18" s="982"/>
      <c r="AR18" s="982"/>
      <c r="AS18" s="982"/>
      <c r="AT18" s="982"/>
      <c r="AU18" s="983"/>
      <c r="AV18" s="983"/>
      <c r="AW18" s="983"/>
      <c r="AX18" s="983"/>
      <c r="AY18" s="983"/>
      <c r="AZ18" s="983"/>
      <c r="BA18" s="984"/>
    </row>
    <row r="19" customHeight="1" spans="2:54">
      <c r="B19" s="985" t="s">
        <v>74</v>
      </c>
      <c r="C19" s="986"/>
      <c r="D19" s="987"/>
      <c r="E19" s="988"/>
      <c r="F19" s="988"/>
      <c r="G19" s="988"/>
      <c r="H19" s="988"/>
      <c r="I19" s="989"/>
      <c r="J19" s="749"/>
      <c r="K19" s="749"/>
      <c r="L19" s="960"/>
      <c r="M19" s="961"/>
      <c r="N19" s="961"/>
      <c r="O19" s="961"/>
      <c r="P19" s="961"/>
      <c r="Q19" s="961"/>
      <c r="R19" s="962"/>
      <c r="S19" s="962"/>
      <c r="T19" s="962"/>
      <c r="U19" s="962"/>
      <c r="V19" s="962"/>
      <c r="W19" s="962"/>
      <c r="X19" s="963"/>
      <c r="Y19" s="963"/>
      <c r="Z19" s="963"/>
      <c r="AA19" s="963"/>
      <c r="AB19" s="963"/>
      <c r="AC19" s="964"/>
      <c r="AE19" s="945"/>
      <c r="AF19" s="990" t="str">
        <f>IFERROR(职业计算表!N3,"")</f>
        <v>穿戴中甲，具有中生命值
擅长通过快速移动对敌人造成大量伤害的近战输出职业</v>
      </c>
      <c r="AG19" s="990"/>
      <c r="AH19" s="990"/>
      <c r="AI19" s="990"/>
      <c r="AJ19" s="990"/>
      <c r="AK19" s="990"/>
      <c r="AL19" s="990"/>
      <c r="AM19" s="990"/>
      <c r="AN19" s="951"/>
      <c r="AO19" s="981"/>
      <c r="AP19" s="991" t="s">
        <v>75</v>
      </c>
      <c r="AQ19" s="992"/>
      <c r="AR19" s="993" t="str">
        <f>IFERROR(职业计算表!S3,"")</f>
        <v>你的回合结束时，如果你本回合主动移动过至少3个战术格，获得4SP。
每进入一个新的阶段，获得的SP+1</v>
      </c>
      <c r="AS19" s="994"/>
      <c r="AT19" s="994"/>
      <c r="AU19" s="994"/>
      <c r="AV19" s="994"/>
      <c r="AW19" s="994"/>
      <c r="AX19" s="994"/>
      <c r="AY19" s="994"/>
      <c r="AZ19" s="994"/>
      <c r="BA19" s="995"/>
    </row>
    <row r="20" customHeight="1" spans="2:54">
      <c r="B20" s="996"/>
      <c r="C20" s="997"/>
      <c r="D20" s="998"/>
      <c r="E20" s="999"/>
      <c r="F20" s="999"/>
      <c r="G20" s="999"/>
      <c r="H20" s="999"/>
      <c r="I20" s="1000"/>
      <c r="J20" s="749"/>
      <c r="K20" s="749"/>
      <c r="L20" s="1001"/>
      <c r="M20" s="1002"/>
      <c r="N20" s="1002"/>
      <c r="O20" s="1002"/>
      <c r="P20" s="1002"/>
      <c r="Q20" s="1002"/>
      <c r="R20" s="1003"/>
      <c r="S20" s="1003"/>
      <c r="T20" s="1003"/>
      <c r="U20" s="1003"/>
      <c r="V20" s="1003"/>
      <c r="W20" s="1003"/>
      <c r="X20" s="1004"/>
      <c r="Y20" s="1004"/>
      <c r="Z20" s="1004"/>
      <c r="AA20" s="1004"/>
      <c r="AB20" s="1004"/>
      <c r="AC20" s="1005"/>
      <c r="AE20" s="945"/>
      <c r="AF20" s="990"/>
      <c r="AG20" s="990"/>
      <c r="AH20" s="990"/>
      <c r="AI20" s="990"/>
      <c r="AJ20" s="990"/>
      <c r="AK20" s="990"/>
      <c r="AL20" s="990"/>
      <c r="AM20" s="990"/>
      <c r="AN20" s="951"/>
      <c r="AO20" s="981"/>
      <c r="AP20" s="991"/>
      <c r="AQ20" s="992"/>
      <c r="AR20" s="993"/>
      <c r="AS20" s="994"/>
      <c r="AT20" s="994"/>
      <c r="AU20" s="994"/>
      <c r="AV20" s="994"/>
      <c r="AW20" s="994"/>
      <c r="AX20" s="994"/>
      <c r="AY20" s="994"/>
      <c r="AZ20" s="994"/>
      <c r="BA20" s="995"/>
    </row>
    <row r="21" customHeight="1" spans="2:54">
      <c r="B21" s="749"/>
      <c r="C21" s="749"/>
      <c r="D21" s="749"/>
      <c r="E21" s="749"/>
      <c r="F21" s="749"/>
      <c r="G21" s="749"/>
      <c r="H21" s="749"/>
      <c r="I21" s="749"/>
      <c r="J21" s="749"/>
      <c r="K21" s="749"/>
      <c r="L21" s="749"/>
      <c r="M21" s="749"/>
      <c r="N21" s="749"/>
      <c r="O21" s="749"/>
      <c r="P21" s="749"/>
      <c r="Q21" s="749"/>
      <c r="R21" s="749"/>
      <c r="S21" s="749"/>
      <c r="T21" s="749"/>
      <c r="U21" s="749"/>
      <c r="V21" s="749"/>
      <c r="W21" s="749"/>
      <c r="X21" s="1006"/>
      <c r="Y21" s="1007"/>
      <c r="Z21" s="1006"/>
      <c r="AA21" s="1006"/>
      <c r="AB21" s="1006"/>
      <c r="AC21" s="1006"/>
      <c r="AE21" s="945"/>
      <c r="AF21" s="990"/>
      <c r="AG21" s="990"/>
      <c r="AH21" s="990"/>
      <c r="AI21" s="990"/>
      <c r="AJ21" s="990"/>
      <c r="AK21" s="990"/>
      <c r="AL21" s="990"/>
      <c r="AM21" s="990"/>
      <c r="AN21" s="951"/>
      <c r="AO21" s="981"/>
      <c r="AP21" s="991"/>
      <c r="AQ21" s="992"/>
      <c r="AR21" s="993"/>
      <c r="AS21" s="994"/>
      <c r="AT21" s="994"/>
      <c r="AU21" s="994"/>
      <c r="AV21" s="994"/>
      <c r="AW21" s="994"/>
      <c r="AX21" s="994"/>
      <c r="AY21" s="994"/>
      <c r="AZ21" s="994"/>
      <c r="BA21" s="995"/>
    </row>
    <row r="22" customHeight="1" spans="2:54">
      <c r="B22" s="1008" t="s">
        <v>76</v>
      </c>
      <c r="C22" s="1009"/>
      <c r="D22" s="1009"/>
      <c r="E22" s="1009"/>
      <c r="F22" s="1009"/>
      <c r="G22" s="1009"/>
      <c r="H22" s="1009"/>
      <c r="I22" s="1009"/>
      <c r="J22" s="1009"/>
      <c r="K22" s="1009"/>
      <c r="L22" s="1009"/>
      <c r="M22" s="1009"/>
      <c r="N22" s="1009"/>
      <c r="O22" s="1009"/>
      <c r="P22" s="1009"/>
      <c r="Q22" s="1009"/>
      <c r="R22" s="1009"/>
      <c r="S22" s="1009"/>
      <c r="T22" s="1009"/>
      <c r="U22" s="1009"/>
      <c r="V22" s="1009"/>
      <c r="W22" s="1009"/>
      <c r="X22" s="1009"/>
      <c r="Y22" s="1009"/>
      <c r="Z22" s="1009"/>
      <c r="AA22" s="1009"/>
      <c r="AB22" s="1009"/>
      <c r="AC22" s="1010"/>
      <c r="AE22" s="945"/>
      <c r="AF22" s="1011" t="s">
        <v>77</v>
      </c>
      <c r="AG22" s="1012"/>
      <c r="AH22" s="1012"/>
      <c r="AI22" s="1012"/>
      <c r="AJ22" s="1012"/>
      <c r="AK22" s="1012"/>
      <c r="AL22" s="1012"/>
      <c r="AM22" s="1012"/>
      <c r="AN22" s="1013"/>
      <c r="AO22" s="981"/>
      <c r="AP22" s="1014"/>
      <c r="AQ22" s="1015"/>
      <c r="AR22" s="1016"/>
      <c r="AS22" s="1017"/>
      <c r="AT22" s="1017"/>
      <c r="AU22" s="1017"/>
      <c r="AV22" s="1017"/>
      <c r="AW22" s="1017"/>
      <c r="AX22" s="1017"/>
      <c r="AY22" s="1017"/>
      <c r="AZ22" s="1017"/>
      <c r="BA22" s="995"/>
    </row>
    <row r="23" customHeight="1" spans="2:54">
      <c r="B23" s="1018"/>
      <c r="C23" s="1019"/>
      <c r="D23" s="1019"/>
      <c r="E23" s="1019"/>
      <c r="F23" s="1019"/>
      <c r="G23" s="1019"/>
      <c r="H23" s="1019"/>
      <c r="I23" s="1019"/>
      <c r="J23" s="1019"/>
      <c r="K23" s="1019"/>
      <c r="L23" s="1019"/>
      <c r="M23" s="1019"/>
      <c r="N23" s="1019"/>
      <c r="O23" s="1019"/>
      <c r="P23" s="1019"/>
      <c r="Q23" s="1019"/>
      <c r="R23" s="1019"/>
      <c r="S23" s="1019"/>
      <c r="T23" s="1019"/>
      <c r="U23" s="1019"/>
      <c r="V23" s="1019"/>
      <c r="W23" s="1019"/>
      <c r="X23" s="1019"/>
      <c r="Y23" s="1019"/>
      <c r="Z23" s="1019"/>
      <c r="AA23" s="1019"/>
      <c r="AB23" s="1019"/>
      <c r="AC23" s="1020"/>
      <c r="AE23" s="1021"/>
      <c r="AF23" s="1022"/>
      <c r="AG23" s="1023"/>
      <c r="AH23" s="1024" t="s">
        <v>78</v>
      </c>
      <c r="AI23" s="1024" t="s">
        <v>79</v>
      </c>
      <c r="AJ23" s="1023"/>
      <c r="AK23" s="1024" t="s">
        <v>14</v>
      </c>
      <c r="AL23" s="1024" t="s">
        <v>16</v>
      </c>
      <c r="AM23" s="1024" t="s">
        <v>80</v>
      </c>
      <c r="AN23" s="1023"/>
      <c r="AO23" s="981"/>
      <c r="AP23" s="1025">
        <f>战斗卡!H4</f>
        <v>0</v>
      </c>
      <c r="AQ23" s="1026"/>
      <c r="AR23" s="1027">
        <f>战斗卡!H5</f>
        <v>0</v>
      </c>
      <c r="AS23" s="1028"/>
      <c r="AT23" s="1028"/>
      <c r="AU23" s="1028"/>
      <c r="AV23" s="1028"/>
      <c r="AW23" s="1028"/>
      <c r="AX23" s="1028"/>
      <c r="AY23" s="1028"/>
      <c r="AZ23" s="1028"/>
      <c r="BA23" s="1029"/>
    </row>
    <row r="24" customHeight="1" spans="2:54">
      <c r="B24" s="1030"/>
      <c r="C24" s="1031"/>
      <c r="D24" s="1031"/>
      <c r="E24" s="1032" t="s">
        <v>13</v>
      </c>
      <c r="F24" s="1033" t="s">
        <v>16</v>
      </c>
      <c r="G24" s="1033" t="s">
        <v>15</v>
      </c>
      <c r="H24" s="1034" t="s">
        <v>81</v>
      </c>
      <c r="I24" s="1035"/>
      <c r="J24" s="1035"/>
      <c r="K24" s="1035"/>
      <c r="L24" s="1033" t="s">
        <v>13</v>
      </c>
      <c r="M24" s="1033" t="s">
        <v>16</v>
      </c>
      <c r="N24" s="1033" t="s">
        <v>15</v>
      </c>
      <c r="O24" s="1034" t="s">
        <v>81</v>
      </c>
      <c r="P24" s="1035"/>
      <c r="Q24" s="1035"/>
      <c r="R24" s="1035"/>
      <c r="S24" s="1033" t="s">
        <v>13</v>
      </c>
      <c r="T24" s="1033" t="s">
        <v>16</v>
      </c>
      <c r="U24" s="1033" t="s">
        <v>15</v>
      </c>
      <c r="V24" s="1034" t="s">
        <v>81</v>
      </c>
      <c r="W24" s="1035"/>
      <c r="X24" s="1035"/>
      <c r="Y24" s="1035"/>
      <c r="Z24" s="1033" t="s">
        <v>13</v>
      </c>
      <c r="AA24" s="1033" t="s">
        <v>16</v>
      </c>
      <c r="AB24" s="1033" t="s">
        <v>15</v>
      </c>
      <c r="AC24" s="1036" t="s">
        <v>81</v>
      </c>
      <c r="AE24" s="1021" t="str">
        <f>_xlfn.DISPIMG("ID_A1414AFFEBA04A01AEBDBA46D04A6C4F",1)</f>
        <v>=DISPIMG("ID_A1414AFFEBA04A01AEBDBA46D04A6C4F",1)</v>
      </c>
      <c r="AF24" s="853" t="s">
        <v>82</v>
      </c>
      <c r="AG24" s="853"/>
      <c r="AH24" s="1037"/>
      <c r="AI24" s="1038" t="str">
        <f ca="1">IFERROR("/"&amp;ROUNDDOWN(SUM(AK24:AM24),0),"")</f>
        <v>/15</v>
      </c>
      <c r="AJ24" s="1039" t="s">
        <v>22</v>
      </c>
      <c r="AK24" s="1040">
        <f ca="1">IFERROR(ROUNDDOWN(职业计算表!E2,0),"")</f>
        <v>15</v>
      </c>
      <c r="AL24" s="1041">
        <f ca="1">IFERROR(职业计算表!F2,"")</f>
        <v>0</v>
      </c>
      <c r="AM24" s="1042">
        <f>SUM(特质表!P9:P16)</f>
        <v>0</v>
      </c>
      <c r="AN24" s="1023"/>
      <c r="AO24" s="981"/>
      <c r="AP24" s="1043"/>
      <c r="AQ24" s="1044"/>
      <c r="AR24" s="1016"/>
      <c r="AS24" s="1017"/>
      <c r="AT24" s="1017"/>
      <c r="AU24" s="1017"/>
      <c r="AV24" s="1017"/>
      <c r="AW24" s="1017"/>
      <c r="AX24" s="1017"/>
      <c r="AY24" s="1017"/>
      <c r="AZ24" s="1017"/>
      <c r="BA24" s="1045"/>
    </row>
    <row r="25" customHeight="1" spans="2:54">
      <c r="B25" s="1046" t="str">
        <f>_xlfn.DISPIMG("ID_FA5000DDCA5E4D81AB5A9A457C22EDDB",1)</f>
        <v>=DISPIMG("ID_FA5000DDCA5E4D81AB5A9A457C22EDDB",1)</v>
      </c>
      <c r="C25" s="1047" t="s">
        <v>83</v>
      </c>
      <c r="D25" s="1047"/>
      <c r="E25" s="1047"/>
      <c r="F25" s="1048">
        <f ca="1">Q6</f>
        <v>5</v>
      </c>
      <c r="G25" s="1049"/>
      <c r="H25" s="1049"/>
      <c r="I25" s="1050" t="str">
        <f>_xlfn.DISPIMG("ID_131FF3363ED047DEB11CFC8572794CC4",1)</f>
        <v>=DISPIMG("ID_131FF3363ED047DEB11CFC8572794CC4",1)</v>
      </c>
      <c r="J25" s="1051" t="s">
        <v>84</v>
      </c>
      <c r="K25" s="1051"/>
      <c r="L25" s="1051"/>
      <c r="M25" s="1052">
        <f ca="1">Q8</f>
        <v>5</v>
      </c>
      <c r="N25" s="1053"/>
      <c r="O25" s="1053"/>
      <c r="P25" s="1054" t="str">
        <f>_xlfn.DISPIMG("ID_E9478C60C9034E3B8918B6E771168926",1)</f>
        <v>=DISPIMG("ID_E9478C60C9034E3B8918B6E771168926",1)</v>
      </c>
      <c r="Q25" s="1055" t="s">
        <v>85</v>
      </c>
      <c r="R25" s="1055"/>
      <c r="S25" s="1055"/>
      <c r="T25" s="1056">
        <f ca="1">Q5</f>
        <v>5</v>
      </c>
      <c r="U25" s="1057"/>
      <c r="V25" s="1058"/>
      <c r="W25" s="1059" t="str">
        <f>_xlfn.DISPIMG("ID_9CEB13D933F741199F2CC7014B01EF49",1)</f>
        <v>=DISPIMG("ID_9CEB13D933F741199F2CC7014B01EF49",1)</v>
      </c>
      <c r="X25" s="1060" t="s">
        <v>86</v>
      </c>
      <c r="Y25" s="1060"/>
      <c r="Z25" s="1061"/>
      <c r="AA25" s="1062">
        <f ca="1">Q9</f>
        <v>5</v>
      </c>
      <c r="AB25" s="1063"/>
      <c r="AC25" s="1064"/>
      <c r="AE25" s="1021" t="str">
        <f>_xlfn.DISPIMG("ID_D70E66E4768A4EA89893D4EFDCF2DD75",1)</f>
        <v>=DISPIMG("ID_D70E66E4768A4EA89893D4EFDCF2DD75",1)</v>
      </c>
      <c r="AF25" s="853" t="s">
        <v>87</v>
      </c>
      <c r="AG25" s="853"/>
      <c r="AH25" s="1065"/>
      <c r="AI25" s="1066" t="str">
        <f>IFERROR("/"&amp;ROUNDDOWN(SUM(AK25:AM25),0),"")</f>
        <v>/3</v>
      </c>
      <c r="AJ25" s="1067" t="s">
        <v>22</v>
      </c>
      <c r="AK25" s="1068">
        <f>IFERROR(职业计算表!K2,"")</f>
        <v>3</v>
      </c>
      <c r="AL25" s="1069" t="str">
        <f>IFERROR(AH46,"")</f>
        <v/>
      </c>
      <c r="AM25" s="1070">
        <f>SUM(特质表!Q9:Q16)</f>
        <v>0</v>
      </c>
      <c r="AN25" s="1023"/>
      <c r="AO25" s="981"/>
      <c r="AP25" s="1025">
        <f>战斗卡!H8</f>
        <v>0</v>
      </c>
      <c r="AQ25" s="1026"/>
      <c r="AR25" s="1027">
        <f>战斗卡!H9</f>
        <v>0</v>
      </c>
      <c r="AS25" s="1028"/>
      <c r="AT25" s="1028"/>
      <c r="AU25" s="1028"/>
      <c r="AV25" s="1028"/>
      <c r="AW25" s="1028"/>
      <c r="AX25" s="1028"/>
      <c r="AY25" s="1028"/>
      <c r="AZ25" s="1028"/>
      <c r="BA25" s="1045"/>
    </row>
    <row r="26" customHeight="1" spans="2:54">
      <c r="B26" s="1071" t="s">
        <v>88</v>
      </c>
      <c r="C26" s="1072" t="s">
        <v>7</v>
      </c>
      <c r="D26" s="1072"/>
      <c r="E26" s="1073" t="str">
        <f>SUM(F26:H26,下拉列表!V198)-SUM(H28:H33)&amp;"/"&amp;SUM(F26:H26,下拉列表!V198)</f>
        <v>3/3</v>
      </c>
      <c r="F26" s="1074">
        <f>AK4</f>
        <v>0</v>
      </c>
      <c r="G26" s="1075">
        <f>SUM(特质表!P59:P66)</f>
        <v>0</v>
      </c>
      <c r="H26" s="1076"/>
      <c r="I26" s="1077"/>
      <c r="J26" s="1078" t="s">
        <v>9</v>
      </c>
      <c r="K26" s="1078"/>
      <c r="L26" s="1079" t="str">
        <f>SUM(M26:O26,下拉列表!V199)-SUM(O28:O30)&amp;"/"&amp;SUM(M26:O26,下拉列表!V199)</f>
        <v>2/2</v>
      </c>
      <c r="M26" s="1080">
        <f>AM4</f>
        <v>0</v>
      </c>
      <c r="N26" s="1081">
        <f>SUM(特质表!P$125:P$155)</f>
        <v>0</v>
      </c>
      <c r="O26" s="1082"/>
      <c r="P26" s="1083"/>
      <c r="Q26" s="1084" t="s">
        <v>10</v>
      </c>
      <c r="R26" s="1084"/>
      <c r="S26" s="1085" t="str">
        <f>SUM(T26:V26,下拉列表!V200)-SUM(V28:V30)&amp;"/"&amp;SUM(T26:V26,下拉列表!V200)</f>
        <v>2/2</v>
      </c>
      <c r="T26" s="1080">
        <f>AN4</f>
        <v>0</v>
      </c>
      <c r="U26" s="1086">
        <f>SUM(特质表!P$209:P$216)</f>
        <v>0</v>
      </c>
      <c r="V26" s="1087"/>
      <c r="W26" s="1088"/>
      <c r="X26" s="1089" t="s">
        <v>89</v>
      </c>
      <c r="Y26" s="1089"/>
      <c r="Z26" s="1090" t="str">
        <f>SUM(AA26:AC26,下拉列表!V201)-SUM(AC28:AC30)&amp;"/"&amp;SUM(AA26:AC26,下拉列表!V201)</f>
        <v>2/2</v>
      </c>
      <c r="AA26" s="1080">
        <f>AL4</f>
        <v>0</v>
      </c>
      <c r="AB26" s="1091">
        <f>SUM(特质表!P$256:P$257)</f>
        <v>0</v>
      </c>
      <c r="AC26" s="1092"/>
      <c r="AE26" s="1021" t="str">
        <f>_xlfn.DISPIMG("ID_19C3B78CC006403F8817388CB955E7F9",1)</f>
        <v>=DISPIMG("ID_19C3B78CC006403F8817388CB955E7F9",1)</v>
      </c>
      <c r="AF26" s="1093" t="s">
        <v>90</v>
      </c>
      <c r="AG26" s="1094"/>
      <c r="AH26" s="1095"/>
      <c r="AI26" s="1096" t="str">
        <f>IFERROR("/"&amp;ROUNDDOWN(SUM(AK26:AM26),0),"")</f>
        <v>/3</v>
      </c>
      <c r="AJ26" s="1097" t="s">
        <v>22</v>
      </c>
      <c r="AK26" s="1098">
        <f>IFERROR(职业计算表!M2,"")</f>
        <v>3</v>
      </c>
      <c r="AL26" s="1099" t="str">
        <f>IFERROR(AL46,"")</f>
        <v/>
      </c>
      <c r="AM26" s="1100">
        <f>SUM(特质表!R9:R16)</f>
        <v>0</v>
      </c>
      <c r="AN26" s="1023"/>
      <c r="AO26" s="981"/>
      <c r="AP26" s="1043"/>
      <c r="AQ26" s="1044"/>
      <c r="AR26" s="1016"/>
      <c r="AS26" s="1017"/>
      <c r="AT26" s="1017"/>
      <c r="AU26" s="1017"/>
      <c r="AV26" s="1017"/>
      <c r="AW26" s="1017"/>
      <c r="AX26" s="1017"/>
      <c r="AY26" s="1017"/>
      <c r="AZ26" s="1017"/>
      <c r="BA26" s="1045"/>
    </row>
    <row r="27" customHeight="1" spans="2:54">
      <c r="B27" s="1101" t="s">
        <v>91</v>
      </c>
      <c r="C27" s="1102" t="s">
        <v>92</v>
      </c>
      <c r="D27" s="1103"/>
      <c r="E27" s="1104">
        <f>SUM(F27:H27)</f>
        <v>0</v>
      </c>
      <c r="F27" s="796" t="s">
        <v>22</v>
      </c>
      <c r="G27" s="1104">
        <f>SUM(特质表!Q59:Q66)</f>
        <v>0</v>
      </c>
      <c r="H27" s="1080">
        <f>MAX(E28:E33)</f>
        <v>0</v>
      </c>
      <c r="I27" s="1105" t="s">
        <v>91</v>
      </c>
      <c r="J27" s="1106" t="s">
        <v>93</v>
      </c>
      <c r="K27" s="1107"/>
      <c r="L27" s="1108">
        <f>SUM(M27:O27)</f>
        <v>0</v>
      </c>
      <c r="M27" s="1109" t="s">
        <v>22</v>
      </c>
      <c r="N27" s="1081">
        <f>SUM(特质表!Q$125:Q$155)</f>
        <v>0</v>
      </c>
      <c r="O27" s="1110">
        <f>MAX(L28:L30)</f>
        <v>0</v>
      </c>
      <c r="P27" s="1111" t="s">
        <v>91</v>
      </c>
      <c r="Q27" s="1112" t="s">
        <v>94</v>
      </c>
      <c r="R27" s="1113"/>
      <c r="S27" s="1114">
        <f>SUM(T27:V27)</f>
        <v>0</v>
      </c>
      <c r="T27" s="1115" t="s">
        <v>22</v>
      </c>
      <c r="U27" s="1086">
        <f>SUM(特质表!Q$209:Q$216)</f>
        <v>0</v>
      </c>
      <c r="V27" s="1116">
        <f>MAX(S28:S30)</f>
        <v>0</v>
      </c>
      <c r="W27" s="1117" t="s">
        <v>91</v>
      </c>
      <c r="X27" s="1118" t="s">
        <v>95</v>
      </c>
      <c r="Y27" s="1119"/>
      <c r="Z27" s="1120">
        <f>SUM(AB27:AC27)</f>
        <v>0</v>
      </c>
      <c r="AA27" s="1121" t="s">
        <v>22</v>
      </c>
      <c r="AB27" s="1091">
        <f>SUM(特质表!Q$256:Q$257)</f>
        <v>0</v>
      </c>
      <c r="AC27" s="1122">
        <f>MAX(AC28:AC30)</f>
        <v>0</v>
      </c>
      <c r="AE27" s="1021" t="str">
        <f>_xlfn.DISPIMG("ID_EEDCD9ECDE6A4497A3362F50D354C631",1)</f>
        <v>=DISPIMG("ID_EEDCD9ECDE6A4497A3362F50D354C631",1)</v>
      </c>
      <c r="AF27" s="1123" t="s">
        <v>96</v>
      </c>
      <c r="AG27" s="1123"/>
      <c r="AH27" s="1124">
        <f ca="1">IFERROR(职业计算表!Q2,"")</f>
        <v>1.66666666666667</v>
      </c>
      <c r="AI27" s="1124">
        <f>SUM(特质表!T9:T16)</f>
        <v>0</v>
      </c>
      <c r="AJ27" s="1124">
        <f ca="1">IFERROR(AH27+AI27,"")</f>
        <v>1.66666666666667</v>
      </c>
      <c r="AK27" s="1124">
        <f>下拉列表!V2*3+9</f>
        <v>9</v>
      </c>
      <c r="AL27" s="1124">
        <f>SUM(特质表!S9:S16)</f>
        <v>0</v>
      </c>
      <c r="AM27" s="1124">
        <f>IFERROR(AL27+AK27,"")</f>
        <v>9</v>
      </c>
      <c r="AN27" s="1023"/>
      <c r="AO27" s="981"/>
      <c r="AP27" s="1025">
        <f>战斗卡!H12</f>
        <v>0</v>
      </c>
      <c r="AQ27" s="1026"/>
      <c r="AR27" s="1027">
        <f>战斗卡!H13</f>
        <v>0</v>
      </c>
      <c r="AS27" s="1028"/>
      <c r="AT27" s="1028"/>
      <c r="AU27" s="1028"/>
      <c r="AV27" s="1028"/>
      <c r="AW27" s="1028"/>
      <c r="AX27" s="1028"/>
      <c r="AY27" s="1028"/>
      <c r="AZ27" s="1028"/>
      <c r="BA27" s="1045"/>
    </row>
    <row r="28" customHeight="1" spans="2:54">
      <c r="B28" s="1125"/>
      <c r="C28" s="1102" t="s">
        <v>97</v>
      </c>
      <c r="D28" s="1103"/>
      <c r="E28" s="1104">
        <f>SUM(F28:H28)</f>
        <v>0</v>
      </c>
      <c r="F28" s="796" t="s">
        <v>22</v>
      </c>
      <c r="G28" s="1104">
        <f>SUM(特质表!R59:R66)</f>
        <v>0</v>
      </c>
      <c r="H28" s="1126"/>
      <c r="I28" s="1127"/>
      <c r="J28" s="1106" t="s">
        <v>98</v>
      </c>
      <c r="K28" s="1107"/>
      <c r="L28" s="1128">
        <f>SUM(M28:O28)</f>
        <v>0</v>
      </c>
      <c r="M28" s="1129" t="s">
        <v>22</v>
      </c>
      <c r="N28" s="1081">
        <f>SUM(特质表!R$125:R$155)</f>
        <v>0</v>
      </c>
      <c r="O28" s="1126"/>
      <c r="P28" s="1130"/>
      <c r="Q28" s="1112" t="s">
        <v>99</v>
      </c>
      <c r="R28" s="1113"/>
      <c r="S28" s="1131">
        <f>SUM(T28:V28)</f>
        <v>0</v>
      </c>
      <c r="T28" s="1129" t="s">
        <v>22</v>
      </c>
      <c r="U28" s="1086">
        <f>SUM(特质表!R$209:R$216)</f>
        <v>0</v>
      </c>
      <c r="V28" s="1132"/>
      <c r="W28" s="1133"/>
      <c r="X28" s="1133"/>
      <c r="Y28" s="1134"/>
      <c r="Z28" s="1120">
        <f>SUM(AB28:AC28)</f>
        <v>0</v>
      </c>
      <c r="AA28" s="1121" t="s">
        <v>22</v>
      </c>
      <c r="AB28" s="1091">
        <f>SUM(特质表!R$256:R$257)</f>
        <v>0</v>
      </c>
      <c r="AC28" s="1092"/>
      <c r="AE28" s="1021"/>
      <c r="AF28" s="1135"/>
      <c r="AG28" s="1135"/>
      <c r="AH28" s="1136" t="s">
        <v>100</v>
      </c>
      <c r="AI28" s="1136" t="s">
        <v>80</v>
      </c>
      <c r="AJ28" s="1013" t="str">
        <f>_xlfn.DISPIMG("ID_5C660F1396F847E988890FB776B024D1",1)</f>
        <v>=DISPIMG("ID_5C660F1396F847E988890FB776B024D1",1)</v>
      </c>
      <c r="AK28" s="1136" t="s">
        <v>79</v>
      </c>
      <c r="AL28" s="1136" t="s">
        <v>80</v>
      </c>
      <c r="AM28" s="1013" t="str">
        <f>_xlfn.DISPIMG("ID_E00A0A014CCD414EA97973170AB8230F",1)</f>
        <v>=DISPIMG("ID_E00A0A014CCD414EA97973170AB8230F",1)</v>
      </c>
      <c r="AN28" s="1136"/>
      <c r="AO28" s="981"/>
      <c r="AP28" s="1043"/>
      <c r="AQ28" s="1044"/>
      <c r="AR28" s="1016"/>
      <c r="AS28" s="1017"/>
      <c r="AT28" s="1017"/>
      <c r="AU28" s="1017"/>
      <c r="AV28" s="1017"/>
      <c r="AW28" s="1017"/>
      <c r="AX28" s="1017"/>
      <c r="AY28" s="1017"/>
      <c r="AZ28" s="1017"/>
      <c r="BA28" s="1045"/>
    </row>
    <row r="29" customHeight="1" spans="2:54">
      <c r="B29" s="1125"/>
      <c r="C29" s="1102" t="s">
        <v>101</v>
      </c>
      <c r="D29" s="1103"/>
      <c r="E29" s="1104">
        <f t="shared" ref="E28:E33" si="2">SUM(F29:H29)</f>
        <v>0</v>
      </c>
      <c r="F29" s="796" t="s">
        <v>22</v>
      </c>
      <c r="G29" s="1104">
        <f>SUM(特质表!S59:S66)</f>
        <v>0</v>
      </c>
      <c r="H29" s="1126"/>
      <c r="I29" s="1127"/>
      <c r="J29" s="1106" t="s">
        <v>102</v>
      </c>
      <c r="K29" s="1107"/>
      <c r="L29" s="1128">
        <f>SUM(M29:O29)</f>
        <v>0</v>
      </c>
      <c r="M29" s="1129" t="s">
        <v>22</v>
      </c>
      <c r="N29" s="1081">
        <f>SUM(特质表!S$125:S$155)</f>
        <v>0</v>
      </c>
      <c r="O29" s="1126"/>
      <c r="P29" s="1130"/>
      <c r="Q29" s="1112" t="s">
        <v>103</v>
      </c>
      <c r="R29" s="1113"/>
      <c r="S29" s="1131">
        <f>SUM(T29:V29)</f>
        <v>0</v>
      </c>
      <c r="T29" s="1129" t="s">
        <v>22</v>
      </c>
      <c r="U29" s="1086">
        <f>SUM(特质表!S$209:S$216)</f>
        <v>0</v>
      </c>
      <c r="V29" s="1132"/>
      <c r="W29" s="1133"/>
      <c r="X29" s="1133"/>
      <c r="Y29" s="1134"/>
      <c r="Z29" s="1120">
        <f>SUM(AB29:AC29)</f>
        <v>0</v>
      </c>
      <c r="AA29" s="1121" t="s">
        <v>22</v>
      </c>
      <c r="AB29" s="1091">
        <f>SUM(特质表!S$256:S$257)</f>
        <v>0</v>
      </c>
      <c r="AC29" s="1092"/>
      <c r="AE29" s="1137" t="s">
        <v>104</v>
      </c>
      <c r="AF29" s="1138"/>
      <c r="AG29" s="1139" t="s">
        <v>105</v>
      </c>
      <c r="AH29" s="1140"/>
      <c r="AI29" s="1141">
        <f>6+下拉列表!V2*3+AM29</f>
        <v>6</v>
      </c>
      <c r="AJ29" s="1141"/>
      <c r="AK29" s="1142" t="s">
        <v>106</v>
      </c>
      <c r="AL29" s="1143"/>
      <c r="AM29" s="1141">
        <v>0</v>
      </c>
      <c r="AN29" s="1144"/>
      <c r="AO29" s="981"/>
      <c r="AP29" s="1025">
        <f>战斗卡!H16</f>
        <v>0</v>
      </c>
      <c r="AQ29" s="1026"/>
      <c r="AR29" s="1027">
        <f>战斗卡!H17</f>
        <v>0</v>
      </c>
      <c r="AS29" s="1028"/>
      <c r="AT29" s="1028"/>
      <c r="AU29" s="1028"/>
      <c r="AV29" s="1028"/>
      <c r="AW29" s="1028"/>
      <c r="AX29" s="1028"/>
      <c r="AY29" s="1028"/>
      <c r="AZ29" s="1028"/>
      <c r="BA29" s="1045"/>
    </row>
    <row r="30" customHeight="1" spans="2:54">
      <c r="B30" s="1125"/>
      <c r="C30" s="1102" t="s">
        <v>107</v>
      </c>
      <c r="D30" s="1103"/>
      <c r="E30" s="1104">
        <f t="shared" si="2"/>
        <v>0</v>
      </c>
      <c r="F30" s="796" t="s">
        <v>22</v>
      </c>
      <c r="G30" s="1104">
        <f>SUM(特质表!T59:T66)</f>
        <v>0</v>
      </c>
      <c r="H30" s="1126"/>
      <c r="I30" s="1127"/>
      <c r="J30" s="1106" t="s">
        <v>108</v>
      </c>
      <c r="K30" s="1107"/>
      <c r="L30" s="1128">
        <f>SUM(M30:O30)</f>
        <v>0</v>
      </c>
      <c r="M30" s="1145" t="s">
        <v>22</v>
      </c>
      <c r="N30" s="1081">
        <f>SUM(特质表!T$125:T$155)</f>
        <v>0</v>
      </c>
      <c r="O30" s="1126"/>
      <c r="P30" s="1130"/>
      <c r="Q30" s="1112" t="s">
        <v>109</v>
      </c>
      <c r="R30" s="1113"/>
      <c r="S30" s="1131">
        <f>SUM(T30:V30)</f>
        <v>0</v>
      </c>
      <c r="T30" s="1145" t="s">
        <v>22</v>
      </c>
      <c r="U30" s="1086">
        <f>SUM(特质表!T$209:T$216)</f>
        <v>0</v>
      </c>
      <c r="V30" s="1132"/>
      <c r="W30" s="1133"/>
      <c r="X30" s="1133"/>
      <c r="Y30" s="1134"/>
      <c r="Z30" s="1146">
        <f>SUM(AB30:AC30)</f>
        <v>0</v>
      </c>
      <c r="AA30" s="1147" t="s">
        <v>22</v>
      </c>
      <c r="AB30" s="1091">
        <f>SUM(特质表!T$256:T$257)</f>
        <v>0</v>
      </c>
      <c r="AC30" s="1148"/>
      <c r="AE30" s="1149"/>
      <c r="AF30" s="1150"/>
      <c r="AG30" s="1151" t="s">
        <v>110</v>
      </c>
      <c r="AH30" s="1152"/>
      <c r="AI30" s="1153">
        <f>IFERROR(VLOOKUP(AX10,下拉列表!V48:X66,3,0),"")</f>
        <v>3</v>
      </c>
      <c r="AJ30" s="1153"/>
      <c r="AK30" s="1154" t="s">
        <v>111</v>
      </c>
      <c r="AL30" s="1155"/>
      <c r="AM30" s="1153">
        <v>0</v>
      </c>
      <c r="AN30" s="1082"/>
      <c r="AO30" s="981"/>
      <c r="AP30" s="1043"/>
      <c r="AQ30" s="1044"/>
      <c r="AR30" s="1016"/>
      <c r="AS30" s="1017"/>
      <c r="AT30" s="1017"/>
      <c r="AU30" s="1017"/>
      <c r="AV30" s="1017"/>
      <c r="AW30" s="1017"/>
      <c r="AX30" s="1017"/>
      <c r="AY30" s="1017"/>
      <c r="AZ30" s="1017"/>
      <c r="BA30" s="1045"/>
    </row>
    <row r="31" customHeight="1" spans="2:54">
      <c r="B31" s="1125"/>
      <c r="C31" s="1102" t="s">
        <v>112</v>
      </c>
      <c r="D31" s="1103"/>
      <c r="E31" s="1104">
        <f t="shared" si="2"/>
        <v>0</v>
      </c>
      <c r="F31" s="796" t="s">
        <v>22</v>
      </c>
      <c r="G31" s="1104">
        <f>SUM(特质表!U59:U66)</f>
        <v>0</v>
      </c>
      <c r="H31" s="1126"/>
      <c r="I31" s="1156"/>
      <c r="J31" s="1078" t="s">
        <v>32</v>
      </c>
      <c r="K31" s="1078"/>
      <c r="L31" s="1079" t="str">
        <f ca="1">SUM(M31:O31,M25)-SUM(O32:O37)&amp;"/"&amp;SUM(M31:O31,M25)</f>
        <v>5/5</v>
      </c>
      <c r="M31" s="1080">
        <f>AI4+IF(I31="※",AL7,0)</f>
        <v>0</v>
      </c>
      <c r="N31" s="1081">
        <f>SUM(特质表!P$159:P$166)</f>
        <v>0</v>
      </c>
      <c r="O31" s="1157"/>
      <c r="P31" s="1158"/>
      <c r="Q31" s="1159" t="s">
        <v>34</v>
      </c>
      <c r="R31" s="1159"/>
      <c r="S31" s="1160" t="str">
        <f ca="1">SUM(T31:V31,T25)-SUM(V32:V35)&amp;"/"&amp;SUM(T31:V31,T25)</f>
        <v>5/5</v>
      </c>
      <c r="T31" s="1080">
        <f>AN7+IF(P31="※",AX9,0)</f>
        <v>0</v>
      </c>
      <c r="U31" s="1086">
        <f>SUM(特质表!P$226:P$254)</f>
        <v>0</v>
      </c>
      <c r="V31" s="1087"/>
      <c r="W31" s="1161" t="s">
        <v>113</v>
      </c>
      <c r="X31" s="1161"/>
      <c r="Y31" s="1161"/>
      <c r="Z31" s="1161"/>
      <c r="AA31" s="1162">
        <f ca="1">Q7</f>
        <v>5</v>
      </c>
      <c r="AB31" s="1163"/>
      <c r="AC31" s="1164"/>
      <c r="AE31" s="1149"/>
      <c r="AF31" s="1150"/>
      <c r="AG31" s="1151" t="s">
        <v>114</v>
      </c>
      <c r="AH31" s="1152"/>
      <c r="AI31" s="1153">
        <f>IFERROR(简化卡!P25+AM31,"")</f>
        <v>1</v>
      </c>
      <c r="AJ31" s="1153"/>
      <c r="AK31" s="1165" t="s">
        <v>115</v>
      </c>
      <c r="AL31" s="1166"/>
      <c r="AM31" s="1153">
        <v>0</v>
      </c>
      <c r="AN31" s="1082"/>
      <c r="AO31" s="981"/>
      <c r="AP31" s="1025">
        <f>战斗卡!AG16</f>
        <v>0</v>
      </c>
      <c r="AQ31" s="1026"/>
      <c r="AR31" s="1027">
        <f>战斗卡!AG17</f>
        <v>0</v>
      </c>
      <c r="AS31" s="1028"/>
      <c r="AT31" s="1028"/>
      <c r="AU31" s="1028"/>
      <c r="AV31" s="1028"/>
      <c r="AW31" s="1028"/>
      <c r="AX31" s="1028"/>
      <c r="AY31" s="1028"/>
      <c r="AZ31" s="1028"/>
      <c r="BA31" s="1045"/>
    </row>
    <row r="32" customHeight="1" spans="2:54">
      <c r="B32" s="1125"/>
      <c r="C32" s="1102" t="s">
        <v>116</v>
      </c>
      <c r="D32" s="1103"/>
      <c r="E32" s="1104">
        <f t="shared" si="2"/>
        <v>0</v>
      </c>
      <c r="F32" s="796" t="s">
        <v>22</v>
      </c>
      <c r="G32" s="1104">
        <f>SUM(特质表!V59:V66)</f>
        <v>0</v>
      </c>
      <c r="H32" s="1126"/>
      <c r="I32" s="1167"/>
      <c r="J32" s="1168" t="s">
        <v>117</v>
      </c>
      <c r="K32" s="1169"/>
      <c r="L32" s="1128">
        <f t="shared" ref="L32:L37" si="3">SUM(M32:O32)</f>
        <v>0</v>
      </c>
      <c r="M32" s="1115" t="s">
        <v>22</v>
      </c>
      <c r="N32" s="1081">
        <f>SUM(特质表!Q$159:Q$166)</f>
        <v>0</v>
      </c>
      <c r="O32" s="1126"/>
      <c r="P32" s="1111"/>
      <c r="Q32" s="1112" t="s">
        <v>118</v>
      </c>
      <c r="R32" s="1113"/>
      <c r="S32" s="1131">
        <f>SUM(T32:V32)</f>
        <v>0</v>
      </c>
      <c r="T32" s="1115" t="s">
        <v>22</v>
      </c>
      <c r="U32" s="1086">
        <f>SUM(特质表!Q$226:Q$254)</f>
        <v>0</v>
      </c>
      <c r="V32" s="1132"/>
      <c r="W32" s="1170"/>
      <c r="X32" s="1171" t="s">
        <v>28</v>
      </c>
      <c r="Y32" s="1171"/>
      <c r="Z32" s="1172" t="str">
        <f ca="1">SUM(AA32:AC32,AA31)-SUM(AC33:AC35)&amp;"/"&amp;SUM(AA32:AC32,AA31)</f>
        <v>5/5</v>
      </c>
      <c r="AA32" s="1080">
        <f>AH7+IF(W32="※",AX9,0)</f>
        <v>0</v>
      </c>
      <c r="AB32" s="1173">
        <f>SUM(特质表!P$259:P$260)</f>
        <v>0</v>
      </c>
      <c r="AC32" s="1092"/>
      <c r="AE32" s="1174"/>
      <c r="AF32" s="1175"/>
      <c r="AG32" s="1176" t="s">
        <v>119</v>
      </c>
      <c r="AH32" s="1177"/>
      <c r="AI32" s="1178">
        <f ca="1">ROUNDDOWN((Q9+Q6)/5,0)+AM32+INT((AX10-1)/5)*2</f>
        <v>2</v>
      </c>
      <c r="AJ32" s="1178"/>
      <c r="AK32" s="1179" t="s">
        <v>120</v>
      </c>
      <c r="AL32" s="1179"/>
      <c r="AM32" s="1178">
        <f>SUM(特质表!U9:U16)</f>
        <v>0</v>
      </c>
      <c r="AN32" s="1180"/>
      <c r="AO32" s="1181"/>
      <c r="AP32" s="1182"/>
      <c r="AQ32" s="1183"/>
      <c r="AR32" s="1184"/>
      <c r="AS32" s="1185"/>
      <c r="AT32" s="1185"/>
      <c r="AU32" s="1185"/>
      <c r="AV32" s="1185"/>
      <c r="AW32" s="1185"/>
      <c r="AX32" s="1185"/>
      <c r="AY32" s="1185"/>
      <c r="AZ32" s="1185"/>
      <c r="BA32" s="1186"/>
    </row>
    <row r="33" customHeight="1" spans="2:53">
      <c r="B33" s="1187"/>
      <c r="C33" s="1188" t="s">
        <v>121</v>
      </c>
      <c r="D33" s="1189"/>
      <c r="E33" s="1190">
        <f t="shared" si="2"/>
        <v>0</v>
      </c>
      <c r="F33" s="1191" t="s">
        <v>22</v>
      </c>
      <c r="G33" s="1190">
        <f>SUM(特质表!W59:W66)</f>
        <v>0</v>
      </c>
      <c r="H33" s="1192"/>
      <c r="I33" s="1167"/>
      <c r="J33" s="1168" t="s">
        <v>122</v>
      </c>
      <c r="K33" s="1169"/>
      <c r="L33" s="1128">
        <f t="shared" si="3"/>
        <v>0</v>
      </c>
      <c r="M33" s="1129" t="s">
        <v>22</v>
      </c>
      <c r="N33" s="1081">
        <f>SUM(特质表!R$159:R$166)</f>
        <v>0</v>
      </c>
      <c r="O33" s="1126"/>
      <c r="P33" s="1130"/>
      <c r="Q33" s="1112" t="s">
        <v>123</v>
      </c>
      <c r="R33" s="1113"/>
      <c r="S33" s="1131">
        <f>SUM(T33:V33)</f>
        <v>0</v>
      </c>
      <c r="T33" s="1129" t="s">
        <v>22</v>
      </c>
      <c r="U33" s="1086">
        <f>SUM(特质表!R$226:R$254)</f>
        <v>0</v>
      </c>
      <c r="V33" s="1087"/>
      <c r="W33" s="1193"/>
      <c r="X33" s="1194" t="s">
        <v>124</v>
      </c>
      <c r="Y33" s="1195"/>
      <c r="Z33" s="1173">
        <f>SUM(AA33:AC33)</f>
        <v>0</v>
      </c>
      <c r="AA33" s="1121" t="s">
        <v>22</v>
      </c>
      <c r="AB33" s="1173">
        <f>SUM(特质表!Q$259:Q$260)</f>
        <v>0</v>
      </c>
      <c r="AC33" s="1092"/>
      <c r="AE33" s="1196" t="s">
        <v>125</v>
      </c>
      <c r="AF33" s="1197" t="s">
        <v>126</v>
      </c>
      <c r="AG33" s="1198"/>
      <c r="AH33" s="1199"/>
      <c r="AI33" s="1199"/>
      <c r="AJ33" s="1199"/>
      <c r="AK33" s="1199"/>
      <c r="AL33" s="1199"/>
      <c r="AM33" s="1200"/>
      <c r="AN33" s="1201" t="s">
        <v>127</v>
      </c>
      <c r="AO33" s="1202"/>
      <c r="AP33" s="1203"/>
      <c r="AQ33" s="1204"/>
      <c r="AR33" s="1204"/>
      <c r="AS33" s="1204"/>
      <c r="AT33" s="1204"/>
      <c r="AU33" s="1204"/>
      <c r="AV33" s="1204"/>
      <c r="AW33" s="1204"/>
      <c r="AX33" s="1204"/>
      <c r="AY33" s="1204"/>
      <c r="AZ33" s="1204"/>
      <c r="BA33" s="1205"/>
    </row>
    <row r="34" customHeight="1" spans="2:53">
      <c r="B34" s="1206" t="s">
        <v>128</v>
      </c>
      <c r="C34" s="1207"/>
      <c r="D34" s="1207"/>
      <c r="E34" s="1207"/>
      <c r="F34" s="1208">
        <f ca="1">Q10</f>
        <v>5</v>
      </c>
      <c r="G34" s="1209"/>
      <c r="H34" s="1209"/>
      <c r="I34" s="1167"/>
      <c r="J34" s="1168" t="s">
        <v>129</v>
      </c>
      <c r="K34" s="1169"/>
      <c r="L34" s="1128">
        <f t="shared" si="3"/>
        <v>0</v>
      </c>
      <c r="M34" s="1129" t="s">
        <v>22</v>
      </c>
      <c r="N34" s="1081">
        <f>SUM(特质表!S$159:S$166)</f>
        <v>0</v>
      </c>
      <c r="O34" s="1126"/>
      <c r="P34" s="1130"/>
      <c r="Q34" s="1112" t="s">
        <v>130</v>
      </c>
      <c r="R34" s="1113"/>
      <c r="S34" s="1131">
        <f>SUM(T34:V34)</f>
        <v>0</v>
      </c>
      <c r="T34" s="1129" t="s">
        <v>22</v>
      </c>
      <c r="U34" s="1086">
        <f>SUM(特质表!S$226:S$254)</f>
        <v>0</v>
      </c>
      <c r="V34" s="1087"/>
      <c r="W34" s="1193"/>
      <c r="X34" s="1194" t="s">
        <v>131</v>
      </c>
      <c r="Y34" s="1195"/>
      <c r="Z34" s="1173">
        <f>SUM(AA34:AC34)</f>
        <v>0</v>
      </c>
      <c r="AA34" s="1121" t="s">
        <v>22</v>
      </c>
      <c r="AB34" s="1173">
        <f>SUM(特质表!R$259:R$260)</f>
        <v>0</v>
      </c>
      <c r="AC34" s="1092"/>
      <c r="AE34" s="1210"/>
      <c r="AF34" s="1211" t="s">
        <v>132</v>
      </c>
      <c r="AG34" s="1198"/>
      <c r="AH34" s="1212"/>
      <c r="AI34" s="1212"/>
      <c r="AJ34" s="1212"/>
      <c r="AK34" s="1212"/>
      <c r="AL34" s="1212"/>
      <c r="AM34" s="1213"/>
      <c r="AN34" s="1214"/>
      <c r="AO34" s="1215"/>
      <c r="AP34" s="1216"/>
      <c r="AQ34" s="1217"/>
      <c r="AR34" s="1217"/>
      <c r="AS34" s="1217"/>
      <c r="AT34" s="1217"/>
      <c r="AU34" s="1217"/>
      <c r="AV34" s="1217"/>
      <c r="AW34" s="1217"/>
      <c r="AX34" s="1217"/>
      <c r="AY34" s="1217"/>
      <c r="AZ34" s="1217"/>
      <c r="BA34" s="1218"/>
    </row>
    <row r="35" customHeight="1" spans="2:53">
      <c r="B35" s="1219" t="s">
        <v>133</v>
      </c>
      <c r="C35" s="1220" t="s">
        <v>30</v>
      </c>
      <c r="D35" s="1220"/>
      <c r="E35" s="1221" t="str">
        <f ca="1">SUM(F35:H35,F34)-SUM(H36:H38)&amp;"/"&amp;SUM(F35:H35,F34)</f>
        <v>5/5</v>
      </c>
      <c r="F35" s="1080">
        <f>AJ7+IF(B35="※",AJ7,0)</f>
        <v>0</v>
      </c>
      <c r="G35" s="1222">
        <f>SUM(特质表!P75:P105)</f>
        <v>0</v>
      </c>
      <c r="H35" s="1082"/>
      <c r="I35" s="1167"/>
      <c r="J35" s="1168" t="s">
        <v>134</v>
      </c>
      <c r="K35" s="1169"/>
      <c r="L35" s="1128">
        <f t="shared" si="3"/>
        <v>0</v>
      </c>
      <c r="M35" s="1129" t="s">
        <v>22</v>
      </c>
      <c r="N35" s="1081">
        <f>SUM(特质表!T$159:T$166)</f>
        <v>0</v>
      </c>
      <c r="O35" s="1126"/>
      <c r="P35" s="1223"/>
      <c r="Q35" s="1224" t="s">
        <v>135</v>
      </c>
      <c r="R35" s="1225"/>
      <c r="S35" s="1226">
        <f>SUM(T35:V35)</f>
        <v>0</v>
      </c>
      <c r="T35" s="1227" t="s">
        <v>22</v>
      </c>
      <c r="U35" s="1086">
        <f>SUM(特质表!T$226:T$254)</f>
        <v>0</v>
      </c>
      <c r="V35" s="1228"/>
      <c r="W35" s="1193"/>
      <c r="X35" s="1194" t="s">
        <v>136</v>
      </c>
      <c r="Y35" s="1195"/>
      <c r="Z35" s="1173">
        <f>SUM(AA35:AC35)</f>
        <v>0</v>
      </c>
      <c r="AA35" s="1121" t="s">
        <v>22</v>
      </c>
      <c r="AB35" s="1173">
        <f>SUM(特质表!S$259:S$260)</f>
        <v>0</v>
      </c>
      <c r="AC35" s="1092"/>
      <c r="AE35" s="1210"/>
      <c r="AF35" s="1229" t="s">
        <v>137</v>
      </c>
      <c r="AG35" s="1230"/>
      <c r="AH35" s="1231"/>
      <c r="AI35" s="1232"/>
      <c r="AJ35" s="1233" t="s">
        <v>138</v>
      </c>
      <c r="AK35" s="1234"/>
      <c r="AL35" s="1235"/>
      <c r="AM35" s="1236"/>
      <c r="AN35" s="1214"/>
      <c r="AO35" s="1215"/>
      <c r="AP35" s="1237"/>
      <c r="AQ35" s="1238"/>
      <c r="AR35" s="1238"/>
      <c r="AS35" s="1238"/>
      <c r="AT35" s="1238"/>
      <c r="AU35" s="1238"/>
      <c r="AV35" s="1238"/>
      <c r="AW35" s="1238"/>
      <c r="AX35" s="1238"/>
      <c r="AY35" s="1238"/>
      <c r="AZ35" s="1238"/>
      <c r="BA35" s="1239"/>
    </row>
    <row r="36" customHeight="1" spans="2:53">
      <c r="B36" s="1240"/>
      <c r="C36" s="1241" t="s">
        <v>139</v>
      </c>
      <c r="D36" s="1242"/>
      <c r="E36" s="1243">
        <f>SUM(F36:H36)</f>
        <v>0</v>
      </c>
      <c r="F36" s="1115" t="s">
        <v>22</v>
      </c>
      <c r="G36" s="1244">
        <f>SUM(特质表!Q75:Q105)</f>
        <v>0</v>
      </c>
      <c r="H36" s="1126"/>
      <c r="I36" s="1167"/>
      <c r="J36" s="1168" t="s">
        <v>140</v>
      </c>
      <c r="K36" s="1169"/>
      <c r="L36" s="1128">
        <f t="shared" si="3"/>
        <v>0</v>
      </c>
      <c r="M36" s="1129" t="s">
        <v>22</v>
      </c>
      <c r="N36" s="1081">
        <f>SUM(特质表!U$159:U$166)</f>
        <v>0</v>
      </c>
      <c r="O36" s="1126"/>
      <c r="P36" s="1245" t="s">
        <v>141</v>
      </c>
      <c r="Q36" s="1246"/>
      <c r="R36" s="1246"/>
      <c r="S36" s="1246"/>
      <c r="T36" s="1246"/>
      <c r="U36" s="1246"/>
      <c r="V36" s="1247"/>
      <c r="W36" s="1248"/>
      <c r="X36" s="1171" t="s">
        <v>29</v>
      </c>
      <c r="Y36" s="1171"/>
      <c r="Z36" s="1172" t="str">
        <f ca="1">SUM(AA36:AC36,AA31)-SUM(AC37:AC39)&amp;"/"&amp;SUM(AA36:AC36,AA31)</f>
        <v>5/5</v>
      </c>
      <c r="AA36" s="1080">
        <f>AI7+IF(W36="※",AX9,0)</f>
        <v>0</v>
      </c>
      <c r="AB36" s="1173">
        <f>SUM(特质表!P$262:P$263)</f>
        <v>0</v>
      </c>
      <c r="AC36" s="1092"/>
      <c r="AE36" s="1210"/>
      <c r="AF36" s="1230" t="s">
        <v>142</v>
      </c>
      <c r="AG36" s="1230"/>
      <c r="AH36" s="1249"/>
      <c r="AI36" s="1249"/>
      <c r="AJ36" s="1250" t="s">
        <v>143</v>
      </c>
      <c r="AK36" s="1250"/>
      <c r="AL36" s="1249"/>
      <c r="AM36" s="1251"/>
      <c r="AN36" s="1201" t="s">
        <v>144</v>
      </c>
      <c r="AO36" s="1252" t="s">
        <v>145</v>
      </c>
      <c r="AP36" s="1253"/>
      <c r="AQ36" s="1253"/>
      <c r="AR36" s="1253"/>
      <c r="AS36" s="1254"/>
      <c r="AT36" s="1253"/>
      <c r="AU36" s="1253"/>
      <c r="AV36" s="1253"/>
      <c r="AW36" s="1254"/>
      <c r="AX36" s="1253"/>
      <c r="AY36" s="1253"/>
      <c r="AZ36" s="1253"/>
      <c r="BA36" s="1254"/>
    </row>
    <row r="37" customHeight="1" spans="2:53">
      <c r="B37" s="1240"/>
      <c r="C37" s="1241" t="s">
        <v>146</v>
      </c>
      <c r="D37" s="1242"/>
      <c r="E37" s="1243">
        <f>SUM(F37:H37)</f>
        <v>0</v>
      </c>
      <c r="F37" s="1129" t="s">
        <v>22</v>
      </c>
      <c r="G37" s="1244">
        <f>SUM(特质表!R75:R105)</f>
        <v>0</v>
      </c>
      <c r="H37" s="1126"/>
      <c r="I37" s="1167"/>
      <c r="J37" s="1168" t="s">
        <v>147</v>
      </c>
      <c r="K37" s="1169"/>
      <c r="L37" s="1128">
        <f t="shared" si="3"/>
        <v>0</v>
      </c>
      <c r="M37" s="1145" t="s">
        <v>22</v>
      </c>
      <c r="N37" s="1081">
        <f>SUM(特质表!V$159:V$166)</f>
        <v>0</v>
      </c>
      <c r="O37" s="1126"/>
      <c r="P37" s="1255" t="s">
        <v>148</v>
      </c>
      <c r="Q37" s="1256"/>
      <c r="R37" s="1256"/>
      <c r="S37" s="1257">
        <f>SUM(T37:V37)</f>
        <v>0</v>
      </c>
      <c r="T37" s="1258" t="s">
        <v>22</v>
      </c>
      <c r="U37" s="1257"/>
      <c r="V37" s="1259"/>
      <c r="W37" s="1260"/>
      <c r="X37" s="1194" t="s">
        <v>149</v>
      </c>
      <c r="Y37" s="1195"/>
      <c r="Z37" s="1173">
        <f>SUM(AA37:AC37)</f>
        <v>0</v>
      </c>
      <c r="AA37" s="1121" t="s">
        <v>22</v>
      </c>
      <c r="AB37" s="1173">
        <f>SUM(特质表!Q$262:Q$263)</f>
        <v>0</v>
      </c>
      <c r="AC37" s="1092"/>
      <c r="AE37" s="1210"/>
      <c r="AF37" s="1229" t="s">
        <v>150</v>
      </c>
      <c r="AG37" s="1230"/>
      <c r="AH37" s="1261"/>
      <c r="AI37" s="1261"/>
      <c r="AJ37" s="1262" t="s">
        <v>151</v>
      </c>
      <c r="AK37" s="1262"/>
      <c r="AL37" s="1263" t="str">
        <f ca="1">IFERROR(VLOOKUP(AH37,简化卡!C2:D8,2,0),"")</f>
        <v/>
      </c>
      <c r="AM37" s="1264"/>
      <c r="AN37" s="1214"/>
      <c r="AO37" s="1265" t="s">
        <v>152</v>
      </c>
      <c r="AP37" s="1266" t="str">
        <f>IFERROR(VLOOKUP(AP36,配件及消耗品!$A$2:$C$38,3,0),"")</f>
        <v/>
      </c>
      <c r="AQ37" s="1266"/>
      <c r="AR37" s="1266"/>
      <c r="AS37" s="1267"/>
      <c r="AT37" s="1266" t="str">
        <f>IFERROR(VLOOKUP(AT36,配件及消耗品!$A$2:$C$38,3,0),"")</f>
        <v/>
      </c>
      <c r="AU37" s="1266"/>
      <c r="AV37" s="1266"/>
      <c r="AW37" s="1267"/>
      <c r="AX37" s="1266" t="str">
        <f>IFERROR(VLOOKUP(AX36,配件及消耗品!$A$2:$C$38,3,0),"")</f>
        <v/>
      </c>
      <c r="AY37" s="1266"/>
      <c r="AZ37" s="1266"/>
      <c r="BA37" s="1267"/>
    </row>
    <row r="38" customHeight="1" spans="2:53">
      <c r="B38" s="1240"/>
      <c r="C38" s="1241" t="s">
        <v>153</v>
      </c>
      <c r="D38" s="1242"/>
      <c r="E38" s="1243">
        <f>SUM(F38:H38)</f>
        <v>0</v>
      </c>
      <c r="F38" s="1145" t="s">
        <v>22</v>
      </c>
      <c r="G38" s="1244">
        <f>SUM(特质表!S75:S105)</f>
        <v>0</v>
      </c>
      <c r="H38" s="1126"/>
      <c r="I38" s="1156"/>
      <c r="J38" s="1078" t="s">
        <v>33</v>
      </c>
      <c r="K38" s="1078"/>
      <c r="L38" s="1079" t="str">
        <f ca="1">SUM(M38:O38,M25)-SUM(O39:O42)&amp;"/"&amp;SUM(M38:O38,M25)</f>
        <v>5/5</v>
      </c>
      <c r="M38" s="1080">
        <f>AM7+IF(I38="※",AX9,0)</f>
        <v>0</v>
      </c>
      <c r="N38" s="1081">
        <f>SUM(特质表!P$175:P$205)</f>
        <v>0</v>
      </c>
      <c r="O38" s="1268"/>
      <c r="P38" s="1255" t="s">
        <v>154</v>
      </c>
      <c r="Q38" s="1256"/>
      <c r="R38" s="1256"/>
      <c r="S38" s="1257">
        <f t="shared" ref="S37:S42" si="4">SUM(T38:V38)</f>
        <v>0</v>
      </c>
      <c r="T38" s="1258" t="s">
        <v>22</v>
      </c>
      <c r="U38" s="1269"/>
      <c r="V38" s="1270"/>
      <c r="W38" s="1260"/>
      <c r="X38" s="1194" t="s">
        <v>155</v>
      </c>
      <c r="Y38" s="1195"/>
      <c r="Z38" s="1173">
        <f>SUM(AA38:AC38)</f>
        <v>0</v>
      </c>
      <c r="AA38" s="1121" t="s">
        <v>22</v>
      </c>
      <c r="AB38" s="1173">
        <f>SUM(特质表!R$262:R$263)</f>
        <v>0</v>
      </c>
      <c r="AC38" s="1092"/>
      <c r="AE38" s="1210"/>
      <c r="AF38" s="1229" t="s">
        <v>156</v>
      </c>
      <c r="AG38" s="1230"/>
      <c r="AH38" s="1251"/>
      <c r="AI38" s="1271"/>
      <c r="AJ38" s="1262" t="s">
        <v>157</v>
      </c>
      <c r="AK38" s="1262"/>
      <c r="AL38" s="1272" t="str">
        <f>IFERROR(VLOOKUP(AH38,简化卡!J2:K21,2,0),"")</f>
        <v/>
      </c>
      <c r="AM38" s="1076"/>
      <c r="AN38" s="1214"/>
      <c r="AO38" s="1273"/>
      <c r="AP38" s="1274"/>
      <c r="AQ38" s="994"/>
      <c r="AR38" s="994"/>
      <c r="AS38" s="1275"/>
      <c r="AT38" s="1274"/>
      <c r="AU38" s="994"/>
      <c r="AV38" s="994"/>
      <c r="AW38" s="1275"/>
      <c r="AX38" s="1274"/>
      <c r="AY38" s="994"/>
      <c r="AZ38" s="994"/>
      <c r="BA38" s="1275"/>
    </row>
    <row r="39" customHeight="1" spans="2:53">
      <c r="B39" s="1219"/>
      <c r="C39" s="1220" t="s">
        <v>31</v>
      </c>
      <c r="D39" s="1220"/>
      <c r="E39" s="1221" t="str">
        <f ca="1">SUM(F39:H39,F34)-SUM(H40:H42)&amp;"/"&amp;SUM(F39:H39,F34)</f>
        <v>5/5</v>
      </c>
      <c r="F39" s="1080">
        <f>AK7+IF(B39="※",AJ7,0)</f>
        <v>0</v>
      </c>
      <c r="G39" s="1222">
        <f>SUM(特质表!P109:P116)</f>
        <v>0</v>
      </c>
      <c r="H39" s="1082"/>
      <c r="I39" s="1167"/>
      <c r="J39" s="1276" t="s">
        <v>158</v>
      </c>
      <c r="K39" s="1277"/>
      <c r="L39" s="1128">
        <f>SUM(M39:O39)</f>
        <v>0</v>
      </c>
      <c r="M39" s="1115" t="s">
        <v>22</v>
      </c>
      <c r="N39" s="1081">
        <f>SUM(特质表!Q$175:Q$205)</f>
        <v>0</v>
      </c>
      <c r="O39" s="1126"/>
      <c r="P39" s="1255" t="s">
        <v>159</v>
      </c>
      <c r="Q39" s="1256"/>
      <c r="R39" s="1256"/>
      <c r="S39" s="1257">
        <f t="shared" si="4"/>
        <v>0</v>
      </c>
      <c r="T39" s="1258" t="s">
        <v>22</v>
      </c>
      <c r="U39" s="1269"/>
      <c r="V39" s="1270"/>
      <c r="W39" s="1278"/>
      <c r="X39" s="1279" t="s">
        <v>160</v>
      </c>
      <c r="Y39" s="1280"/>
      <c r="Z39" s="1281">
        <f>SUM(AA39:AC39)</f>
        <v>0</v>
      </c>
      <c r="AA39" s="1147" t="s">
        <v>22</v>
      </c>
      <c r="AB39" s="1173">
        <f>SUM(特质表!S$262:S$263)</f>
        <v>0</v>
      </c>
      <c r="AC39" s="1092"/>
      <c r="AE39" s="1210"/>
      <c r="AF39" s="1282" t="s">
        <v>161</v>
      </c>
      <c r="AG39" s="1262"/>
      <c r="AH39" s="1283" t="str">
        <f ca="1">IFERROR(AL38&amp;"D"&amp;AL35&amp;"+"&amp;AL37,"")</f>
        <v>D+</v>
      </c>
      <c r="AI39" s="1284"/>
      <c r="AJ39" s="1262" t="s">
        <v>162</v>
      </c>
      <c r="AK39" s="1262"/>
      <c r="AL39" s="1076" t="str">
        <f ca="1">IFERROR("["&amp;(AL35+1)*AL38/2+AL37&amp;"]="&amp;ROUNDDOWN((AL35+1)*AL38/2+AL37,0),"")</f>
        <v/>
      </c>
      <c r="AM39" s="1285"/>
      <c r="AN39" s="1214"/>
      <c r="AO39" s="1286"/>
      <c r="AP39" s="1287"/>
      <c r="AQ39" s="1287"/>
      <c r="AR39" s="1287"/>
      <c r="AS39" s="1288"/>
      <c r="AT39" s="1287"/>
      <c r="AU39" s="1287"/>
      <c r="AV39" s="1287"/>
      <c r="AW39" s="1288"/>
      <c r="AX39" s="1287"/>
      <c r="AY39" s="1287"/>
      <c r="AZ39" s="1287"/>
      <c r="BA39" s="1288"/>
    </row>
    <row r="40" customHeight="1" spans="2:53">
      <c r="B40" s="1240"/>
      <c r="C40" s="1241" t="s">
        <v>163</v>
      </c>
      <c r="D40" s="1242"/>
      <c r="E40" s="1243">
        <f>SUM(F40:H40)</f>
        <v>0</v>
      </c>
      <c r="F40" s="1115" t="s">
        <v>22</v>
      </c>
      <c r="G40" s="1244">
        <f>SUM(特质表!Q109:Q116)</f>
        <v>0</v>
      </c>
      <c r="H40" s="1126"/>
      <c r="I40" s="1167"/>
      <c r="J40" s="1276" t="s">
        <v>164</v>
      </c>
      <c r="K40" s="1277"/>
      <c r="L40" s="1128">
        <f>SUM(M40:O40)</f>
        <v>0</v>
      </c>
      <c r="M40" s="1129" t="s">
        <v>22</v>
      </c>
      <c r="N40" s="1081">
        <f>SUM(特质表!R$175:R$205)</f>
        <v>0</v>
      </c>
      <c r="O40" s="1268"/>
      <c r="P40" s="1289" t="s">
        <v>165</v>
      </c>
      <c r="Q40" s="1290"/>
      <c r="R40" s="1290"/>
      <c r="S40" s="1257">
        <f t="shared" si="4"/>
        <v>0</v>
      </c>
      <c r="T40" s="1258" t="s">
        <v>22</v>
      </c>
      <c r="U40" s="1269"/>
      <c r="V40" s="1270"/>
      <c r="W40" s="1291" t="s">
        <v>166</v>
      </c>
      <c r="X40" s="1292"/>
      <c r="Y40" s="1292"/>
      <c r="Z40" s="1292"/>
      <c r="AA40" s="1292"/>
      <c r="AB40" s="1292"/>
      <c r="AC40" s="1293"/>
      <c r="AE40" s="1210"/>
      <c r="AF40" s="1282" t="s">
        <v>167</v>
      </c>
      <c r="AG40" s="1262"/>
      <c r="AH40" s="1294" t="str">
        <f>IFERROR(AL38&amp;"D2","")</f>
        <v>D2</v>
      </c>
      <c r="AI40" s="1295"/>
      <c r="AJ40" s="1262" t="s">
        <v>168</v>
      </c>
      <c r="AK40" s="1262"/>
      <c r="AL40" s="1294" t="str">
        <f>IFERROR("["&amp;3*AL38/2&amp;"]="&amp;ROUNDDOWN(3*AL38/2,0),"")</f>
        <v/>
      </c>
      <c r="AM40" s="1296"/>
      <c r="AN40" s="1214"/>
      <c r="AO40" s="1297" t="s">
        <v>145</v>
      </c>
      <c r="AP40" s="1253"/>
      <c r="AQ40" s="1253"/>
      <c r="AR40" s="1253"/>
      <c r="AS40" s="1254"/>
      <c r="AT40" s="1253"/>
      <c r="AU40" s="1253"/>
      <c r="AV40" s="1253"/>
      <c r="AW40" s="1254"/>
      <c r="AX40" s="1253"/>
      <c r="AY40" s="1253"/>
      <c r="AZ40" s="1253"/>
      <c r="BA40" s="1254"/>
    </row>
    <row r="41" customHeight="1" spans="2:53">
      <c r="B41" s="1240"/>
      <c r="C41" s="1241" t="s">
        <v>169</v>
      </c>
      <c r="D41" s="1242"/>
      <c r="E41" s="1243">
        <f>SUM(F41:H41)</f>
        <v>0</v>
      </c>
      <c r="F41" s="1129" t="s">
        <v>22</v>
      </c>
      <c r="G41" s="1244">
        <f>SUM(特质表!R109:R116)</f>
        <v>0</v>
      </c>
      <c r="H41" s="1082"/>
      <c r="I41" s="1167"/>
      <c r="J41" s="1276" t="s">
        <v>170</v>
      </c>
      <c r="K41" s="1277"/>
      <c r="L41" s="1128">
        <f>SUM(M41:O41)</f>
        <v>0</v>
      </c>
      <c r="M41" s="1129" t="s">
        <v>22</v>
      </c>
      <c r="N41" s="1081">
        <f>SUM(特质表!S$175:S$205)</f>
        <v>0</v>
      </c>
      <c r="O41" s="1268"/>
      <c r="P41" s="1255" t="s">
        <v>171</v>
      </c>
      <c r="Q41" s="1256"/>
      <c r="R41" s="1256"/>
      <c r="S41" s="1257">
        <f t="shared" si="4"/>
        <v>0</v>
      </c>
      <c r="T41" s="1258" t="s">
        <v>22</v>
      </c>
      <c r="U41" s="1269"/>
      <c r="V41" s="1270"/>
      <c r="W41" s="1298"/>
      <c r="X41" s="1299" t="s">
        <v>172</v>
      </c>
      <c r="Y41" s="1300"/>
      <c r="Z41" s="1257">
        <f>SUM(AA41:AC41)</f>
        <v>0</v>
      </c>
      <c r="AA41" s="1258" t="s">
        <v>22</v>
      </c>
      <c r="AB41" s="1257"/>
      <c r="AC41" s="1092"/>
      <c r="AE41" s="1210"/>
      <c r="AF41" s="1301" t="s">
        <v>173</v>
      </c>
      <c r="AG41" s="1302"/>
      <c r="AH41" s="1303"/>
      <c r="AI41" s="1304"/>
      <c r="AJ41" s="1304"/>
      <c r="AK41" s="1304"/>
      <c r="AL41" s="1304"/>
      <c r="AM41" s="1304"/>
      <c r="AN41" s="1214"/>
      <c r="AO41" s="1265" t="s">
        <v>152</v>
      </c>
      <c r="AP41" s="1266" t="str">
        <f>IFERROR(VLOOKUP(AP40,配件及消耗品!$A$2:$C$38,3,0),"")</f>
        <v/>
      </c>
      <c r="AQ41" s="1266"/>
      <c r="AR41" s="1266"/>
      <c r="AS41" s="1267"/>
      <c r="AT41" s="1266" t="str">
        <f>IFERROR(VLOOKUP(AT40,配件及消耗品!$A$2:$C$38,3,0),"")</f>
        <v/>
      </c>
      <c r="AU41" s="1266"/>
      <c r="AV41" s="1266"/>
      <c r="AW41" s="1267"/>
      <c r="AX41" s="1266" t="str">
        <f>IFERROR(VLOOKUP(AX40,配件及消耗品!$A$2:$C$38,3,0),"")</f>
        <v/>
      </c>
      <c r="AY41" s="1266"/>
      <c r="AZ41" s="1266"/>
      <c r="BA41" s="1267"/>
    </row>
    <row r="42" customHeight="1" spans="2:53">
      <c r="B42" s="1305"/>
      <c r="C42" s="1306" t="s">
        <v>174</v>
      </c>
      <c r="D42" s="1307"/>
      <c r="E42" s="1308">
        <f>SUM(F42:H42)</f>
        <v>0</v>
      </c>
      <c r="F42" s="1309" t="s">
        <v>22</v>
      </c>
      <c r="G42" s="1310">
        <f>SUM(特质表!S109:S116)</f>
        <v>0</v>
      </c>
      <c r="H42" s="1311"/>
      <c r="I42" s="1312"/>
      <c r="J42" s="1313" t="s">
        <v>175</v>
      </c>
      <c r="K42" s="1314"/>
      <c r="L42" s="1315">
        <f>SUM(M42:O42)</f>
        <v>0</v>
      </c>
      <c r="M42" s="1309" t="s">
        <v>22</v>
      </c>
      <c r="N42" s="1316">
        <f>SUM(特质表!T$175:T$205)</f>
        <v>0</v>
      </c>
      <c r="O42" s="1317"/>
      <c r="P42" s="1318" t="s">
        <v>176</v>
      </c>
      <c r="Q42" s="1319"/>
      <c r="R42" s="1319"/>
      <c r="S42" s="1320">
        <f t="shared" si="4"/>
        <v>0</v>
      </c>
      <c r="T42" s="1321" t="s">
        <v>22</v>
      </c>
      <c r="U42" s="1322"/>
      <c r="V42" s="1323"/>
      <c r="W42" s="1324"/>
      <c r="X42" s="1325" t="s">
        <v>177</v>
      </c>
      <c r="Y42" s="1326"/>
      <c r="Z42" s="1320">
        <f ca="1">SUM(AA42:AC42)</f>
        <v>5</v>
      </c>
      <c r="AA42" s="1321" t="s">
        <v>22</v>
      </c>
      <c r="AB42" s="1322">
        <f ca="1">Q8</f>
        <v>5</v>
      </c>
      <c r="AC42" s="1327"/>
      <c r="AE42" s="1210"/>
      <c r="AF42" s="1328"/>
      <c r="AG42" s="1329"/>
      <c r="AH42" s="1330"/>
      <c r="AI42" s="1331"/>
      <c r="AJ42" s="1331"/>
      <c r="AK42" s="1331"/>
      <c r="AL42" s="1331"/>
      <c r="AM42" s="1332"/>
      <c r="AN42" s="1214"/>
      <c r="AO42" s="1273"/>
      <c r="AP42" s="1274"/>
      <c r="AQ42" s="994"/>
      <c r="AR42" s="994"/>
      <c r="AS42" s="1275"/>
      <c r="AT42" s="1274"/>
      <c r="AU42" s="994"/>
      <c r="AV42" s="994"/>
      <c r="AW42" s="1275"/>
      <c r="AX42" s="1274"/>
      <c r="AY42" s="994"/>
      <c r="AZ42" s="994"/>
      <c r="BA42" s="1275"/>
    </row>
    <row r="43" customHeight="1" spans="2:53">
      <c r="B43" s="749"/>
      <c r="C43" s="749"/>
      <c r="D43" s="749"/>
      <c r="E43" s="749"/>
      <c r="F43" s="749"/>
      <c r="G43" s="749"/>
      <c r="H43" s="749"/>
      <c r="I43" s="749"/>
      <c r="J43" s="749"/>
      <c r="K43" s="749"/>
      <c r="L43" s="749"/>
      <c r="M43" s="749"/>
      <c r="N43" s="749"/>
      <c r="O43" s="749"/>
      <c r="P43" s="843"/>
      <c r="Q43" s="843"/>
      <c r="R43" s="843"/>
      <c r="S43" s="843"/>
      <c r="T43" s="843"/>
      <c r="U43" s="843"/>
      <c r="V43" s="843"/>
      <c r="W43" s="843"/>
      <c r="X43" s="843"/>
      <c r="Y43" s="843"/>
      <c r="Z43" s="843"/>
      <c r="AA43" s="843"/>
      <c r="AB43" s="843"/>
      <c r="AC43" s="843"/>
      <c r="AE43" s="1210"/>
      <c r="AF43" s="1328"/>
      <c r="AG43" s="1329"/>
      <c r="AH43" s="1333"/>
      <c r="AI43" s="1334"/>
      <c r="AJ43" s="1334"/>
      <c r="AK43" s="1334"/>
      <c r="AL43" s="1334"/>
      <c r="AM43" s="1334"/>
      <c r="AN43" s="1214"/>
      <c r="AO43" s="1335"/>
      <c r="AP43" s="1287"/>
      <c r="AQ43" s="1287"/>
      <c r="AR43" s="1287"/>
      <c r="AS43" s="1288"/>
      <c r="AT43" s="1287"/>
      <c r="AU43" s="1287"/>
      <c r="AV43" s="1287"/>
      <c r="AW43" s="1288"/>
      <c r="AX43" s="1287"/>
      <c r="AY43" s="1287"/>
      <c r="AZ43" s="1287"/>
      <c r="BA43" s="1288"/>
    </row>
    <row r="44" customHeight="1" spans="2:53">
      <c r="B44" s="1336" t="s">
        <v>178</v>
      </c>
      <c r="C44" s="1337"/>
      <c r="D44" s="1337"/>
      <c r="E44" s="1337"/>
      <c r="F44" s="1337"/>
      <c r="G44" s="1337"/>
      <c r="H44" s="1337"/>
      <c r="I44" s="1337"/>
      <c r="J44" s="1337"/>
      <c r="K44" s="1337"/>
      <c r="L44" s="1337"/>
      <c r="M44" s="1337"/>
      <c r="N44" s="1337"/>
      <c r="O44" s="1337"/>
      <c r="P44" s="1337"/>
      <c r="Q44" s="1337"/>
      <c r="R44" s="1337"/>
      <c r="S44" s="1337"/>
      <c r="T44" s="1337"/>
      <c r="U44" s="1337"/>
      <c r="V44" s="1337"/>
      <c r="W44" s="1337"/>
      <c r="X44" s="1337"/>
      <c r="Y44" s="1337"/>
      <c r="Z44" s="1337"/>
      <c r="AA44" s="1337"/>
      <c r="AB44" s="1337"/>
      <c r="AC44" s="1338"/>
      <c r="AE44" s="1339" t="s">
        <v>179</v>
      </c>
      <c r="AF44" s="1340" t="s">
        <v>180</v>
      </c>
      <c r="AG44" s="1340"/>
      <c r="AH44" s="1341"/>
      <c r="AI44" s="1341"/>
      <c r="AJ44" s="1341"/>
      <c r="AK44" s="1341"/>
      <c r="AL44" s="1341"/>
      <c r="AM44" s="1342"/>
      <c r="AN44" s="1343" t="s">
        <v>181</v>
      </c>
      <c r="AO44" s="1344" t="s">
        <v>145</v>
      </c>
      <c r="AP44" s="1345"/>
      <c r="AQ44" s="1345"/>
      <c r="AR44" s="1345"/>
      <c r="AS44" s="1345"/>
      <c r="AT44" s="1345"/>
      <c r="AU44" s="1345"/>
      <c r="AV44" s="1345"/>
      <c r="AW44" s="1345"/>
      <c r="AX44" s="1345"/>
      <c r="AY44" s="1345"/>
      <c r="AZ44" s="1345"/>
      <c r="BA44" s="1345"/>
    </row>
    <row r="45" customHeight="1" spans="2:53">
      <c r="B45" s="1346" t="s">
        <v>182</v>
      </c>
      <c r="C45" s="1347" t="s">
        <v>183</v>
      </c>
      <c r="D45" s="1348"/>
      <c r="E45" s="1349"/>
      <c r="F45" s="1350"/>
      <c r="G45" s="1351" t="s">
        <v>184</v>
      </c>
      <c r="H45" s="1352" t="s">
        <v>185</v>
      </c>
      <c r="I45" s="1353"/>
      <c r="J45" s="1354"/>
      <c r="K45" s="1354"/>
      <c r="L45" s="1354"/>
      <c r="M45" s="1354"/>
      <c r="N45" s="1354"/>
      <c r="O45" s="1354"/>
      <c r="P45" s="1354"/>
      <c r="Q45" s="1354"/>
      <c r="R45" s="1354"/>
      <c r="S45" s="1354"/>
      <c r="T45" s="1354"/>
      <c r="U45" s="1354"/>
      <c r="V45" s="1355" t="s">
        <v>186</v>
      </c>
      <c r="W45" s="1355"/>
      <c r="X45" s="1356" t="str">
        <f>E49</f>
        <v>赤贫</v>
      </c>
      <c r="Y45" s="1356"/>
      <c r="Z45" s="1356"/>
      <c r="AA45" s="1356"/>
      <c r="AB45" s="1356"/>
      <c r="AC45" s="1357"/>
      <c r="AE45" s="1210"/>
      <c r="AF45" s="1282" t="s">
        <v>187</v>
      </c>
      <c r="AG45" s="1262"/>
      <c r="AH45" s="1261"/>
      <c r="AI45" s="1261"/>
      <c r="AJ45" s="1282" t="s">
        <v>188</v>
      </c>
      <c r="AK45" s="1262"/>
      <c r="AL45" s="1261" t="str">
        <f>IFERROR(职业计算表!G3,"")</f>
        <v>中甲</v>
      </c>
      <c r="AM45" s="1358"/>
      <c r="AN45" s="1359"/>
      <c r="AO45" s="1360"/>
      <c r="AP45" s="1361"/>
      <c r="AQ45" s="1361"/>
      <c r="AR45" s="1361"/>
      <c r="AS45" s="1361"/>
      <c r="AT45" s="1361"/>
      <c r="AU45" s="1361"/>
      <c r="AV45" s="1361"/>
      <c r="AW45" s="1361"/>
      <c r="AX45" s="1361"/>
      <c r="AY45" s="1361"/>
      <c r="AZ45" s="1361"/>
      <c r="BA45" s="1361"/>
    </row>
    <row r="46" customHeight="1" spans="2:53">
      <c r="B46" s="1362"/>
      <c r="C46" s="1363" t="s">
        <v>189</v>
      </c>
      <c r="D46" s="1363"/>
      <c r="E46" s="1364"/>
      <c r="F46" s="1365"/>
      <c r="G46" s="1366"/>
      <c r="H46" s="1367" t="s">
        <v>190</v>
      </c>
      <c r="I46" s="1368"/>
      <c r="J46" s="1369"/>
      <c r="K46" s="1369"/>
      <c r="L46" s="1369"/>
      <c r="M46" s="1369"/>
      <c r="N46" s="1369"/>
      <c r="O46" s="1369"/>
      <c r="P46" s="1369"/>
      <c r="Q46" s="1369"/>
      <c r="R46" s="1369"/>
      <c r="S46" s="1369"/>
      <c r="T46" s="1369"/>
      <c r="U46" s="1369"/>
      <c r="V46" s="1370" t="s">
        <v>191</v>
      </c>
      <c r="W46" s="1371"/>
      <c r="X46" s="1371"/>
      <c r="Y46" s="1371"/>
      <c r="Z46" s="1371"/>
      <c r="AA46" s="1371"/>
      <c r="AB46" s="1371"/>
      <c r="AC46" s="1372"/>
      <c r="AE46" s="1210"/>
      <c r="AF46" s="1373" t="s">
        <v>87</v>
      </c>
      <c r="AG46" s="1373"/>
      <c r="AH46" s="1374" t="str">
        <f>IFERROR(职业计算表!L2,"")</f>
        <v/>
      </c>
      <c r="AI46" s="1374"/>
      <c r="AJ46" s="1375" t="s">
        <v>90</v>
      </c>
      <c r="AK46" s="1375"/>
      <c r="AL46" s="1374" t="str">
        <f>IFERROR(职业计算表!N2,"")</f>
        <v/>
      </c>
      <c r="AM46" s="1376"/>
      <c r="AN46" s="1359"/>
      <c r="AO46" s="1377" t="s">
        <v>152</v>
      </c>
      <c r="AP46" s="1378" t="str">
        <f>IFERROR(VLOOKUP(AP44,配件及消耗品!$A$39:$C$49,3,0),"")</f>
        <v/>
      </c>
      <c r="AQ46" s="1378"/>
      <c r="AR46" s="1378"/>
      <c r="AS46" s="1378" t="str">
        <f>IFERROR(VLOOKUP(AS44,配件及消耗品!$A$39:$C$49,3,0),"")</f>
        <v/>
      </c>
      <c r="AT46" s="1378"/>
      <c r="AU46" s="1378"/>
      <c r="AV46" s="1378" t="str">
        <f>IFERROR(VLOOKUP(AV44,配件及消耗品!$A$39:$C$49,3,0),"")</f>
        <v/>
      </c>
      <c r="AW46" s="1378"/>
      <c r="AX46" s="1378"/>
      <c r="AY46" s="1378" t="str">
        <f>IFERROR(VLOOKUP(AY44,配件及消耗品!$A$39:$C$49,3,0),"")</f>
        <v/>
      </c>
      <c r="AZ46" s="1378"/>
      <c r="BA46" s="1378"/>
    </row>
    <row r="47" customHeight="1" spans="2:53">
      <c r="B47" s="1362"/>
      <c r="C47" s="1379" t="str">
        <f>_xlfn.DISPIMG("ID_4914E1D0AB40469A9DE49DBBA770FF55",1)</f>
        <v>=DISPIMG("ID_4914E1D0AB40469A9DE49DBBA770FF55",1)</v>
      </c>
      <c r="D47" s="1380"/>
      <c r="E47" s="1379" t="s">
        <v>192</v>
      </c>
      <c r="F47" s="1380"/>
      <c r="G47" s="1366"/>
      <c r="H47" s="1367"/>
      <c r="I47" s="1368"/>
      <c r="J47" s="1369"/>
      <c r="K47" s="1369"/>
      <c r="L47" s="1369"/>
      <c r="M47" s="1369"/>
      <c r="N47" s="1369"/>
      <c r="O47" s="1369"/>
      <c r="P47" s="1369"/>
      <c r="Q47" s="1369"/>
      <c r="R47" s="1369"/>
      <c r="S47" s="1369"/>
      <c r="T47" s="1369"/>
      <c r="U47" s="1369"/>
      <c r="V47" s="1370"/>
      <c r="W47" s="1371"/>
      <c r="X47" s="1371"/>
      <c r="Y47" s="1371"/>
      <c r="Z47" s="1371"/>
      <c r="AA47" s="1371"/>
      <c r="AB47" s="1371"/>
      <c r="AC47" s="1372"/>
      <c r="AE47" s="1210"/>
      <c r="AF47" s="1301" t="s">
        <v>193</v>
      </c>
      <c r="AG47" s="1302"/>
      <c r="AH47" s="1381"/>
      <c r="AI47" s="1382"/>
      <c r="AJ47" s="1382"/>
      <c r="AK47" s="1382"/>
      <c r="AL47" s="1382"/>
      <c r="AM47" s="1382"/>
      <c r="AN47" s="1359"/>
      <c r="AO47" s="1377"/>
      <c r="AP47" s="1378"/>
      <c r="AQ47" s="1378"/>
      <c r="AR47" s="1378"/>
      <c r="AS47" s="1378"/>
      <c r="AT47" s="1378"/>
      <c r="AU47" s="1378"/>
      <c r="AV47" s="1378"/>
      <c r="AW47" s="1378"/>
      <c r="AX47" s="1378"/>
      <c r="AY47" s="1378"/>
      <c r="AZ47" s="1378"/>
      <c r="BA47" s="1378"/>
    </row>
    <row r="48" customHeight="1" spans="2:53">
      <c r="B48" s="1362"/>
      <c r="C48" s="1363" t="s">
        <v>13</v>
      </c>
      <c r="D48" s="1363"/>
      <c r="E48" s="1364">
        <f>E45+E46+SUM(J45:U45)</f>
        <v>0</v>
      </c>
      <c r="F48" s="1365"/>
      <c r="G48" s="1366"/>
      <c r="H48" s="1367"/>
      <c r="I48" s="1368"/>
      <c r="J48" s="1369"/>
      <c r="K48" s="1369"/>
      <c r="L48" s="1369"/>
      <c r="M48" s="1369"/>
      <c r="N48" s="1369"/>
      <c r="O48" s="1369"/>
      <c r="P48" s="1369"/>
      <c r="Q48" s="1369"/>
      <c r="R48" s="1369"/>
      <c r="S48" s="1369"/>
      <c r="T48" s="1369"/>
      <c r="U48" s="1369"/>
      <c r="V48" s="1370"/>
      <c r="W48" s="1371"/>
      <c r="X48" s="1371"/>
      <c r="Y48" s="1371"/>
      <c r="Z48" s="1371"/>
      <c r="AA48" s="1371"/>
      <c r="AB48" s="1371"/>
      <c r="AC48" s="1372"/>
      <c r="AE48" s="1210"/>
      <c r="AF48" s="1328"/>
      <c r="AG48" s="1329"/>
      <c r="AH48" s="1383"/>
      <c r="AI48" s="1384"/>
      <c r="AJ48" s="1384"/>
      <c r="AK48" s="1384"/>
      <c r="AL48" s="1384"/>
      <c r="AM48" s="1385"/>
      <c r="AN48" s="1359"/>
      <c r="AO48" s="1377"/>
      <c r="AP48" s="1378"/>
      <c r="AQ48" s="1378"/>
      <c r="AR48" s="1378"/>
      <c r="AS48" s="1378"/>
      <c r="AT48" s="1378"/>
      <c r="AU48" s="1378"/>
      <c r="AV48" s="1378"/>
      <c r="AW48" s="1378"/>
      <c r="AX48" s="1378"/>
      <c r="AY48" s="1378"/>
      <c r="AZ48" s="1378"/>
      <c r="BA48" s="1378"/>
    </row>
    <row r="49" customHeight="1" spans="2:53">
      <c r="B49" s="1386"/>
      <c r="C49" s="1387" t="s">
        <v>194</v>
      </c>
      <c r="D49" s="1387"/>
      <c r="E49" s="1388" t="str" cm="1">
        <f t="array" ref="E49">_xlfn.IFS(E48&lt;10,"赤贫",E48&lt;20,"温饱",E48&lt;40,"小康",E48&lt;60,"宽裕",E48&lt;80,"富有",E48&lt;100,"财阀")</f>
        <v>赤贫</v>
      </c>
      <c r="F49" s="1389"/>
      <c r="G49" s="1390"/>
      <c r="H49" s="1391"/>
      <c r="I49" s="1392"/>
      <c r="J49" s="1393"/>
      <c r="K49" s="1393"/>
      <c r="L49" s="1393"/>
      <c r="M49" s="1393"/>
      <c r="N49" s="1393"/>
      <c r="O49" s="1393"/>
      <c r="P49" s="1393"/>
      <c r="Q49" s="1393"/>
      <c r="R49" s="1393"/>
      <c r="S49" s="1393"/>
      <c r="T49" s="1393"/>
      <c r="U49" s="1393"/>
      <c r="V49" s="1394"/>
      <c r="W49" s="1371"/>
      <c r="X49" s="1371"/>
      <c r="Y49" s="1371"/>
      <c r="Z49" s="1371"/>
      <c r="AA49" s="1371"/>
      <c r="AB49" s="1371"/>
      <c r="AC49" s="1372"/>
      <c r="AE49" s="1210"/>
      <c r="AF49" s="1328"/>
      <c r="AG49" s="1329"/>
      <c r="AH49" s="1395"/>
      <c r="AI49" s="1396"/>
      <c r="AJ49" s="1396"/>
      <c r="AK49" s="1396"/>
      <c r="AL49" s="1396"/>
      <c r="AM49" s="1396"/>
      <c r="AN49" s="1397"/>
      <c r="AO49" s="1398"/>
      <c r="AP49" s="1399"/>
      <c r="AQ49" s="1399"/>
      <c r="AR49" s="1399"/>
      <c r="AS49" s="1399"/>
      <c r="AT49" s="1399"/>
      <c r="AU49" s="1399"/>
      <c r="AV49" s="1399"/>
      <c r="AW49" s="1399"/>
      <c r="AX49" s="1399"/>
      <c r="AY49" s="1399"/>
      <c r="AZ49" s="1399"/>
      <c r="BA49" s="1399"/>
    </row>
    <row r="50" customHeight="1" spans="2:53">
      <c r="B50" s="1400" t="s">
        <v>195</v>
      </c>
      <c r="C50" s="1401" t="s">
        <v>196</v>
      </c>
      <c r="D50" s="1402"/>
      <c r="E50" s="1283">
        <v>10</v>
      </c>
      <c r="F50" s="1403"/>
      <c r="G50" s="1404" t="s">
        <v>197</v>
      </c>
      <c r="H50" s="1405" t="s">
        <v>185</v>
      </c>
      <c r="I50" s="1406"/>
      <c r="J50" s="1407"/>
      <c r="K50" s="1407"/>
      <c r="L50" s="1407"/>
      <c r="M50" s="1407"/>
      <c r="N50" s="1407"/>
      <c r="O50" s="1407"/>
      <c r="P50" s="1407"/>
      <c r="Q50" s="1407"/>
      <c r="R50" s="1407"/>
      <c r="S50" s="1407"/>
      <c r="T50" s="1407"/>
      <c r="U50" s="1407"/>
      <c r="V50" s="1407"/>
      <c r="W50" s="1407"/>
      <c r="X50" s="1407"/>
      <c r="Y50" s="1407"/>
      <c r="Z50" s="1407"/>
      <c r="AA50" s="1407"/>
      <c r="AB50" s="1407"/>
      <c r="AC50" s="1408"/>
      <c r="AE50" s="1409" t="s">
        <v>198</v>
      </c>
      <c r="AF50" s="1410" t="s">
        <v>145</v>
      </c>
      <c r="AG50" s="1411"/>
      <c r="AH50" s="1412" t="s">
        <v>199</v>
      </c>
      <c r="AI50" s="1413"/>
      <c r="AJ50" s="1413"/>
      <c r="AK50" s="1413"/>
      <c r="AL50" s="1413"/>
      <c r="AM50" s="1413"/>
      <c r="AN50" s="1414" t="s">
        <v>200</v>
      </c>
      <c r="AO50" s="1415"/>
      <c r="AP50" s="1416"/>
      <c r="AQ50" s="1417" t="str">
        <f>IFERROR(VLOOKUP(AO50,配件及消耗品!$E$13:$F$21,2,0),"")</f>
        <v/>
      </c>
      <c r="AR50" s="994"/>
      <c r="AS50" s="994"/>
      <c r="AT50" s="994"/>
      <c r="AU50" s="994"/>
      <c r="AV50" s="994"/>
      <c r="AW50" s="994"/>
      <c r="AX50" s="994"/>
      <c r="AY50" s="994"/>
      <c r="AZ50" s="994"/>
      <c r="BA50" s="1418"/>
    </row>
    <row r="51" customHeight="1" spans="2:53">
      <c r="B51" s="1419"/>
      <c r="C51" s="1420" t="s">
        <v>189</v>
      </c>
      <c r="D51" s="1420"/>
      <c r="E51" s="1364"/>
      <c r="F51" s="1365"/>
      <c r="G51" s="1421"/>
      <c r="H51" s="1422" t="s">
        <v>190</v>
      </c>
      <c r="I51" s="1422"/>
      <c r="J51" s="1369"/>
      <c r="K51" s="1369"/>
      <c r="L51" s="1369"/>
      <c r="M51" s="1369"/>
      <c r="N51" s="1369"/>
      <c r="O51" s="1369"/>
      <c r="P51" s="1369"/>
      <c r="Q51" s="1369"/>
      <c r="R51" s="1369"/>
      <c r="S51" s="1369"/>
      <c r="T51" s="1369"/>
      <c r="U51" s="1369"/>
      <c r="V51" s="1369"/>
      <c r="W51" s="1369"/>
      <c r="X51" s="1369"/>
      <c r="Y51" s="1369"/>
      <c r="Z51" s="1369"/>
      <c r="AA51" s="1369"/>
      <c r="AB51" s="1369"/>
      <c r="AC51" s="1423"/>
      <c r="AE51" s="1210"/>
      <c r="AF51" s="1415"/>
      <c r="AG51" s="1416"/>
      <c r="AH51" s="1417" t="str">
        <f>IFERROR(VLOOKUP(AF51,配件及消耗品!$E$2:$F$11,2,0),"")</f>
        <v/>
      </c>
      <c r="AI51" s="994"/>
      <c r="AJ51" s="994"/>
      <c r="AK51" s="994"/>
      <c r="AL51" s="994"/>
      <c r="AM51" s="994"/>
      <c r="AN51" s="1424"/>
      <c r="AO51" s="1425"/>
      <c r="AP51" s="1426"/>
      <c r="AQ51" s="1427"/>
      <c r="AR51" s="1428"/>
      <c r="AS51" s="1428"/>
      <c r="AT51" s="1428"/>
      <c r="AU51" s="1428"/>
      <c r="AV51" s="1428"/>
      <c r="AW51" s="1428"/>
      <c r="AX51" s="1428"/>
      <c r="AY51" s="1428"/>
      <c r="AZ51" s="1428"/>
      <c r="BA51" s="1429"/>
    </row>
    <row r="52" customHeight="1" spans="2:53">
      <c r="B52" s="1419"/>
      <c r="C52" s="1430" t="str">
        <f>_xlfn.DISPIMG("ID_16CED466236143CDABFFF99FF95D7272",1)</f>
        <v>=DISPIMG("ID_16CED466236143CDABFFF99FF95D7272",1)</v>
      </c>
      <c r="D52" s="1431"/>
      <c r="E52" s="1430" t="s">
        <v>192</v>
      </c>
      <c r="F52" s="1431"/>
      <c r="G52" s="1421"/>
      <c r="H52" s="1422"/>
      <c r="I52" s="1422"/>
      <c r="J52" s="1369"/>
      <c r="K52" s="1369"/>
      <c r="L52" s="1369"/>
      <c r="M52" s="1369"/>
      <c r="N52" s="1369"/>
      <c r="O52" s="1369"/>
      <c r="P52" s="1369"/>
      <c r="Q52" s="1369"/>
      <c r="R52" s="1369"/>
      <c r="S52" s="1369"/>
      <c r="T52" s="1369"/>
      <c r="U52" s="1369"/>
      <c r="V52" s="1369"/>
      <c r="W52" s="1369"/>
      <c r="X52" s="1369"/>
      <c r="Y52" s="1369"/>
      <c r="Z52" s="1369"/>
      <c r="AA52" s="1369"/>
      <c r="AB52" s="1369"/>
      <c r="AC52" s="1423"/>
      <c r="AE52" s="1210"/>
      <c r="AF52" s="1432"/>
      <c r="AG52" s="1433"/>
      <c r="AH52" s="1434"/>
      <c r="AI52" s="1287"/>
      <c r="AJ52" s="1287"/>
      <c r="AK52" s="1287"/>
      <c r="AL52" s="1287"/>
      <c r="AM52" s="1287"/>
      <c r="AN52" s="1424"/>
      <c r="AO52" s="1415"/>
      <c r="AP52" s="1416"/>
      <c r="AQ52" s="1417" t="str">
        <f>IFERROR(VLOOKUP(AO52,配件及消耗品!$E$13:$F$21,2,0),"")</f>
        <v/>
      </c>
      <c r="AR52" s="994"/>
      <c r="AS52" s="994"/>
      <c r="AT52" s="994"/>
      <c r="AU52" s="994"/>
      <c r="AV52" s="994"/>
      <c r="AW52" s="994"/>
      <c r="AX52" s="994"/>
      <c r="AY52" s="994"/>
      <c r="AZ52" s="994"/>
      <c r="BA52" s="1418"/>
    </row>
    <row r="53" customHeight="1" spans="2:53">
      <c r="B53" s="1435"/>
      <c r="C53" s="1436" t="s">
        <v>201</v>
      </c>
      <c r="D53" s="1436"/>
      <c r="E53" s="1437">
        <f>E50+E51+SUM(J50:AC50)</f>
        <v>10</v>
      </c>
      <c r="F53" s="1438"/>
      <c r="G53" s="1439"/>
      <c r="H53" s="1440"/>
      <c r="I53" s="1440"/>
      <c r="J53" s="1393"/>
      <c r="K53" s="1393"/>
      <c r="L53" s="1393"/>
      <c r="M53" s="1393"/>
      <c r="N53" s="1393"/>
      <c r="O53" s="1393"/>
      <c r="P53" s="1393"/>
      <c r="Q53" s="1393"/>
      <c r="R53" s="1393"/>
      <c r="S53" s="1393"/>
      <c r="T53" s="1393"/>
      <c r="U53" s="1393"/>
      <c r="V53" s="1393"/>
      <c r="W53" s="1393"/>
      <c r="X53" s="1393"/>
      <c r="Y53" s="1393"/>
      <c r="Z53" s="1393"/>
      <c r="AA53" s="1393"/>
      <c r="AB53" s="1393"/>
      <c r="AC53" s="1441"/>
      <c r="AE53" s="1210"/>
      <c r="AF53" s="1415"/>
      <c r="AG53" s="1416"/>
      <c r="AH53" s="1417" t="str">
        <f>IFERROR(VLOOKUP(AF53,配件及消耗品!$E$2:$F$11,2,0),"")</f>
        <v/>
      </c>
      <c r="AI53" s="994"/>
      <c r="AJ53" s="994"/>
      <c r="AK53" s="994"/>
      <c r="AL53" s="994"/>
      <c r="AM53" s="994"/>
      <c r="AN53" s="1424"/>
      <c r="AO53" s="1425"/>
      <c r="AP53" s="1426"/>
      <c r="AQ53" s="1427"/>
      <c r="AR53" s="1428"/>
      <c r="AS53" s="1428"/>
      <c r="AT53" s="1428"/>
      <c r="AU53" s="1428"/>
      <c r="AV53" s="1428"/>
      <c r="AW53" s="1428"/>
      <c r="AX53" s="1428"/>
      <c r="AY53" s="1428"/>
      <c r="AZ53" s="1428"/>
      <c r="BA53" s="1429"/>
    </row>
    <row r="54" customHeight="1" spans="2:53">
      <c r="B54" s="1442" t="s">
        <v>202</v>
      </c>
      <c r="C54" s="1443" t="s">
        <v>203</v>
      </c>
      <c r="D54" s="1443"/>
      <c r="E54" s="1444"/>
      <c r="F54" s="1283"/>
      <c r="G54" s="1445" t="s">
        <v>204</v>
      </c>
      <c r="H54" s="1446" t="s">
        <v>205</v>
      </c>
      <c r="I54" s="1446"/>
      <c r="J54" s="1447"/>
      <c r="K54" s="1447"/>
      <c r="L54" s="1447"/>
      <c r="M54" s="1447"/>
      <c r="N54" s="1447"/>
      <c r="O54" s="1447"/>
      <c r="P54" s="1447"/>
      <c r="Q54" s="1447"/>
      <c r="R54" s="1447"/>
      <c r="S54" s="1447"/>
      <c r="T54" s="1448" t="s">
        <v>206</v>
      </c>
      <c r="U54" s="1449"/>
      <c r="V54" s="1450"/>
      <c r="W54" s="1450"/>
      <c r="X54" s="1450"/>
      <c r="Y54" s="1450"/>
      <c r="Z54" s="1450"/>
      <c r="AA54" s="1450"/>
      <c r="AB54" s="1450"/>
      <c r="AC54" s="1451"/>
      <c r="AE54" s="1210"/>
      <c r="AF54" s="1432"/>
      <c r="AG54" s="1433"/>
      <c r="AH54" s="1434"/>
      <c r="AI54" s="1287"/>
      <c r="AJ54" s="1287"/>
      <c r="AK54" s="1287"/>
      <c r="AL54" s="1287"/>
      <c r="AM54" s="1287"/>
      <c r="AN54" s="1424"/>
      <c r="AO54" s="1415"/>
      <c r="AP54" s="1416"/>
      <c r="AQ54" s="1417" t="str">
        <f>IFERROR(VLOOKUP(AO54,配件及消耗品!$E$13:$F$21,2,0),"")</f>
        <v/>
      </c>
      <c r="AR54" s="994"/>
      <c r="AS54" s="994"/>
      <c r="AT54" s="994"/>
      <c r="AU54" s="994"/>
      <c r="AV54" s="994"/>
      <c r="AW54" s="994"/>
      <c r="AX54" s="994"/>
      <c r="AY54" s="994"/>
      <c r="AZ54" s="994"/>
      <c r="BA54" s="1418"/>
    </row>
    <row r="55" customHeight="1" spans="2:53">
      <c r="B55" s="1452"/>
      <c r="C55" s="1443" t="s">
        <v>189</v>
      </c>
      <c r="D55" s="1443"/>
      <c r="E55" s="1272">
        <f>特质表!I208</f>
        <v>0</v>
      </c>
      <c r="F55" s="1076"/>
      <c r="G55" s="1453"/>
      <c r="H55" s="1454" t="s">
        <v>207</v>
      </c>
      <c r="I55" s="1454"/>
      <c r="J55" s="1455"/>
      <c r="K55" s="1455"/>
      <c r="L55" s="1455"/>
      <c r="M55" s="1455"/>
      <c r="N55" s="1455"/>
      <c r="O55" s="1455"/>
      <c r="P55" s="1455"/>
      <c r="Q55" s="1455"/>
      <c r="R55" s="1455"/>
      <c r="S55" s="1455"/>
      <c r="T55" s="1456"/>
      <c r="U55" s="1457"/>
      <c r="V55" s="1458"/>
      <c r="W55" s="1458"/>
      <c r="X55" s="1458"/>
      <c r="Y55" s="1458"/>
      <c r="Z55" s="1458"/>
      <c r="AA55" s="1458"/>
      <c r="AB55" s="1458"/>
      <c r="AC55" s="1459"/>
      <c r="AE55" s="1210"/>
      <c r="AF55" s="1415"/>
      <c r="AG55" s="1416"/>
      <c r="AH55" s="1417" t="str">
        <f>IFERROR(VLOOKUP(AF55,配件及消耗品!$E$2:$F$11,2,0),"")</f>
        <v/>
      </c>
      <c r="AI55" s="994"/>
      <c r="AJ55" s="994"/>
      <c r="AK55" s="994"/>
      <c r="AL55" s="994"/>
      <c r="AM55" s="994"/>
      <c r="AN55" s="1424"/>
      <c r="AO55" s="1425"/>
      <c r="AP55" s="1426"/>
      <c r="AQ55" s="1427"/>
      <c r="AR55" s="1428"/>
      <c r="AS55" s="1428"/>
      <c r="AT55" s="1428"/>
      <c r="AU55" s="1428"/>
      <c r="AV55" s="1428"/>
      <c r="AW55" s="1428"/>
      <c r="AX55" s="1428"/>
      <c r="AY55" s="1428"/>
      <c r="AZ55" s="1428"/>
      <c r="BA55" s="1429"/>
    </row>
    <row r="56" customHeight="1" spans="2:53">
      <c r="B56" s="1460"/>
      <c r="C56" s="1461" t="s">
        <v>208</v>
      </c>
      <c r="D56" s="1461"/>
      <c r="E56" s="1462">
        <f>E54+E55-SUM(J56:S56,E57)</f>
        <v>0</v>
      </c>
      <c r="F56" s="1463"/>
      <c r="G56" s="1464"/>
      <c r="H56" s="1465" t="s">
        <v>209</v>
      </c>
      <c r="I56" s="1465"/>
      <c r="J56" s="1466"/>
      <c r="K56" s="1466"/>
      <c r="L56" s="1466"/>
      <c r="M56" s="1466"/>
      <c r="N56" s="1466"/>
      <c r="O56" s="1466"/>
      <c r="P56" s="1466"/>
      <c r="Q56" s="1466"/>
      <c r="R56" s="1466"/>
      <c r="S56" s="1466"/>
      <c r="T56" s="1467"/>
      <c r="U56" s="1468"/>
      <c r="V56" s="1469"/>
      <c r="W56" s="1469"/>
      <c r="X56" s="1469"/>
      <c r="Y56" s="1469"/>
      <c r="Z56" s="1469"/>
      <c r="AA56" s="1469"/>
      <c r="AB56" s="1469"/>
      <c r="AC56" s="1470"/>
      <c r="AE56" s="1210"/>
      <c r="AF56" s="1432"/>
      <c r="AG56" s="1433"/>
      <c r="AH56" s="1434"/>
      <c r="AI56" s="1287"/>
      <c r="AJ56" s="1287"/>
      <c r="AK56" s="1287"/>
      <c r="AL56" s="1287"/>
      <c r="AM56" s="1287"/>
      <c r="AN56" s="1424"/>
      <c r="AO56" s="1415"/>
      <c r="AP56" s="1416"/>
      <c r="AQ56" s="1417" t="str">
        <f>IFERROR(VLOOKUP(AO56,配件及消耗品!$E$13:$F$21,2,0),"")</f>
        <v/>
      </c>
      <c r="AR56" s="994"/>
      <c r="AS56" s="994"/>
      <c r="AT56" s="994"/>
      <c r="AU56" s="994"/>
      <c r="AV56" s="994"/>
      <c r="AW56" s="994"/>
      <c r="AX56" s="994"/>
      <c r="AY56" s="994"/>
      <c r="AZ56" s="994"/>
      <c r="BA56" s="1418"/>
    </row>
    <row r="57" customHeight="1" spans="2:53">
      <c r="B57" s="1471" t="s">
        <v>210</v>
      </c>
      <c r="C57" s="1472" t="s">
        <v>211</v>
      </c>
      <c r="D57" s="1473"/>
      <c r="E57" s="1474"/>
      <c r="F57" s="1475"/>
      <c r="G57" s="1476" t="s">
        <v>212</v>
      </c>
      <c r="H57" s="1477" t="s">
        <v>145</v>
      </c>
      <c r="I57" s="1477"/>
      <c r="J57" s="1478"/>
      <c r="K57" s="1478"/>
      <c r="L57" s="1478"/>
      <c r="M57" s="1478"/>
      <c r="N57" s="1478"/>
      <c r="O57" s="1478"/>
      <c r="P57" s="1478"/>
      <c r="Q57" s="1478"/>
      <c r="R57" s="1478"/>
      <c r="S57" s="1478"/>
      <c r="T57" s="1478"/>
      <c r="U57" s="1478"/>
      <c r="V57" s="1478"/>
      <c r="W57" s="1478"/>
      <c r="X57" s="1478"/>
      <c r="Y57" s="1478"/>
      <c r="Z57" s="1478"/>
      <c r="AA57" s="1478"/>
      <c r="AB57" s="1478"/>
      <c r="AC57" s="1479"/>
      <c r="AE57" s="1210"/>
      <c r="AF57" s="1415"/>
      <c r="AG57" s="1416"/>
      <c r="AH57" s="1417" t="str">
        <f>IFERROR(VLOOKUP(AF57,配件及消耗品!$E$2:$F$11,2,0),"")</f>
        <v/>
      </c>
      <c r="AI57" s="994"/>
      <c r="AJ57" s="994"/>
      <c r="AK57" s="994"/>
      <c r="AL57" s="994"/>
      <c r="AM57" s="994"/>
      <c r="AN57" s="1424"/>
      <c r="AO57" s="1425"/>
      <c r="AP57" s="1426"/>
      <c r="AQ57" s="1427"/>
      <c r="AR57" s="1428"/>
      <c r="AS57" s="1428"/>
      <c r="AT57" s="1428"/>
      <c r="AU57" s="1428"/>
      <c r="AV57" s="1428"/>
      <c r="AW57" s="1428"/>
      <c r="AX57" s="1428"/>
      <c r="AY57" s="1428"/>
      <c r="AZ57" s="1428"/>
      <c r="BA57" s="1429"/>
    </row>
    <row r="58" customHeight="1" spans="2:53">
      <c r="B58" s="1471"/>
      <c r="C58" s="1480" t="s">
        <v>189</v>
      </c>
      <c r="D58" s="1481"/>
      <c r="E58" s="1365">
        <f>E55</f>
        <v>0</v>
      </c>
      <c r="F58" s="1482"/>
      <c r="G58" s="1476"/>
      <c r="H58" s="1483" t="s">
        <v>213</v>
      </c>
      <c r="I58" s="1483"/>
      <c r="J58" s="1484"/>
      <c r="K58" s="1484"/>
      <c r="L58" s="1484"/>
      <c r="M58" s="1484"/>
      <c r="N58" s="1484"/>
      <c r="O58" s="1484"/>
      <c r="P58" s="1484"/>
      <c r="Q58" s="1484"/>
      <c r="R58" s="1484"/>
      <c r="S58" s="1484"/>
      <c r="T58" s="1484"/>
      <c r="U58" s="1484"/>
      <c r="V58" s="1484"/>
      <c r="W58" s="1484"/>
      <c r="X58" s="1484"/>
      <c r="Y58" s="1484"/>
      <c r="Z58" s="1484"/>
      <c r="AA58" s="1484"/>
      <c r="AB58" s="1484"/>
      <c r="AC58" s="1485"/>
      <c r="AE58" s="1210"/>
      <c r="AF58" s="1432"/>
      <c r="AG58" s="1433"/>
      <c r="AH58" s="1434"/>
      <c r="AI58" s="1287"/>
      <c r="AJ58" s="1287"/>
      <c r="AK58" s="1287"/>
      <c r="AL58" s="1287"/>
      <c r="AM58" s="1287"/>
      <c r="AN58" s="1486" t="s">
        <v>214</v>
      </c>
      <c r="AO58" s="1413" t="s">
        <v>145</v>
      </c>
      <c r="AP58" s="1410"/>
      <c r="AQ58" s="1412" t="s">
        <v>215</v>
      </c>
      <c r="AR58" s="1410"/>
      <c r="AS58" s="1412" t="s">
        <v>87</v>
      </c>
      <c r="AT58" s="1410"/>
      <c r="AU58" s="1412" t="s">
        <v>90</v>
      </c>
      <c r="AV58" s="1410"/>
      <c r="AW58" s="1412" t="s">
        <v>187</v>
      </c>
      <c r="AX58" s="1410"/>
      <c r="AY58" s="1412" t="s">
        <v>216</v>
      </c>
      <c r="AZ58" s="1413"/>
      <c r="BA58" s="1487"/>
    </row>
    <row r="59" customHeight="1" spans="2:53">
      <c r="B59" s="1471"/>
      <c r="C59" s="1488" t="str">
        <f>_xlfn.DISPIMG("ID_B113DAA28B114FE2A26845A0B845A902",1)</f>
        <v>=DISPIMG("ID_B113DAA28B114FE2A26845A0B845A902",1)</v>
      </c>
      <c r="D59" s="1489"/>
      <c r="E59" s="1488" t="s">
        <v>192</v>
      </c>
      <c r="F59" s="1489"/>
      <c r="G59" s="1476"/>
      <c r="H59" s="1483" t="s">
        <v>217</v>
      </c>
      <c r="I59" s="1483"/>
      <c r="J59" s="1484"/>
      <c r="K59" s="1484"/>
      <c r="L59" s="1484"/>
      <c r="M59" s="1484"/>
      <c r="N59" s="1484"/>
      <c r="O59" s="1484"/>
      <c r="P59" s="1484"/>
      <c r="Q59" s="1484"/>
      <c r="R59" s="1484"/>
      <c r="S59" s="1484"/>
      <c r="T59" s="1484"/>
      <c r="U59" s="1484"/>
      <c r="V59" s="1484"/>
      <c r="W59" s="1484"/>
      <c r="X59" s="1484"/>
      <c r="Y59" s="1484"/>
      <c r="Z59" s="1484"/>
      <c r="AA59" s="1484"/>
      <c r="AB59" s="1484"/>
      <c r="AC59" s="1485"/>
      <c r="AE59" s="1210"/>
      <c r="AF59" s="1415"/>
      <c r="AG59" s="1416"/>
      <c r="AH59" s="1417" t="str">
        <f>IFERROR(VLOOKUP(AF59,配件及消耗品!$E$2:$F$11,2,0),"")</f>
        <v/>
      </c>
      <c r="AI59" s="994"/>
      <c r="AJ59" s="994"/>
      <c r="AK59" s="994"/>
      <c r="AL59" s="994"/>
      <c r="AM59" s="994"/>
      <c r="AN59" s="1424"/>
      <c r="AO59" s="1432"/>
      <c r="AP59" s="1433"/>
      <c r="AQ59" s="1490"/>
      <c r="AR59" s="1491"/>
      <c r="AS59" s="1490"/>
      <c r="AT59" s="1491"/>
      <c r="AU59" s="1490"/>
      <c r="AV59" s="1491"/>
      <c r="AW59" s="1490"/>
      <c r="AX59" s="1491"/>
      <c r="AY59" s="1492"/>
      <c r="AZ59" s="1492"/>
      <c r="BA59" s="1493"/>
    </row>
    <row r="60" customHeight="1" spans="2:53">
      <c r="B60" s="1494"/>
      <c r="C60" s="1495" t="s">
        <v>208</v>
      </c>
      <c r="D60" s="1496"/>
      <c r="E60" s="1497">
        <f>E56</f>
        <v>0</v>
      </c>
      <c r="F60" s="1498"/>
      <c r="G60" s="1499"/>
      <c r="H60" s="1500"/>
      <c r="I60" s="1500"/>
      <c r="J60" s="1501"/>
      <c r="K60" s="1501"/>
      <c r="L60" s="1501"/>
      <c r="M60" s="1501"/>
      <c r="N60" s="1501"/>
      <c r="O60" s="1501"/>
      <c r="P60" s="1501"/>
      <c r="Q60" s="1501"/>
      <c r="R60" s="1501"/>
      <c r="S60" s="1501"/>
      <c r="T60" s="1501"/>
      <c r="U60" s="1501"/>
      <c r="V60" s="1501"/>
      <c r="W60" s="1501"/>
      <c r="X60" s="1501"/>
      <c r="Y60" s="1501"/>
      <c r="Z60" s="1501"/>
      <c r="AA60" s="1501"/>
      <c r="AB60" s="1501"/>
      <c r="AC60" s="1502"/>
      <c r="AE60" s="1503"/>
      <c r="AF60" s="1432"/>
      <c r="AG60" s="1433"/>
      <c r="AH60" s="1434"/>
      <c r="AI60" s="1287"/>
      <c r="AJ60" s="1287"/>
      <c r="AK60" s="1287"/>
      <c r="AL60" s="1287"/>
      <c r="AM60" s="1287"/>
      <c r="AN60" s="1504"/>
      <c r="AO60" s="1505"/>
      <c r="AP60" s="1506"/>
      <c r="AQ60" s="1507"/>
      <c r="AR60" s="1508"/>
      <c r="AS60" s="1507"/>
      <c r="AT60" s="1508"/>
      <c r="AU60" s="1507"/>
      <c r="AV60" s="1508"/>
      <c r="AW60" s="1507"/>
      <c r="AX60" s="1508"/>
      <c r="AY60" s="1509"/>
      <c r="AZ60" s="1509"/>
      <c r="BA60" s="1510"/>
    </row>
    <row r="61" customHeight="1" spans="2:53">
      <c r="B61" s="749"/>
      <c r="C61" s="749"/>
      <c r="D61" s="749"/>
      <c r="E61" s="749"/>
      <c r="F61" s="749"/>
      <c r="G61" s="749"/>
      <c r="H61" s="749"/>
      <c r="I61" s="749"/>
      <c r="J61" s="749"/>
      <c r="K61" s="749"/>
      <c r="L61" s="749"/>
      <c r="M61" s="749"/>
      <c r="N61" s="749"/>
      <c r="O61" s="749"/>
      <c r="P61" s="749"/>
      <c r="Q61" s="749"/>
      <c r="R61" s="749"/>
      <c r="S61" s="749"/>
      <c r="T61" s="749"/>
      <c r="U61" s="749"/>
      <c r="V61" s="749"/>
      <c r="W61" s="749"/>
      <c r="X61" s="749"/>
      <c r="Y61" s="749"/>
      <c r="Z61" s="749"/>
      <c r="AA61" s="749"/>
      <c r="AB61" s="749"/>
      <c r="AC61" s="749"/>
      <c r="AE61" s="749"/>
      <c r="AF61" s="749"/>
      <c r="AG61" s="749"/>
      <c r="AH61" s="749"/>
      <c r="AI61" s="749"/>
      <c r="AJ61" s="749"/>
      <c r="AK61" s="749"/>
      <c r="AL61" s="749"/>
      <c r="AM61" s="749"/>
      <c r="AN61" s="749"/>
      <c r="AO61" s="749"/>
      <c r="AP61" s="749"/>
      <c r="AQ61" s="749"/>
      <c r="AR61" s="749"/>
      <c r="AS61" s="749"/>
      <c r="AT61" s="749"/>
      <c r="AU61" s="749"/>
      <c r="AV61" s="749"/>
      <c r="AW61" s="749"/>
      <c r="AX61" s="749"/>
      <c r="AY61" s="749"/>
      <c r="AZ61" s="749"/>
      <c r="BA61" s="749"/>
    </row>
    <row r="62" customHeight="1" spans="2:53">
      <c r="B62" s="749"/>
      <c r="C62" s="749"/>
      <c r="D62" s="749"/>
      <c r="E62" s="749"/>
      <c r="F62" s="749"/>
      <c r="G62" s="749"/>
      <c r="H62" s="749"/>
      <c r="I62" s="749"/>
      <c r="J62" s="749"/>
      <c r="K62" s="749"/>
      <c r="L62" s="749"/>
      <c r="M62" s="749"/>
      <c r="N62" s="749"/>
      <c r="O62" s="749"/>
      <c r="P62" s="749"/>
      <c r="Q62" s="749"/>
      <c r="R62" s="749"/>
      <c r="S62" s="749"/>
      <c r="T62" s="749"/>
      <c r="U62" s="749"/>
      <c r="V62" s="749"/>
      <c r="W62" s="749"/>
      <c r="X62" s="749"/>
      <c r="Y62" s="749"/>
      <c r="Z62" s="749"/>
      <c r="AA62" s="749"/>
      <c r="AB62" s="749"/>
      <c r="AC62" s="749"/>
      <c r="AE62" s="1511"/>
      <c r="AF62" s="1511"/>
      <c r="AG62" s="1511"/>
      <c r="AH62" s="1511"/>
      <c r="AI62" s="1511"/>
      <c r="AJ62" s="1511"/>
      <c r="AK62" s="1511"/>
      <c r="AL62" s="1511"/>
      <c r="AM62" s="1511"/>
      <c r="AN62" s="1511"/>
      <c r="AO62" s="1511"/>
      <c r="AP62" s="1511"/>
      <c r="AQ62" s="1511"/>
      <c r="AR62" s="1511"/>
      <c r="AS62" s="1511"/>
      <c r="AT62" s="1511"/>
      <c r="AU62" s="1511"/>
      <c r="AV62" s="1511"/>
      <c r="AW62" s="1511"/>
      <c r="AX62" s="1511"/>
      <c r="AY62" s="1511"/>
      <c r="AZ62" s="1511"/>
      <c r="BA62" s="1511"/>
    </row>
    <row r="63" customHeight="1" spans="2:53">
      <c r="B63" s="1008" t="s">
        <v>218</v>
      </c>
      <c r="C63" s="1009"/>
      <c r="D63" s="1009"/>
      <c r="E63" s="1009"/>
      <c r="F63" s="1009"/>
      <c r="G63" s="1009"/>
      <c r="H63" s="1009"/>
      <c r="I63" s="1009"/>
      <c r="J63" s="1009"/>
      <c r="K63" s="1009"/>
      <c r="L63" s="1009"/>
      <c r="M63" s="1009"/>
      <c r="N63" s="1009"/>
      <c r="O63" s="1009"/>
      <c r="P63" s="1009"/>
      <c r="Q63" s="1009"/>
      <c r="R63" s="1009"/>
      <c r="S63" s="1009"/>
      <c r="T63" s="1009"/>
      <c r="U63" s="1009"/>
      <c r="V63" s="1009"/>
      <c r="W63" s="1009"/>
      <c r="X63" s="1009"/>
      <c r="Y63" s="1009"/>
      <c r="Z63" s="1009"/>
      <c r="AA63" s="1009"/>
      <c r="AB63" s="1009"/>
      <c r="AC63" s="1010"/>
      <c r="AE63" s="1512"/>
      <c r="AF63" s="1513"/>
      <c r="AG63" s="1513"/>
      <c r="AH63" s="1513"/>
      <c r="AI63" s="1513"/>
      <c r="AJ63" s="1513"/>
      <c r="AK63" s="1513"/>
      <c r="AL63" s="1514" t="s">
        <v>219</v>
      </c>
      <c r="AM63" s="1515"/>
      <c r="AN63" s="1515"/>
      <c r="AO63" s="1515"/>
      <c r="AP63" s="1515"/>
      <c r="AQ63" s="1515"/>
      <c r="AR63" s="1515"/>
      <c r="AS63" s="1515"/>
      <c r="AT63" s="1515"/>
      <c r="AU63" s="1515"/>
      <c r="AV63" s="1513"/>
      <c r="AW63" s="1513"/>
      <c r="AX63" s="1516"/>
      <c r="AY63" s="1517"/>
      <c r="AZ63" s="1518"/>
      <c r="BA63" s="1519"/>
    </row>
    <row r="64" customHeight="1" spans="2:53">
      <c r="B64" s="1520"/>
      <c r="C64" s="1521"/>
      <c r="D64" s="1521"/>
      <c r="E64" s="1521"/>
      <c r="F64" s="1521"/>
      <c r="G64" s="1521"/>
      <c r="H64" s="1521"/>
      <c r="I64" s="1521"/>
      <c r="J64" s="1521"/>
      <c r="K64" s="1521"/>
      <c r="L64" s="1521"/>
      <c r="M64" s="1521"/>
      <c r="N64" s="1521"/>
      <c r="O64" s="1521"/>
      <c r="P64" s="1521"/>
      <c r="Q64" s="1521"/>
      <c r="R64" s="1521"/>
      <c r="S64" s="1521"/>
      <c r="T64" s="1521"/>
      <c r="U64" s="1521"/>
      <c r="V64" s="1521"/>
      <c r="W64" s="1521"/>
      <c r="X64" s="1521"/>
      <c r="Y64" s="1521"/>
      <c r="Z64" s="1521"/>
      <c r="AA64" s="1521"/>
      <c r="AB64" s="1521"/>
      <c r="AC64" s="1522"/>
      <c r="AE64" s="1523"/>
      <c r="AF64" s="1524"/>
      <c r="AG64" s="1524"/>
      <c r="AH64" s="1524"/>
      <c r="AI64" s="1524"/>
      <c r="AJ64" s="1524"/>
      <c r="AK64" s="1524"/>
      <c r="AL64" s="1525"/>
      <c r="AM64" s="1525"/>
      <c r="AN64" s="1525"/>
      <c r="AO64" s="1525"/>
      <c r="AP64" s="1525"/>
      <c r="AQ64" s="1525"/>
      <c r="AR64" s="1525"/>
      <c r="AS64" s="1525"/>
      <c r="AT64" s="1525"/>
      <c r="AU64" s="1525"/>
      <c r="AV64" s="1525"/>
      <c r="AW64" s="1525"/>
      <c r="AX64" s="1526"/>
      <c r="AY64" s="1527"/>
      <c r="AZ64" s="1528"/>
      <c r="BA64" s="1529"/>
    </row>
    <row r="65" customHeight="1" spans="2:53">
      <c r="B65" s="1530" t="s">
        <v>220</v>
      </c>
      <c r="C65" s="1531" t="s">
        <v>221</v>
      </c>
      <c r="D65" s="1531"/>
      <c r="E65" s="1531"/>
      <c r="F65" s="1531"/>
      <c r="G65" s="1531"/>
      <c r="H65" s="1531"/>
      <c r="I65" s="1531"/>
      <c r="J65" s="1531"/>
      <c r="K65" s="1531"/>
      <c r="L65" s="1531"/>
      <c r="M65" s="1531"/>
      <c r="N65" s="1532"/>
      <c r="O65" s="1533" t="s">
        <v>222</v>
      </c>
      <c r="P65" s="1534"/>
      <c r="Q65" s="1534"/>
      <c r="R65" s="1534"/>
      <c r="S65" s="1534"/>
      <c r="T65" s="1302"/>
      <c r="U65" s="1535" t="s">
        <v>223</v>
      </c>
      <c r="V65" s="1536"/>
      <c r="W65" s="1536"/>
      <c r="X65" s="1536"/>
      <c r="Y65" s="1536"/>
      <c r="Z65" s="1536"/>
      <c r="AA65" s="1536"/>
      <c r="AB65" s="1536"/>
      <c r="AC65" s="1537"/>
      <c r="AE65" s="1538" t="s">
        <v>224</v>
      </c>
      <c r="AF65" s="1539"/>
      <c r="AG65" s="1540" t="s">
        <v>225</v>
      </c>
      <c r="AH65" s="1539"/>
      <c r="AI65" s="1539"/>
      <c r="AJ65" s="1539"/>
      <c r="AK65" s="1541"/>
      <c r="AL65" s="1540" t="s">
        <v>226</v>
      </c>
      <c r="AM65" s="1542"/>
      <c r="AN65" s="1542"/>
      <c r="AO65" s="1543"/>
      <c r="AP65" s="1538" t="s">
        <v>224</v>
      </c>
      <c r="AQ65" s="1541"/>
      <c r="AR65" s="1540" t="s">
        <v>225</v>
      </c>
      <c r="AS65" s="1539"/>
      <c r="AT65" s="1539"/>
      <c r="AU65" s="1539"/>
      <c r="AV65" s="1541"/>
      <c r="AW65" s="1540" t="s">
        <v>226</v>
      </c>
      <c r="AX65" s="1539"/>
      <c r="AY65" s="1539"/>
      <c r="AZ65" s="1539"/>
      <c r="BA65" s="1544"/>
    </row>
    <row r="66" customHeight="1" spans="2:53">
      <c r="B66" s="1545"/>
      <c r="C66" s="1546"/>
      <c r="D66" s="1546"/>
      <c r="E66" s="1546"/>
      <c r="F66" s="1546"/>
      <c r="G66" s="1546"/>
      <c r="H66" s="1546"/>
      <c r="I66" s="1546"/>
      <c r="J66" s="1546"/>
      <c r="K66" s="1546"/>
      <c r="L66" s="1546"/>
      <c r="M66" s="1546"/>
      <c r="N66" s="1547"/>
      <c r="O66" s="1548"/>
      <c r="P66" s="1549"/>
      <c r="Q66" s="1549"/>
      <c r="R66" s="1549"/>
      <c r="S66" s="1549"/>
      <c r="T66" s="1550"/>
      <c r="U66" s="1551" t="str">
        <f ca="1">"【生理耐受】："&amp;简化卡!A2&amp;CHAR(10)&amp;"【反应机动】："&amp;简化卡!A3&amp;CHAR(10)&amp;"【物理强度】："&amp;简化卡!A4&amp;CHAR(10)&amp;"【经验智慧】："&amp;简化卡!A5&amp;CHAR(10)&amp;"【精神意志】："&amp;简化卡!A7&amp;CHAR(10)&amp;"【个人魅力】："&amp;简化卡!A8&amp;CHAR(10)&amp;"【源石技艺适应性】："&amp;简化卡!A6</f>
        <v>【生理耐受】：标准
【反应机动】：标准
【物理强度】：标准
【经验智慧】：标准
【精神意志】：标准
【个人魅力】：标准
【源石技艺适应性】：标准</v>
      </c>
      <c r="V66" s="1552"/>
      <c r="W66" s="1552"/>
      <c r="X66" s="1552"/>
      <c r="Y66" s="1552"/>
      <c r="Z66" s="1552"/>
      <c r="AA66" s="1552"/>
      <c r="AB66" s="1552"/>
      <c r="AC66" s="1553"/>
      <c r="AE66" s="1554"/>
      <c r="AF66" s="1555"/>
      <c r="AG66" s="1556"/>
      <c r="AH66" s="1557"/>
      <c r="AI66" s="1557"/>
      <c r="AJ66" s="1557"/>
      <c r="AK66" s="1558"/>
      <c r="AL66" s="1559"/>
      <c r="AM66" s="1560"/>
      <c r="AN66" s="1560"/>
      <c r="AO66" s="1561"/>
      <c r="AP66" s="1554"/>
      <c r="AQ66" s="1555"/>
      <c r="AR66" s="1556"/>
      <c r="AS66" s="1557"/>
      <c r="AT66" s="1557"/>
      <c r="AU66" s="1557"/>
      <c r="AV66" s="1558"/>
      <c r="AW66" s="1559"/>
      <c r="AX66" s="1560"/>
      <c r="AY66" s="1560"/>
      <c r="AZ66" s="1560"/>
      <c r="BA66" s="1562"/>
    </row>
    <row r="67" customHeight="1" spans="2:53">
      <c r="B67" s="1545"/>
      <c r="C67" s="1546"/>
      <c r="D67" s="1546"/>
      <c r="E67" s="1546"/>
      <c r="F67" s="1546"/>
      <c r="G67" s="1546"/>
      <c r="H67" s="1546"/>
      <c r="I67" s="1546"/>
      <c r="J67" s="1546"/>
      <c r="K67" s="1546"/>
      <c r="L67" s="1546"/>
      <c r="M67" s="1546"/>
      <c r="N67" s="1547"/>
      <c r="O67" s="1563"/>
      <c r="P67" s="1564"/>
      <c r="Q67" s="1564"/>
      <c r="R67" s="1564"/>
      <c r="S67" s="1564"/>
      <c r="T67" s="1565"/>
      <c r="U67" s="1566"/>
      <c r="V67" s="1567"/>
      <c r="W67" s="1567"/>
      <c r="X67" s="1567"/>
      <c r="Y67" s="1567"/>
      <c r="Z67" s="1567"/>
      <c r="AA67" s="1567"/>
      <c r="AB67" s="1567"/>
      <c r="AC67" s="1568"/>
      <c r="AE67" s="1569"/>
      <c r="AF67" s="1570"/>
      <c r="AG67" s="1571"/>
      <c r="AH67" s="1572"/>
      <c r="AI67" s="1572"/>
      <c r="AJ67" s="1572"/>
      <c r="AK67" s="1573"/>
      <c r="AL67" s="1574"/>
      <c r="AM67" s="1575"/>
      <c r="AN67" s="1575"/>
      <c r="AO67" s="1576"/>
      <c r="AP67" s="1569"/>
      <c r="AQ67" s="1570"/>
      <c r="AR67" s="1571"/>
      <c r="AS67" s="1572"/>
      <c r="AT67" s="1572"/>
      <c r="AU67" s="1572"/>
      <c r="AV67" s="1573"/>
      <c r="AW67" s="1574"/>
      <c r="AX67" s="1575"/>
      <c r="AY67" s="1575"/>
      <c r="AZ67" s="1575"/>
      <c r="BA67" s="1577"/>
    </row>
    <row r="68" customHeight="1" spans="2:53">
      <c r="B68" s="1545"/>
      <c r="C68" s="1546"/>
      <c r="D68" s="1546"/>
      <c r="E68" s="1546"/>
      <c r="F68" s="1546"/>
      <c r="G68" s="1546"/>
      <c r="H68" s="1546"/>
      <c r="I68" s="1546"/>
      <c r="J68" s="1546"/>
      <c r="K68" s="1546"/>
      <c r="L68" s="1546"/>
      <c r="M68" s="1546"/>
      <c r="N68" s="1547"/>
      <c r="O68" s="1563"/>
      <c r="P68" s="1564"/>
      <c r="Q68" s="1564"/>
      <c r="R68" s="1564"/>
      <c r="S68" s="1564"/>
      <c r="T68" s="1565"/>
      <c r="U68" s="1566"/>
      <c r="V68" s="1567"/>
      <c r="W68" s="1567"/>
      <c r="X68" s="1567"/>
      <c r="Y68" s="1567"/>
      <c r="Z68" s="1567"/>
      <c r="AA68" s="1567"/>
      <c r="AB68" s="1567"/>
      <c r="AC68" s="1568"/>
      <c r="AE68" s="1578"/>
      <c r="AF68" s="1579"/>
      <c r="AG68" s="1580"/>
      <c r="AH68" s="1581"/>
      <c r="AI68" s="1581"/>
      <c r="AJ68" s="1581"/>
      <c r="AK68" s="1582"/>
      <c r="AL68" s="1583"/>
      <c r="AM68" s="1584"/>
      <c r="AN68" s="1584"/>
      <c r="AO68" s="1585"/>
      <c r="AP68" s="1578"/>
      <c r="AQ68" s="1579"/>
      <c r="AR68" s="1580"/>
      <c r="AS68" s="1581"/>
      <c r="AT68" s="1581"/>
      <c r="AU68" s="1581"/>
      <c r="AV68" s="1582"/>
      <c r="AW68" s="1583"/>
      <c r="AX68" s="1584"/>
      <c r="AY68" s="1584"/>
      <c r="AZ68" s="1584"/>
      <c r="BA68" s="1586"/>
    </row>
    <row r="69" customHeight="1" spans="2:53">
      <c r="B69" s="1545"/>
      <c r="C69" s="1546"/>
      <c r="D69" s="1546"/>
      <c r="E69" s="1546"/>
      <c r="F69" s="1546"/>
      <c r="G69" s="1546"/>
      <c r="H69" s="1546"/>
      <c r="I69" s="1546"/>
      <c r="J69" s="1546"/>
      <c r="K69" s="1546"/>
      <c r="L69" s="1546"/>
      <c r="M69" s="1546"/>
      <c r="N69" s="1547"/>
      <c r="O69" s="1563"/>
      <c r="P69" s="1564"/>
      <c r="Q69" s="1564"/>
      <c r="R69" s="1564"/>
      <c r="S69" s="1564"/>
      <c r="T69" s="1565"/>
      <c r="U69" s="1566"/>
      <c r="V69" s="1567"/>
      <c r="W69" s="1567"/>
      <c r="X69" s="1567"/>
      <c r="Y69" s="1567"/>
      <c r="Z69" s="1567"/>
      <c r="AA69" s="1567"/>
      <c r="AB69" s="1567"/>
      <c r="AC69" s="1568"/>
      <c r="AE69" s="1554"/>
      <c r="AF69" s="1555"/>
      <c r="AG69" s="1556"/>
      <c r="AH69" s="1557"/>
      <c r="AI69" s="1557"/>
      <c r="AJ69" s="1557"/>
      <c r="AK69" s="1558"/>
      <c r="AL69" s="1559"/>
      <c r="AM69" s="1560"/>
      <c r="AN69" s="1560"/>
      <c r="AO69" s="1561"/>
      <c r="AP69" s="1554"/>
      <c r="AQ69" s="1555"/>
      <c r="AR69" s="1556"/>
      <c r="AS69" s="1557"/>
      <c r="AT69" s="1557"/>
      <c r="AU69" s="1557"/>
      <c r="AV69" s="1558"/>
      <c r="AW69" s="1559"/>
      <c r="AX69" s="1560"/>
      <c r="AY69" s="1560"/>
      <c r="AZ69" s="1560"/>
      <c r="BA69" s="1562"/>
    </row>
    <row r="70" customHeight="1" spans="2:53">
      <c r="B70" s="1545"/>
      <c r="C70" s="1546"/>
      <c r="D70" s="1546"/>
      <c r="E70" s="1546"/>
      <c r="F70" s="1546"/>
      <c r="G70" s="1546"/>
      <c r="H70" s="1546"/>
      <c r="I70" s="1546"/>
      <c r="J70" s="1546"/>
      <c r="K70" s="1546"/>
      <c r="L70" s="1546"/>
      <c r="M70" s="1546"/>
      <c r="N70" s="1547"/>
      <c r="O70" s="1563"/>
      <c r="P70" s="1564"/>
      <c r="Q70" s="1564"/>
      <c r="R70" s="1564"/>
      <c r="S70" s="1564"/>
      <c r="T70" s="1565"/>
      <c r="U70" s="1566"/>
      <c r="V70" s="1567"/>
      <c r="W70" s="1567"/>
      <c r="X70" s="1567"/>
      <c r="Y70" s="1567"/>
      <c r="Z70" s="1567"/>
      <c r="AA70" s="1567"/>
      <c r="AB70" s="1567"/>
      <c r="AC70" s="1568"/>
      <c r="AE70" s="1569"/>
      <c r="AF70" s="1570"/>
      <c r="AG70" s="1571"/>
      <c r="AH70" s="1572"/>
      <c r="AI70" s="1572"/>
      <c r="AJ70" s="1572"/>
      <c r="AK70" s="1573"/>
      <c r="AL70" s="1574"/>
      <c r="AM70" s="1575"/>
      <c r="AN70" s="1575"/>
      <c r="AO70" s="1576"/>
      <c r="AP70" s="1569"/>
      <c r="AQ70" s="1570"/>
      <c r="AR70" s="1571"/>
      <c r="AS70" s="1572"/>
      <c r="AT70" s="1572"/>
      <c r="AU70" s="1572"/>
      <c r="AV70" s="1573"/>
      <c r="AW70" s="1574"/>
      <c r="AX70" s="1575"/>
      <c r="AY70" s="1575"/>
      <c r="AZ70" s="1575"/>
      <c r="BA70" s="1577"/>
    </row>
    <row r="71" customHeight="1" spans="2:53">
      <c r="B71" s="1545"/>
      <c r="C71" s="1587" t="s">
        <v>227</v>
      </c>
      <c r="D71" s="1587"/>
      <c r="E71" s="1587"/>
      <c r="F71" s="1587"/>
      <c r="G71" s="1587"/>
      <c r="H71" s="1587"/>
      <c r="I71" s="1587"/>
      <c r="J71" s="1587"/>
      <c r="K71" s="1587"/>
      <c r="L71" s="1587"/>
      <c r="M71" s="1587"/>
      <c r="N71" s="1588"/>
      <c r="O71" s="1563"/>
      <c r="P71" s="1564"/>
      <c r="Q71" s="1564"/>
      <c r="R71" s="1564"/>
      <c r="S71" s="1564"/>
      <c r="T71" s="1565"/>
      <c r="U71" s="1566"/>
      <c r="V71" s="1567"/>
      <c r="W71" s="1567"/>
      <c r="X71" s="1567"/>
      <c r="Y71" s="1567"/>
      <c r="Z71" s="1567"/>
      <c r="AA71" s="1567"/>
      <c r="AB71" s="1567"/>
      <c r="AC71" s="1568"/>
      <c r="AE71" s="1578"/>
      <c r="AF71" s="1579"/>
      <c r="AG71" s="1580"/>
      <c r="AH71" s="1581"/>
      <c r="AI71" s="1581"/>
      <c r="AJ71" s="1581"/>
      <c r="AK71" s="1582"/>
      <c r="AL71" s="1583"/>
      <c r="AM71" s="1584"/>
      <c r="AN71" s="1584"/>
      <c r="AO71" s="1585"/>
      <c r="AP71" s="1578"/>
      <c r="AQ71" s="1579"/>
      <c r="AR71" s="1580"/>
      <c r="AS71" s="1581"/>
      <c r="AT71" s="1581"/>
      <c r="AU71" s="1581"/>
      <c r="AV71" s="1582"/>
      <c r="AW71" s="1583"/>
      <c r="AX71" s="1584"/>
      <c r="AY71" s="1584"/>
      <c r="AZ71" s="1584"/>
      <c r="BA71" s="1586"/>
    </row>
    <row r="72" customHeight="1" spans="2:53">
      <c r="B72" s="1545"/>
      <c r="C72" s="1546"/>
      <c r="D72" s="1546"/>
      <c r="E72" s="1546"/>
      <c r="F72" s="1546"/>
      <c r="G72" s="1546"/>
      <c r="H72" s="1546"/>
      <c r="I72" s="1546"/>
      <c r="J72" s="1546"/>
      <c r="K72" s="1546"/>
      <c r="L72" s="1546"/>
      <c r="M72" s="1546"/>
      <c r="N72" s="1547"/>
      <c r="O72" s="1563"/>
      <c r="P72" s="1589"/>
      <c r="Q72" s="1589"/>
      <c r="R72" s="1589"/>
      <c r="S72" s="1589"/>
      <c r="T72" s="1565"/>
      <c r="U72" s="1566"/>
      <c r="V72" s="1567"/>
      <c r="W72" s="1567"/>
      <c r="X72" s="1567"/>
      <c r="Y72" s="1567"/>
      <c r="Z72" s="1567"/>
      <c r="AA72" s="1567"/>
      <c r="AB72" s="1567"/>
      <c r="AC72" s="1568"/>
      <c r="AE72" s="1554"/>
      <c r="AF72" s="1555"/>
      <c r="AG72" s="1556"/>
      <c r="AH72" s="1557"/>
      <c r="AI72" s="1557"/>
      <c r="AJ72" s="1557"/>
      <c r="AK72" s="1558"/>
      <c r="AL72" s="1559"/>
      <c r="AM72" s="1560"/>
      <c r="AN72" s="1560"/>
      <c r="AO72" s="1561"/>
      <c r="AP72" s="1554"/>
      <c r="AQ72" s="1555"/>
      <c r="AR72" s="1556"/>
      <c r="AS72" s="1557"/>
      <c r="AT72" s="1557"/>
      <c r="AU72" s="1557"/>
      <c r="AV72" s="1558"/>
      <c r="AW72" s="1559"/>
      <c r="AX72" s="1560"/>
      <c r="AY72" s="1560"/>
      <c r="AZ72" s="1560"/>
      <c r="BA72" s="1562"/>
    </row>
    <row r="73" customHeight="1" spans="2:53">
      <c r="B73" s="1545"/>
      <c r="C73" s="1546"/>
      <c r="D73" s="1546"/>
      <c r="E73" s="1546"/>
      <c r="F73" s="1546"/>
      <c r="G73" s="1546"/>
      <c r="H73" s="1546"/>
      <c r="I73" s="1546"/>
      <c r="J73" s="1546"/>
      <c r="K73" s="1546"/>
      <c r="L73" s="1546"/>
      <c r="M73" s="1546"/>
      <c r="N73" s="1590"/>
      <c r="O73" s="1591" t="s">
        <v>228</v>
      </c>
      <c r="P73" s="1592"/>
      <c r="Q73" s="1592"/>
      <c r="R73" s="1592"/>
      <c r="S73" s="1592"/>
      <c r="T73" s="1592"/>
      <c r="U73" s="1592"/>
      <c r="V73" s="1593" t="s">
        <v>229</v>
      </c>
      <c r="W73" s="1593"/>
      <c r="X73" s="1594">
        <f ca="1">简化卡!F6</f>
        <v>0</v>
      </c>
      <c r="Y73" s="1595"/>
      <c r="Z73" s="1593" t="s">
        <v>230</v>
      </c>
      <c r="AA73" s="1593"/>
      <c r="AB73" s="1596">
        <f>SUM(AB75:AC94)</f>
        <v>0</v>
      </c>
      <c r="AC73" s="1597"/>
      <c r="AE73" s="1569"/>
      <c r="AF73" s="1570"/>
      <c r="AG73" s="1571"/>
      <c r="AH73" s="1572"/>
      <c r="AI73" s="1572"/>
      <c r="AJ73" s="1572"/>
      <c r="AK73" s="1573"/>
      <c r="AL73" s="1574"/>
      <c r="AM73" s="1575"/>
      <c r="AN73" s="1575"/>
      <c r="AO73" s="1576"/>
      <c r="AP73" s="1569"/>
      <c r="AQ73" s="1570"/>
      <c r="AR73" s="1571"/>
      <c r="AS73" s="1572"/>
      <c r="AT73" s="1572"/>
      <c r="AU73" s="1572"/>
      <c r="AV73" s="1573"/>
      <c r="AW73" s="1574"/>
      <c r="AX73" s="1575"/>
      <c r="AY73" s="1575"/>
      <c r="AZ73" s="1575"/>
      <c r="BA73" s="1577"/>
    </row>
    <row r="74" customHeight="1" spans="2:53">
      <c r="B74" s="1545"/>
      <c r="C74" s="1546"/>
      <c r="D74" s="1546"/>
      <c r="E74" s="1546"/>
      <c r="F74" s="1546"/>
      <c r="G74" s="1546"/>
      <c r="H74" s="1546"/>
      <c r="I74" s="1546"/>
      <c r="J74" s="1546"/>
      <c r="K74" s="1546"/>
      <c r="L74" s="1546"/>
      <c r="M74" s="1546"/>
      <c r="N74" s="1547"/>
      <c r="O74" s="1598" t="s">
        <v>145</v>
      </c>
      <c r="P74" s="1599"/>
      <c r="Q74" s="1600" t="s">
        <v>231</v>
      </c>
      <c r="R74" s="1601"/>
      <c r="S74" s="1601"/>
      <c r="T74" s="1601"/>
      <c r="U74" s="1601"/>
      <c r="V74" s="1601"/>
      <c r="W74" s="1601"/>
      <c r="X74" s="1601"/>
      <c r="Y74" s="1601"/>
      <c r="Z74" s="1601"/>
      <c r="AA74" s="1601"/>
      <c r="AB74" s="1602" t="s">
        <v>232</v>
      </c>
      <c r="AC74" s="1603"/>
      <c r="AE74" s="1578"/>
      <c r="AF74" s="1579"/>
      <c r="AG74" s="1580"/>
      <c r="AH74" s="1581"/>
      <c r="AI74" s="1581"/>
      <c r="AJ74" s="1581"/>
      <c r="AK74" s="1582"/>
      <c r="AL74" s="1583"/>
      <c r="AM74" s="1584"/>
      <c r="AN74" s="1584"/>
      <c r="AO74" s="1585"/>
      <c r="AP74" s="1578"/>
      <c r="AQ74" s="1579"/>
      <c r="AR74" s="1580"/>
      <c r="AS74" s="1581"/>
      <c r="AT74" s="1581"/>
      <c r="AU74" s="1581"/>
      <c r="AV74" s="1582"/>
      <c r="AW74" s="1583"/>
      <c r="AX74" s="1584"/>
      <c r="AY74" s="1584"/>
      <c r="AZ74" s="1584"/>
      <c r="BA74" s="1586"/>
    </row>
    <row r="75" customHeight="1" spans="2:53">
      <c r="B75" s="1545"/>
      <c r="C75" s="1546"/>
      <c r="D75" s="1546"/>
      <c r="E75" s="1546"/>
      <c r="F75" s="1546"/>
      <c r="G75" s="1546"/>
      <c r="H75" s="1546"/>
      <c r="I75" s="1546"/>
      <c r="J75" s="1546"/>
      <c r="K75" s="1546"/>
      <c r="L75" s="1546"/>
      <c r="M75" s="1546"/>
      <c r="N75" s="1547"/>
      <c r="O75" s="1604"/>
      <c r="P75" s="1605"/>
      <c r="Q75" s="1606"/>
      <c r="R75" s="1606"/>
      <c r="S75" s="1606"/>
      <c r="T75" s="1606"/>
      <c r="U75" s="1606"/>
      <c r="V75" s="1606"/>
      <c r="W75" s="1606"/>
      <c r="X75" s="1606"/>
      <c r="Y75" s="1606"/>
      <c r="Z75" s="1606"/>
      <c r="AA75" s="1606"/>
      <c r="AB75" s="1607"/>
      <c r="AC75" s="1608"/>
      <c r="AE75" s="1554"/>
      <c r="AF75" s="1555"/>
      <c r="AG75" s="1556"/>
      <c r="AH75" s="1557"/>
      <c r="AI75" s="1557"/>
      <c r="AJ75" s="1557"/>
      <c r="AK75" s="1558"/>
      <c r="AL75" s="1559"/>
      <c r="AM75" s="1560"/>
      <c r="AN75" s="1560"/>
      <c r="AO75" s="1561"/>
      <c r="AP75" s="1554"/>
      <c r="AQ75" s="1555"/>
      <c r="AR75" s="1556"/>
      <c r="AS75" s="1557"/>
      <c r="AT75" s="1557"/>
      <c r="AU75" s="1557"/>
      <c r="AV75" s="1558"/>
      <c r="AW75" s="1559"/>
      <c r="AX75" s="1560"/>
      <c r="AY75" s="1560"/>
      <c r="AZ75" s="1560"/>
      <c r="BA75" s="1562"/>
    </row>
    <row r="76" customHeight="1" spans="2:53">
      <c r="B76" s="1545"/>
      <c r="C76" s="1546"/>
      <c r="D76" s="1546"/>
      <c r="E76" s="1546"/>
      <c r="F76" s="1546"/>
      <c r="G76" s="1546"/>
      <c r="H76" s="1546"/>
      <c r="I76" s="1546"/>
      <c r="J76" s="1546"/>
      <c r="K76" s="1546"/>
      <c r="L76" s="1546"/>
      <c r="M76" s="1546"/>
      <c r="N76" s="1547"/>
      <c r="O76" s="1604"/>
      <c r="P76" s="1605"/>
      <c r="Q76" s="1606"/>
      <c r="R76" s="1606"/>
      <c r="S76" s="1606"/>
      <c r="T76" s="1606"/>
      <c r="U76" s="1606"/>
      <c r="V76" s="1606"/>
      <c r="W76" s="1606"/>
      <c r="X76" s="1606"/>
      <c r="Y76" s="1606"/>
      <c r="Z76" s="1606"/>
      <c r="AA76" s="1606"/>
      <c r="AB76" s="1607"/>
      <c r="AC76" s="1608"/>
      <c r="AE76" s="1569"/>
      <c r="AF76" s="1570"/>
      <c r="AG76" s="1571"/>
      <c r="AH76" s="1572"/>
      <c r="AI76" s="1572"/>
      <c r="AJ76" s="1572"/>
      <c r="AK76" s="1573"/>
      <c r="AL76" s="1574"/>
      <c r="AM76" s="1575"/>
      <c r="AN76" s="1575"/>
      <c r="AO76" s="1576"/>
      <c r="AP76" s="1569"/>
      <c r="AQ76" s="1570"/>
      <c r="AR76" s="1571"/>
      <c r="AS76" s="1572"/>
      <c r="AT76" s="1572"/>
      <c r="AU76" s="1572"/>
      <c r="AV76" s="1573"/>
      <c r="AW76" s="1574"/>
      <c r="AX76" s="1575"/>
      <c r="AY76" s="1575"/>
      <c r="AZ76" s="1575"/>
      <c r="BA76" s="1577"/>
    </row>
    <row r="77" customHeight="1" spans="2:53">
      <c r="B77" s="1545"/>
      <c r="C77" s="1587" t="s">
        <v>233</v>
      </c>
      <c r="D77" s="1587"/>
      <c r="E77" s="1587"/>
      <c r="F77" s="1587"/>
      <c r="G77" s="1587"/>
      <c r="H77" s="1587"/>
      <c r="I77" s="1587"/>
      <c r="J77" s="1587"/>
      <c r="K77" s="1587"/>
      <c r="L77" s="1587"/>
      <c r="M77" s="1587"/>
      <c r="N77" s="1588"/>
      <c r="O77" s="1604"/>
      <c r="P77" s="1605"/>
      <c r="Q77" s="1606"/>
      <c r="R77" s="1606"/>
      <c r="S77" s="1606"/>
      <c r="T77" s="1606"/>
      <c r="U77" s="1606"/>
      <c r="V77" s="1606"/>
      <c r="W77" s="1606"/>
      <c r="X77" s="1606"/>
      <c r="Y77" s="1606"/>
      <c r="Z77" s="1606"/>
      <c r="AA77" s="1606"/>
      <c r="AB77" s="1607"/>
      <c r="AC77" s="1608"/>
      <c r="AE77" s="1578"/>
      <c r="AF77" s="1579"/>
      <c r="AG77" s="1580"/>
      <c r="AH77" s="1581"/>
      <c r="AI77" s="1581"/>
      <c r="AJ77" s="1581"/>
      <c r="AK77" s="1582"/>
      <c r="AL77" s="1583"/>
      <c r="AM77" s="1584"/>
      <c r="AN77" s="1584"/>
      <c r="AO77" s="1585"/>
      <c r="AP77" s="1578"/>
      <c r="AQ77" s="1579"/>
      <c r="AR77" s="1580"/>
      <c r="AS77" s="1581"/>
      <c r="AT77" s="1581"/>
      <c r="AU77" s="1581"/>
      <c r="AV77" s="1582"/>
      <c r="AW77" s="1583"/>
      <c r="AX77" s="1584"/>
      <c r="AY77" s="1584"/>
      <c r="AZ77" s="1584"/>
      <c r="BA77" s="1586"/>
    </row>
    <row r="78" customHeight="1" spans="2:53">
      <c r="B78" s="1545"/>
      <c r="C78" s="1546"/>
      <c r="D78" s="1546"/>
      <c r="E78" s="1546"/>
      <c r="F78" s="1546"/>
      <c r="G78" s="1546"/>
      <c r="H78" s="1546"/>
      <c r="I78" s="1546"/>
      <c r="J78" s="1546"/>
      <c r="K78" s="1546"/>
      <c r="L78" s="1546"/>
      <c r="M78" s="1546"/>
      <c r="N78" s="1547"/>
      <c r="O78" s="1604"/>
      <c r="P78" s="1605"/>
      <c r="Q78" s="1606"/>
      <c r="R78" s="1606"/>
      <c r="S78" s="1606"/>
      <c r="T78" s="1606"/>
      <c r="U78" s="1606"/>
      <c r="V78" s="1606"/>
      <c r="W78" s="1606"/>
      <c r="X78" s="1606"/>
      <c r="Y78" s="1606"/>
      <c r="Z78" s="1606"/>
      <c r="AA78" s="1606"/>
      <c r="AB78" s="1607"/>
      <c r="AC78" s="1608"/>
      <c r="AE78" s="1554"/>
      <c r="AF78" s="1555"/>
      <c r="AG78" s="1556"/>
      <c r="AH78" s="1557"/>
      <c r="AI78" s="1557"/>
      <c r="AJ78" s="1557"/>
      <c r="AK78" s="1558"/>
      <c r="AL78" s="1559"/>
      <c r="AM78" s="1560"/>
      <c r="AN78" s="1560"/>
      <c r="AO78" s="1561"/>
      <c r="AP78" s="1554"/>
      <c r="AQ78" s="1555"/>
      <c r="AR78" s="1556"/>
      <c r="AS78" s="1557"/>
      <c r="AT78" s="1557"/>
      <c r="AU78" s="1557"/>
      <c r="AV78" s="1558"/>
      <c r="AW78" s="1559"/>
      <c r="AX78" s="1560"/>
      <c r="AY78" s="1560"/>
      <c r="AZ78" s="1560"/>
      <c r="BA78" s="1562"/>
    </row>
    <row r="79" customHeight="1" spans="2:53">
      <c r="B79" s="1545"/>
      <c r="C79" s="1546"/>
      <c r="D79" s="1546"/>
      <c r="E79" s="1546"/>
      <c r="F79" s="1546"/>
      <c r="G79" s="1546"/>
      <c r="H79" s="1546"/>
      <c r="I79" s="1546"/>
      <c r="J79" s="1546"/>
      <c r="K79" s="1546"/>
      <c r="L79" s="1546"/>
      <c r="M79" s="1546"/>
      <c r="N79" s="1547"/>
      <c r="O79" s="1604"/>
      <c r="P79" s="1605"/>
      <c r="Q79" s="1606"/>
      <c r="R79" s="1606"/>
      <c r="S79" s="1606"/>
      <c r="T79" s="1606"/>
      <c r="U79" s="1606"/>
      <c r="V79" s="1606"/>
      <c r="W79" s="1606"/>
      <c r="X79" s="1606"/>
      <c r="Y79" s="1606"/>
      <c r="Z79" s="1606"/>
      <c r="AA79" s="1606"/>
      <c r="AB79" s="1607"/>
      <c r="AC79" s="1608"/>
      <c r="AE79" s="1569"/>
      <c r="AF79" s="1570"/>
      <c r="AG79" s="1571"/>
      <c r="AH79" s="1572"/>
      <c r="AI79" s="1572"/>
      <c r="AJ79" s="1572"/>
      <c r="AK79" s="1573"/>
      <c r="AL79" s="1574"/>
      <c r="AM79" s="1575"/>
      <c r="AN79" s="1575"/>
      <c r="AO79" s="1576"/>
      <c r="AP79" s="1569"/>
      <c r="AQ79" s="1570"/>
      <c r="AR79" s="1571"/>
      <c r="AS79" s="1572"/>
      <c r="AT79" s="1572"/>
      <c r="AU79" s="1572"/>
      <c r="AV79" s="1573"/>
      <c r="AW79" s="1574"/>
      <c r="AX79" s="1575"/>
      <c r="AY79" s="1575"/>
      <c r="AZ79" s="1575"/>
      <c r="BA79" s="1577"/>
    </row>
    <row r="80" customHeight="1" spans="2:53">
      <c r="B80" s="1545"/>
      <c r="C80" s="1546"/>
      <c r="D80" s="1546"/>
      <c r="E80" s="1546"/>
      <c r="F80" s="1546"/>
      <c r="G80" s="1546"/>
      <c r="H80" s="1546"/>
      <c r="I80" s="1546"/>
      <c r="J80" s="1546"/>
      <c r="K80" s="1546"/>
      <c r="L80" s="1546"/>
      <c r="M80" s="1546"/>
      <c r="N80" s="1547"/>
      <c r="O80" s="1604"/>
      <c r="P80" s="1605"/>
      <c r="Q80" s="1606"/>
      <c r="R80" s="1606"/>
      <c r="S80" s="1606"/>
      <c r="T80" s="1606"/>
      <c r="U80" s="1606"/>
      <c r="V80" s="1606"/>
      <c r="W80" s="1606"/>
      <c r="X80" s="1606"/>
      <c r="Y80" s="1606"/>
      <c r="Z80" s="1606"/>
      <c r="AA80" s="1606"/>
      <c r="AB80" s="1607"/>
      <c r="AC80" s="1608"/>
      <c r="AE80" s="1609"/>
      <c r="AF80" s="1610"/>
      <c r="AG80" s="1611"/>
      <c r="AH80" s="1612"/>
      <c r="AI80" s="1612"/>
      <c r="AJ80" s="1612"/>
      <c r="AK80" s="1613"/>
      <c r="AL80" s="1614"/>
      <c r="AM80" s="1615"/>
      <c r="AN80" s="1615"/>
      <c r="AO80" s="1616"/>
      <c r="AP80" s="1609"/>
      <c r="AQ80" s="1610"/>
      <c r="AR80" s="1611"/>
      <c r="AS80" s="1612"/>
      <c r="AT80" s="1612"/>
      <c r="AU80" s="1612"/>
      <c r="AV80" s="1613"/>
      <c r="AW80" s="1614"/>
      <c r="AX80" s="1615"/>
      <c r="AY80" s="1615"/>
      <c r="AZ80" s="1615"/>
      <c r="BA80" s="1617"/>
    </row>
    <row r="81" customHeight="1" spans="2:53">
      <c r="B81" s="1545"/>
      <c r="C81" s="1546"/>
      <c r="D81" s="1546"/>
      <c r="E81" s="1546"/>
      <c r="F81" s="1546"/>
      <c r="G81" s="1546"/>
      <c r="H81" s="1546"/>
      <c r="I81" s="1546"/>
      <c r="J81" s="1546"/>
      <c r="K81" s="1546"/>
      <c r="L81" s="1546"/>
      <c r="M81" s="1546"/>
      <c r="N81" s="1547"/>
      <c r="O81" s="1604"/>
      <c r="P81" s="1605"/>
      <c r="Q81" s="1606"/>
      <c r="R81" s="1606"/>
      <c r="S81" s="1606"/>
      <c r="T81" s="1606"/>
      <c r="U81" s="1606"/>
      <c r="V81" s="1606"/>
      <c r="W81" s="1606"/>
      <c r="X81" s="1606"/>
      <c r="Y81" s="1606"/>
      <c r="Z81" s="1606"/>
      <c r="AA81" s="1606"/>
      <c r="AB81" s="1607"/>
      <c r="AC81" s="1608"/>
      <c r="AE81" s="749"/>
      <c r="AF81" s="749"/>
      <c r="AG81" s="749"/>
      <c r="AH81" s="749"/>
      <c r="AI81" s="749"/>
      <c r="AJ81" s="749"/>
      <c r="AK81" s="749"/>
      <c r="AL81" s="749"/>
      <c r="AM81" s="749"/>
      <c r="AN81" s="749"/>
      <c r="AO81" s="749"/>
      <c r="AP81" s="749"/>
      <c r="AQ81" s="749"/>
      <c r="AR81" s="749"/>
      <c r="AS81" s="749"/>
      <c r="AT81" s="749"/>
      <c r="AU81" s="749"/>
      <c r="AV81" s="749"/>
      <c r="AW81" s="749"/>
      <c r="AX81" s="749"/>
      <c r="AY81" s="749"/>
      <c r="AZ81" s="749"/>
      <c r="BA81" s="749"/>
    </row>
    <row r="82" customHeight="1" spans="2:53">
      <c r="B82" s="1618"/>
      <c r="C82" s="1546"/>
      <c r="D82" s="1546"/>
      <c r="E82" s="1546"/>
      <c r="F82" s="1546"/>
      <c r="G82" s="1546"/>
      <c r="H82" s="1546"/>
      <c r="I82" s="1546"/>
      <c r="J82" s="1546"/>
      <c r="K82" s="1546"/>
      <c r="L82" s="1546"/>
      <c r="M82" s="1546"/>
      <c r="N82" s="1547"/>
      <c r="O82" s="1604"/>
      <c r="P82" s="1605"/>
      <c r="Q82" s="1606"/>
      <c r="R82" s="1606"/>
      <c r="S82" s="1606"/>
      <c r="T82" s="1606"/>
      <c r="U82" s="1606"/>
      <c r="V82" s="1606"/>
      <c r="W82" s="1606"/>
      <c r="X82" s="1606"/>
      <c r="Y82" s="1606"/>
      <c r="Z82" s="1606"/>
      <c r="AA82" s="1606"/>
      <c r="AB82" s="1607"/>
      <c r="AC82" s="1608"/>
      <c r="AE82" s="1619" t="s">
        <v>234</v>
      </c>
      <c r="AF82" s="1620" t="s">
        <v>235</v>
      </c>
      <c r="AG82" s="1621" t="str">
        <f>_xlfn.TEXTJOIN("、",TRUE,特质表!C3,特质表!C8,特质表!C13,特质表!C18,特质表!C23,特质表!C28,特质表!C33,特质表!C38,特质表!C43,特质表!C48,特质表!D4:D7,特质表!D9:D12,特质表!D14:D17,特质表!D19:D22,特质表!D24:D27,特质表!D29:D32,特质表!D34:D37,特质表!D39:D42,特质表!D44:D47,特质表!D49:D52,特质表!C53,特质表!C58,特质表!C63,特质表!C68,特质表!C73,特质表!C78,特质表!C83,特质表!C88,特质表!C93,特质表!C98,特质表!D54:D57,特质表!D59:D61,特质表!D62,特质表!D64:D67,特质表!D69:D72,特质表!D74:D77,特质表!D79:D82,特质表!D84:D87,特质表!D89:D92,特质表!D94:D97,特质表!D99:D102)</f>
        <v/>
      </c>
      <c r="AH82" s="1621"/>
      <c r="AI82" s="1621"/>
      <c r="AJ82" s="1621"/>
      <c r="AK82" s="1621"/>
      <c r="AL82" s="1621"/>
      <c r="AM82" s="1621"/>
      <c r="AN82" s="1621"/>
      <c r="AO82" s="1621"/>
      <c r="AP82" s="1621"/>
      <c r="AQ82" s="1622"/>
      <c r="AR82" s="1623" t="s">
        <v>236</v>
      </c>
      <c r="AS82" s="1624"/>
      <c r="AT82" s="1624"/>
      <c r="AU82" s="1624"/>
      <c r="AV82" s="1625"/>
      <c r="AW82" s="1625"/>
      <c r="AX82" s="1625"/>
      <c r="AY82" s="1625"/>
      <c r="AZ82" s="1625"/>
      <c r="BA82" s="1626"/>
    </row>
    <row r="83" customHeight="1" spans="2:53">
      <c r="B83" s="1627" t="s">
        <v>237</v>
      </c>
      <c r="C83" s="1628" t="s">
        <v>238</v>
      </c>
      <c r="D83" s="1628"/>
      <c r="E83" s="1628"/>
      <c r="F83" s="1628"/>
      <c r="G83" s="1628"/>
      <c r="H83" s="1628"/>
      <c r="I83" s="1628"/>
      <c r="J83" s="1628"/>
      <c r="K83" s="1628"/>
      <c r="L83" s="1628"/>
      <c r="M83" s="1628"/>
      <c r="N83" s="1629"/>
      <c r="O83" s="1604"/>
      <c r="P83" s="1605"/>
      <c r="Q83" s="1606"/>
      <c r="R83" s="1606"/>
      <c r="S83" s="1606"/>
      <c r="T83" s="1606"/>
      <c r="U83" s="1606"/>
      <c r="V83" s="1606"/>
      <c r="W83" s="1606"/>
      <c r="X83" s="1606"/>
      <c r="Y83" s="1606"/>
      <c r="Z83" s="1606"/>
      <c r="AA83" s="1606"/>
      <c r="AB83" s="1607"/>
      <c r="AC83" s="1608"/>
      <c r="AE83" s="1630"/>
      <c r="AF83" s="1631"/>
      <c r="AG83" s="1632"/>
      <c r="AH83" s="1632"/>
      <c r="AI83" s="1632"/>
      <c r="AJ83" s="1632"/>
      <c r="AK83" s="1632"/>
      <c r="AL83" s="1632"/>
      <c r="AM83" s="1632"/>
      <c r="AN83" s="1632"/>
      <c r="AO83" s="1632"/>
      <c r="AP83" s="1632"/>
      <c r="AQ83" s="1633"/>
      <c r="AR83" s="1634"/>
      <c r="AS83" s="1635" t="s">
        <v>239</v>
      </c>
      <c r="AT83" s="1636"/>
      <c r="AU83" s="1636"/>
      <c r="AV83" s="1637"/>
      <c r="AW83" s="1637"/>
      <c r="AX83" s="1637"/>
      <c r="AY83" s="1637"/>
      <c r="AZ83" s="1638"/>
      <c r="BA83" s="1639"/>
    </row>
    <row r="84" customHeight="1" spans="2:53">
      <c r="B84" s="1545"/>
      <c r="C84" s="1546"/>
      <c r="D84" s="1546"/>
      <c r="E84" s="1546"/>
      <c r="F84" s="1546"/>
      <c r="G84" s="1546"/>
      <c r="H84" s="1546"/>
      <c r="I84" s="1546"/>
      <c r="J84" s="1546"/>
      <c r="K84" s="1546"/>
      <c r="L84" s="1546"/>
      <c r="M84" s="1546"/>
      <c r="N84" s="1547"/>
      <c r="O84" s="1604"/>
      <c r="P84" s="1605"/>
      <c r="Q84" s="1606"/>
      <c r="R84" s="1606"/>
      <c r="S84" s="1606"/>
      <c r="T84" s="1606"/>
      <c r="U84" s="1606"/>
      <c r="V84" s="1606"/>
      <c r="W84" s="1606"/>
      <c r="X84" s="1606"/>
      <c r="Y84" s="1606"/>
      <c r="Z84" s="1606"/>
      <c r="AA84" s="1606"/>
      <c r="AB84" s="1607"/>
      <c r="AC84" s="1608"/>
      <c r="AE84" s="1630"/>
      <c r="AF84" s="1631"/>
      <c r="AG84" s="1632"/>
      <c r="AH84" s="1632"/>
      <c r="AI84" s="1632"/>
      <c r="AJ84" s="1632"/>
      <c r="AK84" s="1632"/>
      <c r="AL84" s="1632"/>
      <c r="AM84" s="1632"/>
      <c r="AN84" s="1632"/>
      <c r="AO84" s="1632"/>
      <c r="AP84" s="1632"/>
      <c r="AQ84" s="1633"/>
      <c r="AR84" s="1634"/>
      <c r="AS84" s="1640" t="str">
        <f>IFERROR(VLOOKUP(AV83,天赋.特质.技能数据库!C1:I200,5,0),"")</f>
        <v/>
      </c>
      <c r="AT84" s="1640"/>
      <c r="AU84" s="1640"/>
      <c r="AV84" s="1640"/>
      <c r="AW84" s="1640"/>
      <c r="AX84" s="1640"/>
      <c r="AY84" s="1640"/>
      <c r="AZ84" s="1640"/>
      <c r="BA84" s="1641"/>
    </row>
    <row r="85" customHeight="1" spans="2:53">
      <c r="B85" s="1545"/>
      <c r="C85" s="1546"/>
      <c r="D85" s="1546"/>
      <c r="E85" s="1546"/>
      <c r="F85" s="1546"/>
      <c r="G85" s="1546"/>
      <c r="H85" s="1546"/>
      <c r="I85" s="1546"/>
      <c r="J85" s="1546"/>
      <c r="K85" s="1546"/>
      <c r="L85" s="1546"/>
      <c r="M85" s="1546"/>
      <c r="N85" s="1547"/>
      <c r="O85" s="1604"/>
      <c r="P85" s="1605"/>
      <c r="Q85" s="1606"/>
      <c r="R85" s="1606"/>
      <c r="S85" s="1606"/>
      <c r="T85" s="1606"/>
      <c r="U85" s="1606"/>
      <c r="V85" s="1606"/>
      <c r="W85" s="1606"/>
      <c r="X85" s="1606"/>
      <c r="Y85" s="1606"/>
      <c r="Z85" s="1606"/>
      <c r="AA85" s="1606"/>
      <c r="AB85" s="1607"/>
      <c r="AC85" s="1608"/>
      <c r="AE85" s="1630"/>
      <c r="AF85" s="1631"/>
      <c r="AG85" s="1632"/>
      <c r="AH85" s="1632"/>
      <c r="AI85" s="1632"/>
      <c r="AJ85" s="1632"/>
      <c r="AK85" s="1632"/>
      <c r="AL85" s="1632"/>
      <c r="AM85" s="1632"/>
      <c r="AN85" s="1632"/>
      <c r="AO85" s="1632"/>
      <c r="AP85" s="1632"/>
      <c r="AQ85" s="1633"/>
      <c r="AR85" s="1634"/>
      <c r="AS85" s="1640"/>
      <c r="AT85" s="1640"/>
      <c r="AU85" s="1640"/>
      <c r="AV85" s="1640"/>
      <c r="AW85" s="1640"/>
      <c r="AX85" s="1640"/>
      <c r="AY85" s="1640"/>
      <c r="AZ85" s="1640"/>
      <c r="BA85" s="1641"/>
    </row>
    <row r="86" customHeight="1" spans="2:53">
      <c r="B86" s="1545"/>
      <c r="C86" s="1546"/>
      <c r="D86" s="1546"/>
      <c r="E86" s="1546"/>
      <c r="F86" s="1546"/>
      <c r="G86" s="1546"/>
      <c r="H86" s="1546"/>
      <c r="I86" s="1546"/>
      <c r="J86" s="1546"/>
      <c r="K86" s="1546"/>
      <c r="L86" s="1546"/>
      <c r="M86" s="1546"/>
      <c r="N86" s="1547"/>
      <c r="O86" s="1604"/>
      <c r="P86" s="1605"/>
      <c r="Q86" s="1606"/>
      <c r="R86" s="1606"/>
      <c r="S86" s="1606"/>
      <c r="T86" s="1606"/>
      <c r="U86" s="1606"/>
      <c r="V86" s="1606"/>
      <c r="W86" s="1606"/>
      <c r="X86" s="1606"/>
      <c r="Y86" s="1606"/>
      <c r="Z86" s="1606"/>
      <c r="AA86" s="1606"/>
      <c r="AB86" s="1607"/>
      <c r="AC86" s="1608"/>
      <c r="AE86" s="1630"/>
      <c r="AF86" s="1642" t="s">
        <v>240</v>
      </c>
      <c r="AG86" s="1643" t="str">
        <f>_xlfn.TEXTJOIN("、",TRUE,特质表!C103,特质表!C108,特质表!C113,特质表!C118,特质表!C123,特质表!C128,特质表!C133,特质表!C138,特质表!C143,特质表!C148,特质表!C153,特质表!C158,特质表!C163,特质表!C168,特质表!C173,特质表!C178,特质表!C183,特质表!C188,特质表!C193,特质表!C198,特质表!D154:D157,特质表!D104:D107,特质表!D109:D112,特质表!D114:D117,特质表!D119:D122,特质表!D124:D127,特质表!D129:D132,特质表!D134:D137,特质表!D139:D142,特质表!D144:D147,特质表!D149:D152,特质表!D159:D162,特质表!D164:D167,特质表!D169:D172,特质表!D174:D177,特质表!D179:D182,特质表!D184:D187,特质表!D189:D192,特质表!D194:D197,特质表!D199:D202)</f>
        <v/>
      </c>
      <c r="AH86" s="1643"/>
      <c r="AI86" s="1643"/>
      <c r="AJ86" s="1643"/>
      <c r="AK86" s="1643"/>
      <c r="AL86" s="1643"/>
      <c r="AM86" s="1643"/>
      <c r="AN86" s="1643"/>
      <c r="AO86" s="1643"/>
      <c r="AP86" s="1643"/>
      <c r="AQ86" s="1644"/>
      <c r="AR86" s="1634"/>
      <c r="AS86" s="1640"/>
      <c r="AT86" s="1640"/>
      <c r="AU86" s="1640"/>
      <c r="AV86" s="1640"/>
      <c r="AW86" s="1640"/>
      <c r="AX86" s="1640"/>
      <c r="AY86" s="1640"/>
      <c r="AZ86" s="1640"/>
      <c r="BA86" s="1641"/>
    </row>
    <row r="87" customHeight="1" spans="2:53">
      <c r="B87" s="1545"/>
      <c r="C87" s="1587" t="s">
        <v>241</v>
      </c>
      <c r="D87" s="1587"/>
      <c r="E87" s="1587"/>
      <c r="F87" s="1587"/>
      <c r="G87" s="1587"/>
      <c r="H87" s="1587"/>
      <c r="I87" s="1587"/>
      <c r="J87" s="1587"/>
      <c r="K87" s="1587"/>
      <c r="L87" s="1587"/>
      <c r="M87" s="1587"/>
      <c r="N87" s="1588"/>
      <c r="O87" s="1604"/>
      <c r="P87" s="1605"/>
      <c r="Q87" s="1606"/>
      <c r="R87" s="1606"/>
      <c r="S87" s="1606"/>
      <c r="T87" s="1606"/>
      <c r="U87" s="1606"/>
      <c r="V87" s="1606"/>
      <c r="W87" s="1606"/>
      <c r="X87" s="1606"/>
      <c r="Y87" s="1606"/>
      <c r="Z87" s="1606"/>
      <c r="AA87" s="1606"/>
      <c r="AB87" s="1607"/>
      <c r="AC87" s="1608"/>
      <c r="AE87" s="1630"/>
      <c r="AF87" s="1645"/>
      <c r="AG87" s="1646"/>
      <c r="AH87" s="1646"/>
      <c r="AI87" s="1646"/>
      <c r="AJ87" s="1646"/>
      <c r="AK87" s="1646"/>
      <c r="AL87" s="1646"/>
      <c r="AM87" s="1646"/>
      <c r="AN87" s="1646"/>
      <c r="AO87" s="1646"/>
      <c r="AP87" s="1646"/>
      <c r="AQ87" s="1647"/>
      <c r="AR87" s="1634"/>
      <c r="AS87" s="1640"/>
      <c r="AT87" s="1640"/>
      <c r="AU87" s="1640"/>
      <c r="AV87" s="1640"/>
      <c r="AW87" s="1640"/>
      <c r="AX87" s="1640"/>
      <c r="AY87" s="1640"/>
      <c r="AZ87" s="1640"/>
      <c r="BA87" s="1641"/>
    </row>
    <row r="88" customHeight="1" spans="2:53">
      <c r="B88" s="1545"/>
      <c r="C88" s="1546"/>
      <c r="D88" s="1546"/>
      <c r="E88" s="1546"/>
      <c r="F88" s="1546"/>
      <c r="G88" s="1546"/>
      <c r="H88" s="1546"/>
      <c r="I88" s="1546"/>
      <c r="J88" s="1546"/>
      <c r="K88" s="1546"/>
      <c r="L88" s="1546"/>
      <c r="M88" s="1546"/>
      <c r="N88" s="1547"/>
      <c r="O88" s="1604"/>
      <c r="P88" s="1605"/>
      <c r="Q88" s="1606"/>
      <c r="R88" s="1606"/>
      <c r="S88" s="1606"/>
      <c r="T88" s="1606"/>
      <c r="U88" s="1606"/>
      <c r="V88" s="1606"/>
      <c r="W88" s="1606"/>
      <c r="X88" s="1606"/>
      <c r="Y88" s="1606"/>
      <c r="Z88" s="1606"/>
      <c r="AA88" s="1606"/>
      <c r="AB88" s="1607"/>
      <c r="AC88" s="1608"/>
      <c r="AE88" s="1630"/>
      <c r="AF88" s="1645"/>
      <c r="AG88" s="1646"/>
      <c r="AH88" s="1646"/>
      <c r="AI88" s="1646"/>
      <c r="AJ88" s="1646"/>
      <c r="AK88" s="1646"/>
      <c r="AL88" s="1646"/>
      <c r="AM88" s="1646"/>
      <c r="AN88" s="1646"/>
      <c r="AO88" s="1646"/>
      <c r="AP88" s="1646"/>
      <c r="AQ88" s="1647"/>
      <c r="AR88" s="1634"/>
      <c r="AS88" s="1640"/>
      <c r="AT88" s="1640"/>
      <c r="AU88" s="1640"/>
      <c r="AV88" s="1640"/>
      <c r="AW88" s="1640"/>
      <c r="AX88" s="1640"/>
      <c r="AY88" s="1640"/>
      <c r="AZ88" s="1640"/>
      <c r="BA88" s="1641"/>
    </row>
    <row r="89" customHeight="1" spans="2:53">
      <c r="B89" s="1545"/>
      <c r="C89" s="1546"/>
      <c r="D89" s="1546"/>
      <c r="E89" s="1546"/>
      <c r="F89" s="1546"/>
      <c r="G89" s="1546"/>
      <c r="H89" s="1546"/>
      <c r="I89" s="1546"/>
      <c r="J89" s="1546"/>
      <c r="K89" s="1546"/>
      <c r="L89" s="1546"/>
      <c r="M89" s="1546"/>
      <c r="N89" s="1547"/>
      <c r="O89" s="1604"/>
      <c r="P89" s="1605"/>
      <c r="Q89" s="1606"/>
      <c r="R89" s="1606"/>
      <c r="S89" s="1606"/>
      <c r="T89" s="1606"/>
      <c r="U89" s="1606"/>
      <c r="V89" s="1606"/>
      <c r="W89" s="1606"/>
      <c r="X89" s="1606"/>
      <c r="Y89" s="1606"/>
      <c r="Z89" s="1606"/>
      <c r="AA89" s="1606"/>
      <c r="AB89" s="1607"/>
      <c r="AC89" s="1608"/>
      <c r="AE89" s="1630"/>
      <c r="AF89" s="1645"/>
      <c r="AG89" s="1646"/>
      <c r="AH89" s="1646"/>
      <c r="AI89" s="1646"/>
      <c r="AJ89" s="1646"/>
      <c r="AK89" s="1646"/>
      <c r="AL89" s="1646"/>
      <c r="AM89" s="1646"/>
      <c r="AN89" s="1646"/>
      <c r="AO89" s="1646"/>
      <c r="AP89" s="1646"/>
      <c r="AQ89" s="1647"/>
      <c r="AR89" s="1634"/>
      <c r="AS89" s="1640"/>
      <c r="AT89" s="1640"/>
      <c r="AU89" s="1640"/>
      <c r="AV89" s="1640"/>
      <c r="AW89" s="1640"/>
      <c r="AX89" s="1640"/>
      <c r="AY89" s="1640"/>
      <c r="AZ89" s="1640"/>
      <c r="BA89" s="1641"/>
    </row>
    <row r="90" customHeight="1" spans="2:53">
      <c r="B90" s="1545"/>
      <c r="C90" s="1546"/>
      <c r="D90" s="1546"/>
      <c r="E90" s="1546"/>
      <c r="F90" s="1546"/>
      <c r="G90" s="1546"/>
      <c r="H90" s="1546"/>
      <c r="I90" s="1546"/>
      <c r="J90" s="1546"/>
      <c r="K90" s="1546"/>
      <c r="L90" s="1546"/>
      <c r="M90" s="1546"/>
      <c r="N90" s="1547"/>
      <c r="O90" s="1604"/>
      <c r="P90" s="1605"/>
      <c r="Q90" s="1606"/>
      <c r="R90" s="1606"/>
      <c r="S90" s="1606"/>
      <c r="T90" s="1606"/>
      <c r="U90" s="1606"/>
      <c r="V90" s="1606"/>
      <c r="W90" s="1606"/>
      <c r="X90" s="1606"/>
      <c r="Y90" s="1606"/>
      <c r="Z90" s="1606"/>
      <c r="AA90" s="1606"/>
      <c r="AB90" s="1607"/>
      <c r="AC90" s="1608"/>
      <c r="AE90" s="1630"/>
      <c r="AF90" s="1648"/>
      <c r="AG90" s="1649"/>
      <c r="AH90" s="1649"/>
      <c r="AI90" s="1649"/>
      <c r="AJ90" s="1649"/>
      <c r="AK90" s="1649"/>
      <c r="AL90" s="1649"/>
      <c r="AM90" s="1649"/>
      <c r="AN90" s="1649"/>
      <c r="AO90" s="1649"/>
      <c r="AP90" s="1649"/>
      <c r="AQ90" s="1650"/>
      <c r="AR90" s="1634"/>
      <c r="AS90" s="1640"/>
      <c r="AT90" s="1640"/>
      <c r="AU90" s="1640"/>
      <c r="AV90" s="1640"/>
      <c r="AW90" s="1640"/>
      <c r="AX90" s="1640"/>
      <c r="AY90" s="1640"/>
      <c r="AZ90" s="1640"/>
      <c r="BA90" s="1641"/>
    </row>
    <row r="91" customHeight="1" spans="2:53">
      <c r="B91" s="1545"/>
      <c r="C91" s="1651" t="s">
        <v>242</v>
      </c>
      <c r="D91" s="1652"/>
      <c r="E91" s="1652"/>
      <c r="F91" s="1652"/>
      <c r="G91" s="1652"/>
      <c r="H91" s="1652"/>
      <c r="I91" s="1652"/>
      <c r="J91" s="1652"/>
      <c r="K91" s="1652"/>
      <c r="L91" s="1652"/>
      <c r="M91" s="1652"/>
      <c r="N91" s="1653"/>
      <c r="O91" s="1604"/>
      <c r="P91" s="1605"/>
      <c r="Q91" s="1606"/>
      <c r="R91" s="1606"/>
      <c r="S91" s="1606"/>
      <c r="T91" s="1606"/>
      <c r="U91" s="1606"/>
      <c r="V91" s="1606"/>
      <c r="W91" s="1606"/>
      <c r="X91" s="1606"/>
      <c r="Y91" s="1606"/>
      <c r="Z91" s="1606"/>
      <c r="AA91" s="1606"/>
      <c r="AB91" s="1607"/>
      <c r="AC91" s="1608"/>
      <c r="AE91" s="1630"/>
      <c r="AF91" s="1654" t="s">
        <v>243</v>
      </c>
      <c r="AG91" s="1655" t="str">
        <f>_xlfn.TEXTJOIN("、",TRUE,特质表!C203,特质表!C208,特质表!C213,特质表!C218,特质表!C223,特质表!C228,特质表!C233,特质表!C238,特质表!C243,特质表!C248,特质表!D204:D207,特质表!D209:D212,特质表!D214:D217,特质表!D219:D222,特质表!D224:D227,特质表!D229:D232,特质表!D234:D237,特质表!D239:D242,特质表!D244:D247,特质表!D249:D252)</f>
        <v/>
      </c>
      <c r="AH91" s="1655"/>
      <c r="AI91" s="1655"/>
      <c r="AJ91" s="1655"/>
      <c r="AK91" s="1655"/>
      <c r="AL91" s="1655"/>
      <c r="AM91" s="1655"/>
      <c r="AN91" s="1655"/>
      <c r="AO91" s="1655"/>
      <c r="AP91" s="1655"/>
      <c r="AQ91" s="1656"/>
      <c r="AR91" s="1634"/>
      <c r="AS91" s="1640"/>
      <c r="AT91" s="1640"/>
      <c r="AU91" s="1640"/>
      <c r="AV91" s="1640"/>
      <c r="AW91" s="1640"/>
      <c r="AX91" s="1640"/>
      <c r="AY91" s="1640"/>
      <c r="AZ91" s="1640"/>
      <c r="BA91" s="1641"/>
    </row>
    <row r="92" customHeight="1" spans="2:53">
      <c r="B92" s="1545"/>
      <c r="C92" s="1546"/>
      <c r="D92" s="1546"/>
      <c r="E92" s="1546"/>
      <c r="F92" s="1546"/>
      <c r="G92" s="1546"/>
      <c r="H92" s="1546"/>
      <c r="I92" s="1546"/>
      <c r="J92" s="1546"/>
      <c r="K92" s="1546"/>
      <c r="L92" s="1546"/>
      <c r="M92" s="1546"/>
      <c r="N92" s="1547"/>
      <c r="O92" s="1604"/>
      <c r="P92" s="1605"/>
      <c r="Q92" s="1606"/>
      <c r="R92" s="1606"/>
      <c r="S92" s="1606"/>
      <c r="T92" s="1606"/>
      <c r="U92" s="1606"/>
      <c r="V92" s="1606"/>
      <c r="W92" s="1606"/>
      <c r="X92" s="1606"/>
      <c r="Y92" s="1606"/>
      <c r="Z92" s="1606"/>
      <c r="AA92" s="1606"/>
      <c r="AB92" s="1607"/>
      <c r="AC92" s="1608"/>
      <c r="AE92" s="1630"/>
      <c r="AF92" s="1657"/>
      <c r="AG92" s="1658"/>
      <c r="AH92" s="1658"/>
      <c r="AI92" s="1658"/>
      <c r="AJ92" s="1658"/>
      <c r="AK92" s="1658"/>
      <c r="AL92" s="1658"/>
      <c r="AM92" s="1658"/>
      <c r="AN92" s="1658"/>
      <c r="AO92" s="1658"/>
      <c r="AP92" s="1658"/>
      <c r="AQ92" s="1659"/>
      <c r="AR92" s="1634"/>
      <c r="AS92" s="1640"/>
      <c r="AT92" s="1640"/>
      <c r="AU92" s="1640"/>
      <c r="AV92" s="1640"/>
      <c r="AW92" s="1640"/>
      <c r="AX92" s="1640"/>
      <c r="AY92" s="1640"/>
      <c r="AZ92" s="1640"/>
      <c r="BA92" s="1641"/>
    </row>
    <row r="93" customHeight="1" spans="2:53">
      <c r="B93" s="1545"/>
      <c r="C93" s="1546"/>
      <c r="D93" s="1546"/>
      <c r="E93" s="1546"/>
      <c r="F93" s="1546"/>
      <c r="G93" s="1546"/>
      <c r="H93" s="1546"/>
      <c r="I93" s="1546"/>
      <c r="J93" s="1546"/>
      <c r="K93" s="1546"/>
      <c r="L93" s="1546"/>
      <c r="M93" s="1546"/>
      <c r="N93" s="1547"/>
      <c r="O93" s="1604"/>
      <c r="P93" s="1605"/>
      <c r="Q93" s="1606"/>
      <c r="R93" s="1606"/>
      <c r="S93" s="1606"/>
      <c r="T93" s="1606"/>
      <c r="U93" s="1606"/>
      <c r="V93" s="1606"/>
      <c r="W93" s="1606"/>
      <c r="X93" s="1606"/>
      <c r="Y93" s="1606"/>
      <c r="Z93" s="1606"/>
      <c r="AA93" s="1606"/>
      <c r="AB93" s="1607"/>
      <c r="AC93" s="1608"/>
      <c r="AE93" s="1630"/>
      <c r="AF93" s="1657"/>
      <c r="AG93" s="1658"/>
      <c r="AH93" s="1658"/>
      <c r="AI93" s="1658"/>
      <c r="AJ93" s="1658"/>
      <c r="AK93" s="1658"/>
      <c r="AL93" s="1658"/>
      <c r="AM93" s="1658"/>
      <c r="AN93" s="1658"/>
      <c r="AO93" s="1658"/>
      <c r="AP93" s="1658"/>
      <c r="AQ93" s="1659"/>
      <c r="AR93" s="1634"/>
      <c r="AS93" s="1640"/>
      <c r="AT93" s="1640"/>
      <c r="AU93" s="1640"/>
      <c r="AV93" s="1640"/>
      <c r="AW93" s="1640"/>
      <c r="AX93" s="1640"/>
      <c r="AY93" s="1640"/>
      <c r="AZ93" s="1640"/>
      <c r="BA93" s="1641"/>
    </row>
    <row r="94" customHeight="1" spans="2:53">
      <c r="B94" s="1660"/>
      <c r="C94" s="1661"/>
      <c r="D94" s="1661"/>
      <c r="E94" s="1661"/>
      <c r="F94" s="1661"/>
      <c r="G94" s="1661"/>
      <c r="H94" s="1661"/>
      <c r="I94" s="1661"/>
      <c r="J94" s="1661"/>
      <c r="K94" s="1661"/>
      <c r="L94" s="1661"/>
      <c r="M94" s="1661"/>
      <c r="N94" s="1662"/>
      <c r="O94" s="1663"/>
      <c r="P94" s="1664"/>
      <c r="Q94" s="1665"/>
      <c r="R94" s="1665"/>
      <c r="S94" s="1665"/>
      <c r="T94" s="1665"/>
      <c r="U94" s="1665"/>
      <c r="V94" s="1665"/>
      <c r="W94" s="1665"/>
      <c r="X94" s="1665"/>
      <c r="Y94" s="1665"/>
      <c r="Z94" s="1665"/>
      <c r="AA94" s="1665"/>
      <c r="AB94" s="1666"/>
      <c r="AC94" s="1667"/>
      <c r="AE94" s="1668"/>
      <c r="AF94" s="1669"/>
      <c r="AG94" s="1670"/>
      <c r="AH94" s="1670"/>
      <c r="AI94" s="1670"/>
      <c r="AJ94" s="1670"/>
      <c r="AK94" s="1670"/>
      <c r="AL94" s="1670"/>
      <c r="AM94" s="1670"/>
      <c r="AN94" s="1670"/>
      <c r="AO94" s="1670"/>
      <c r="AP94" s="1670"/>
      <c r="AQ94" s="1671"/>
      <c r="AR94" s="1672"/>
      <c r="AS94" s="1673"/>
      <c r="AT94" s="1673"/>
      <c r="AU94" s="1673"/>
      <c r="AV94" s="1673"/>
      <c r="AW94" s="1674"/>
      <c r="AX94" s="1674"/>
      <c r="AY94" s="1674"/>
      <c r="AZ94" s="1674"/>
      <c r="BA94" s="1675" t="s">
        <v>244</v>
      </c>
    </row>
    <row r="95" customHeight="1" spans="2:53">
      <c r="B95" s="749"/>
      <c r="C95" s="749"/>
      <c r="D95" s="749"/>
      <c r="E95" s="749"/>
      <c r="F95" s="749"/>
      <c r="G95" s="749"/>
      <c r="H95" s="749"/>
      <c r="I95" s="749"/>
      <c r="J95" s="749"/>
      <c r="K95" s="749"/>
      <c r="L95" s="749"/>
      <c r="M95" s="749"/>
      <c r="N95" s="749"/>
      <c r="O95" s="749"/>
      <c r="P95" s="749"/>
      <c r="Q95" s="749"/>
      <c r="R95" s="749"/>
      <c r="S95" s="749"/>
      <c r="T95" s="749"/>
      <c r="U95" s="749"/>
      <c r="V95" s="749"/>
      <c r="W95" s="749"/>
      <c r="X95" s="749"/>
      <c r="Y95" s="749"/>
      <c r="Z95" s="749"/>
      <c r="AA95" s="749"/>
      <c r="AB95" s="749"/>
      <c r="AC95" s="749"/>
      <c r="AE95" s="749"/>
      <c r="AF95" s="749"/>
      <c r="AG95" s="749"/>
      <c r="AH95" s="749"/>
      <c r="AI95" s="749"/>
      <c r="AJ95" s="749"/>
      <c r="AK95" s="749"/>
      <c r="AL95" s="749"/>
      <c r="AM95" s="749"/>
      <c r="AN95" s="749"/>
      <c r="AO95" s="749"/>
      <c r="AP95" s="749"/>
      <c r="AQ95" s="749"/>
      <c r="AR95" s="749"/>
      <c r="AS95" s="749"/>
      <c r="AT95" s="749"/>
      <c r="AU95" s="749"/>
      <c r="AV95" s="749"/>
      <c r="AW95" s="749"/>
      <c r="AX95" s="749"/>
      <c r="AY95" s="749"/>
      <c r="AZ95" s="749"/>
      <c r="BA95" s="749"/>
    </row>
    <row r="96" customHeight="1" spans="2:53">
      <c r="B96" s="749"/>
      <c r="C96" s="749"/>
      <c r="D96" s="749"/>
      <c r="E96" s="749"/>
      <c r="F96" s="749"/>
      <c r="G96" s="749"/>
      <c r="H96" s="749"/>
      <c r="I96" s="749"/>
      <c r="J96" s="749"/>
      <c r="K96" s="749"/>
      <c r="L96" s="749"/>
      <c r="M96" s="749"/>
      <c r="N96" s="749"/>
      <c r="O96" s="749"/>
      <c r="P96" s="749"/>
      <c r="Q96" s="749"/>
      <c r="R96" s="749"/>
      <c r="S96" s="749"/>
      <c r="T96" s="749"/>
      <c r="U96" s="749"/>
      <c r="V96" s="749"/>
      <c r="W96" s="749"/>
      <c r="X96" s="749"/>
      <c r="Y96" s="749"/>
      <c r="Z96" s="749"/>
      <c r="AA96" s="749"/>
      <c r="AB96" s="749"/>
      <c r="AC96" s="749"/>
      <c r="AE96" s="749"/>
      <c r="AF96" s="749"/>
      <c r="AG96" s="749"/>
      <c r="AH96" s="749"/>
      <c r="AI96" s="749"/>
      <c r="AJ96" s="749"/>
      <c r="AK96" s="749"/>
      <c r="AL96" s="749"/>
      <c r="AM96" s="749"/>
      <c r="AN96" s="749"/>
      <c r="AO96" s="749"/>
      <c r="AP96" s="749"/>
      <c r="AQ96" s="749"/>
      <c r="AR96" s="749"/>
      <c r="AS96" s="749"/>
      <c r="AT96" s="749"/>
      <c r="AU96" s="749"/>
      <c r="AV96" s="749"/>
      <c r="AW96" s="749"/>
      <c r="AX96" s="749"/>
      <c r="AY96" s="749"/>
      <c r="AZ96" s="749"/>
      <c r="BA96" s="749"/>
    </row>
    <row r="97" customHeight="1" spans="2:53">
      <c r="B97" s="749"/>
      <c r="C97" s="749"/>
      <c r="D97" s="749"/>
      <c r="E97" s="749"/>
      <c r="F97" s="749"/>
      <c r="G97" s="749"/>
      <c r="H97" s="749"/>
      <c r="I97" s="749"/>
      <c r="J97" s="749"/>
      <c r="K97" s="749"/>
      <c r="L97" s="749"/>
      <c r="M97" s="749"/>
      <c r="N97" s="749"/>
      <c r="O97" s="749"/>
      <c r="P97" s="749"/>
      <c r="Q97" s="749"/>
      <c r="R97" s="749"/>
      <c r="S97" s="749"/>
      <c r="T97" s="749"/>
      <c r="U97" s="749"/>
      <c r="V97" s="749"/>
      <c r="W97" s="749"/>
      <c r="X97" s="749"/>
      <c r="Y97" s="749"/>
      <c r="Z97" s="749"/>
      <c r="AA97" s="749"/>
      <c r="AB97" s="749"/>
      <c r="AC97" s="749"/>
      <c r="AE97" s="749"/>
      <c r="AF97" s="749"/>
      <c r="AG97" s="749"/>
      <c r="AH97" s="749"/>
      <c r="AI97" s="749"/>
      <c r="AJ97" s="749"/>
      <c r="AK97" s="749"/>
      <c r="AL97" s="749"/>
      <c r="AM97" s="749"/>
      <c r="AN97" s="749"/>
      <c r="AO97" s="749"/>
      <c r="AP97" s="749"/>
      <c r="AQ97" s="749"/>
      <c r="AR97" s="749"/>
      <c r="AS97" s="749"/>
      <c r="AT97" s="749"/>
      <c r="AU97" s="749"/>
      <c r="AV97" s="749"/>
      <c r="AW97" s="749"/>
      <c r="AX97" s="749"/>
      <c r="AY97" s="749"/>
      <c r="AZ97" s="749"/>
      <c r="BA97" s="749"/>
    </row>
    <row r="98" customHeight="1" spans="2:53">
      <c r="B98" s="749"/>
      <c r="C98" s="749"/>
      <c r="D98" s="749"/>
      <c r="E98" s="749"/>
      <c r="F98" s="749"/>
      <c r="G98" s="749"/>
      <c r="H98" s="749"/>
      <c r="I98" s="749"/>
      <c r="J98" s="749"/>
      <c r="K98" s="749"/>
      <c r="L98" s="749"/>
      <c r="M98" s="749"/>
      <c r="N98" s="749"/>
      <c r="O98" s="749"/>
      <c r="P98" s="749"/>
      <c r="Q98" s="749"/>
      <c r="R98" s="749"/>
      <c r="S98" s="749"/>
      <c r="T98" s="749"/>
      <c r="U98" s="749"/>
      <c r="V98" s="749"/>
      <c r="W98" s="749"/>
      <c r="X98" s="749"/>
      <c r="Y98" s="749"/>
      <c r="Z98" s="749"/>
      <c r="AA98" s="749"/>
      <c r="AB98" s="749"/>
      <c r="AC98" s="749"/>
      <c r="AE98" s="749"/>
      <c r="AF98" s="749"/>
      <c r="AG98" s="749"/>
      <c r="AH98" s="749"/>
      <c r="AI98" s="749"/>
      <c r="AJ98" s="749"/>
      <c r="AK98" s="749"/>
      <c r="AL98" s="749"/>
      <c r="AM98" s="749"/>
      <c r="AN98" s="749"/>
      <c r="AO98" s="749"/>
      <c r="AP98" s="749"/>
      <c r="AQ98" s="749"/>
      <c r="AR98" s="749"/>
      <c r="AS98" s="749"/>
      <c r="AT98" s="749"/>
      <c r="AU98" s="749"/>
      <c r="AV98" s="749"/>
      <c r="AW98" s="749"/>
      <c r="AX98" s="749"/>
      <c r="AY98" s="749"/>
      <c r="AZ98" s="749"/>
      <c r="BA98" s="749"/>
    </row>
    <row r="99" customHeight="1" spans="2:53">
      <c r="B99" s="749"/>
      <c r="C99" s="749"/>
      <c r="D99" s="749"/>
      <c r="E99" s="749"/>
      <c r="F99" s="749"/>
      <c r="G99" s="749"/>
      <c r="H99" s="749"/>
      <c r="I99" s="749"/>
      <c r="J99" s="749"/>
      <c r="K99" s="749"/>
      <c r="L99" s="749"/>
      <c r="M99" s="749"/>
      <c r="N99" s="749"/>
      <c r="O99" s="749"/>
      <c r="P99" s="749"/>
      <c r="Q99" s="749"/>
      <c r="R99" s="749"/>
      <c r="S99" s="749"/>
      <c r="T99" s="749"/>
      <c r="U99" s="749"/>
      <c r="V99" s="749"/>
      <c r="W99" s="749"/>
      <c r="X99" s="749"/>
      <c r="Y99" s="749"/>
      <c r="Z99" s="749"/>
      <c r="AA99" s="749"/>
      <c r="AB99" s="749"/>
      <c r="AC99" s="749"/>
      <c r="AE99" s="749"/>
      <c r="AF99" s="749"/>
      <c r="AG99" s="749"/>
      <c r="AH99" s="749"/>
      <c r="AI99" s="749"/>
      <c r="AJ99" s="749"/>
      <c r="AK99" s="749"/>
      <c r="AL99" s="749"/>
      <c r="AM99" s="749"/>
      <c r="AN99" s="749"/>
      <c r="AO99" s="749"/>
      <c r="AP99" s="749"/>
      <c r="AQ99" s="749"/>
      <c r="AR99" s="749"/>
      <c r="AS99" s="749"/>
      <c r="AT99" s="749"/>
      <c r="AU99" s="749"/>
      <c r="AV99" s="749"/>
      <c r="AW99" s="749"/>
      <c r="AX99" s="749"/>
      <c r="AY99" s="749"/>
      <c r="AZ99" s="749"/>
      <c r="BA99" s="749"/>
    </row>
    <row r="100" s="749" customFormat="1" customHeight="1"/>
    <row r="101" s="749" customFormat="1" customHeight="1"/>
    <row r="102" s="749" customFormat="1" customHeight="1"/>
    <row r="103" s="749" customFormat="1" customHeight="1"/>
    <row r="104" s="749" customFormat="1" customHeight="1"/>
    <row r="105" s="749" customFormat="1" customHeight="1"/>
    <row r="106" s="749" customFormat="1" customHeight="1"/>
    <row r="107" s="749" customFormat="1" customHeight="1"/>
    <row r="108" s="749" customFormat="1" customHeight="1"/>
    <row r="109" s="749" customFormat="1" customHeight="1"/>
    <row r="110" s="749" customFormat="1" customHeight="1"/>
    <row r="111" s="749" customFormat="1" customHeight="1"/>
    <row r="112" s="749" customFormat="1" customHeight="1"/>
    <row r="113" s="749" customFormat="1" customHeight="1"/>
    <row r="114" s="749" customFormat="1" customHeight="1"/>
    <row r="115" s="750" customFormat="1" customHeight="1" spans="1:57">
      <c r="A115" s="749"/>
      <c r="B115" s="750"/>
      <c r="C115" s="750"/>
      <c r="D115" s="750"/>
      <c r="E115" s="750"/>
      <c r="F115" s="750"/>
      <c r="G115" s="750"/>
      <c r="H115" s="750"/>
      <c r="I115" s="750"/>
      <c r="J115" s="750"/>
      <c r="K115" s="750"/>
      <c r="L115" s="750"/>
      <c r="M115" s="750"/>
      <c r="N115" s="750"/>
      <c r="O115" s="750"/>
      <c r="P115" s="750"/>
      <c r="Q115" s="750"/>
      <c r="R115" s="750"/>
      <c r="S115" s="750"/>
      <c r="T115" s="750"/>
      <c r="U115" s="750"/>
      <c r="V115" s="750"/>
      <c r="W115" s="750"/>
      <c r="X115" s="750"/>
      <c r="Y115" s="750"/>
      <c r="Z115" s="750"/>
      <c r="AA115" s="750"/>
      <c r="AB115" s="750"/>
      <c r="AC115" s="750"/>
      <c r="AD115" s="749"/>
      <c r="AE115" s="750"/>
      <c r="AF115" s="750"/>
      <c r="AG115" s="750"/>
      <c r="AH115" s="750"/>
      <c r="AI115" s="750"/>
      <c r="AJ115" s="750"/>
      <c r="AK115" s="750"/>
      <c r="AL115" s="750"/>
      <c r="AM115" s="750"/>
      <c r="AN115" s="750"/>
      <c r="AO115" s="750"/>
      <c r="AP115" s="750"/>
      <c r="AQ115" s="750"/>
      <c r="AR115" s="750"/>
      <c r="AS115" s="750"/>
      <c r="AT115" s="750"/>
      <c r="AU115" s="750"/>
      <c r="AV115" s="750"/>
      <c r="AW115" s="750"/>
      <c r="AX115" s="750"/>
      <c r="AY115" s="750"/>
      <c r="AZ115" s="750"/>
      <c r="BA115" s="750"/>
      <c r="BB115" s="749"/>
      <c r="BC115" s="749"/>
      <c r="BD115" s="749"/>
      <c r="BE115" s="749"/>
    </row>
    <row r="116" s="750" customFormat="1" customHeight="1" spans="1:57">
      <c r="A116" s="749"/>
      <c r="B116" s="750"/>
      <c r="C116" s="750"/>
      <c r="D116" s="750"/>
      <c r="E116" s="750"/>
      <c r="F116" s="750"/>
      <c r="G116" s="750"/>
      <c r="H116" s="750"/>
      <c r="I116" s="750"/>
      <c r="J116" s="750"/>
      <c r="K116" s="750"/>
      <c r="L116" s="750"/>
      <c r="M116" s="750"/>
      <c r="N116" s="750"/>
      <c r="O116" s="750"/>
      <c r="P116" s="750"/>
      <c r="Q116" s="750"/>
      <c r="R116" s="750"/>
      <c r="S116" s="750"/>
      <c r="T116" s="750"/>
      <c r="U116" s="750"/>
      <c r="V116" s="750"/>
      <c r="W116" s="750"/>
      <c r="X116" s="750"/>
      <c r="Y116" s="750"/>
      <c r="Z116" s="750"/>
      <c r="AA116" s="750"/>
      <c r="AB116" s="750"/>
      <c r="AC116" s="750"/>
      <c r="AD116" s="749"/>
      <c r="AE116" s="750"/>
      <c r="AF116" s="750"/>
      <c r="AG116" s="750"/>
      <c r="AH116" s="750"/>
      <c r="AI116" s="750"/>
      <c r="AJ116" s="750"/>
      <c r="AK116" s="750"/>
      <c r="AL116" s="750"/>
      <c r="AM116" s="750"/>
      <c r="AN116" s="750"/>
      <c r="AO116" s="750"/>
      <c r="AP116" s="750"/>
      <c r="AQ116" s="750"/>
      <c r="AR116" s="750"/>
      <c r="AS116" s="750"/>
      <c r="AT116" s="750"/>
      <c r="AU116" s="750"/>
      <c r="AV116" s="750"/>
      <c r="AW116" s="750"/>
      <c r="AX116" s="750"/>
      <c r="AY116" s="750"/>
      <c r="AZ116" s="750"/>
      <c r="BA116" s="750"/>
      <c r="BB116" s="749"/>
      <c r="BC116" s="749"/>
      <c r="BD116" s="749"/>
      <c r="BE116" s="749"/>
    </row>
    <row r="117" s="750" customFormat="1" customHeight="1" spans="1:57">
      <c r="A117" s="749"/>
      <c r="B117" s="750"/>
      <c r="C117" s="750"/>
      <c r="D117" s="750"/>
      <c r="E117" s="750"/>
      <c r="F117" s="750"/>
      <c r="G117" s="750"/>
      <c r="H117" s="750"/>
      <c r="I117" s="750"/>
      <c r="J117" s="750"/>
      <c r="K117" s="750"/>
      <c r="L117" s="750"/>
      <c r="M117" s="750"/>
      <c r="N117" s="750"/>
      <c r="O117" s="750"/>
      <c r="P117" s="750"/>
      <c r="Q117" s="750"/>
      <c r="R117" s="750"/>
      <c r="S117" s="750"/>
      <c r="T117" s="750"/>
      <c r="U117" s="750"/>
      <c r="V117" s="750"/>
      <c r="W117" s="750"/>
      <c r="X117" s="750"/>
      <c r="Y117" s="750"/>
      <c r="Z117" s="750"/>
      <c r="AA117" s="750"/>
      <c r="AB117" s="750"/>
      <c r="AC117" s="750"/>
      <c r="AD117" s="749"/>
      <c r="AE117" s="750"/>
      <c r="AF117" s="750"/>
      <c r="AG117" s="750"/>
      <c r="AH117" s="750"/>
      <c r="AI117" s="750"/>
      <c r="AJ117" s="750"/>
      <c r="AK117" s="750"/>
      <c r="AL117" s="750"/>
      <c r="AM117" s="750"/>
      <c r="AN117" s="750"/>
      <c r="AO117" s="750"/>
      <c r="AP117" s="750"/>
      <c r="AQ117" s="750"/>
      <c r="AR117" s="750"/>
      <c r="AS117" s="750"/>
      <c r="AT117" s="750"/>
      <c r="AU117" s="750"/>
      <c r="AV117" s="750"/>
      <c r="AW117" s="750"/>
      <c r="AX117" s="750"/>
      <c r="AY117" s="750"/>
      <c r="AZ117" s="750"/>
      <c r="BA117" s="750"/>
      <c r="BB117" s="749"/>
      <c r="BC117" s="749"/>
      <c r="BD117" s="749"/>
      <c r="BE117" s="749"/>
    </row>
    <row r="118" s="750" customFormat="1" customHeight="1" spans="1:57">
      <c r="A118" s="749"/>
      <c r="B118" s="750"/>
      <c r="C118" s="750"/>
      <c r="D118" s="750"/>
      <c r="E118" s="750"/>
      <c r="F118" s="750"/>
      <c r="G118" s="750"/>
      <c r="H118" s="750"/>
      <c r="I118" s="750"/>
      <c r="J118" s="750"/>
      <c r="K118" s="750"/>
      <c r="L118" s="750"/>
      <c r="M118" s="750"/>
      <c r="N118" s="750"/>
      <c r="O118" s="750"/>
      <c r="P118" s="750"/>
      <c r="Q118" s="750"/>
      <c r="R118" s="750"/>
      <c r="S118" s="750"/>
      <c r="T118" s="750"/>
      <c r="U118" s="750"/>
      <c r="V118" s="750"/>
      <c r="W118" s="750"/>
      <c r="X118" s="750"/>
      <c r="Y118" s="750"/>
      <c r="Z118" s="750"/>
      <c r="AA118" s="750"/>
      <c r="AB118" s="750"/>
      <c r="AC118" s="750"/>
      <c r="AD118" s="749"/>
      <c r="AE118" s="750"/>
      <c r="AF118" s="750"/>
      <c r="AG118" s="750"/>
      <c r="AH118" s="750"/>
      <c r="AI118" s="750"/>
      <c r="AJ118" s="750"/>
      <c r="AK118" s="750"/>
      <c r="AL118" s="750"/>
      <c r="AM118" s="750"/>
      <c r="AN118" s="750"/>
      <c r="AO118" s="750"/>
      <c r="AP118" s="750"/>
      <c r="AQ118" s="750"/>
      <c r="AR118" s="750"/>
      <c r="AS118" s="750"/>
      <c r="AT118" s="750"/>
      <c r="AU118" s="750"/>
      <c r="AV118" s="750"/>
      <c r="AW118" s="750"/>
      <c r="AX118" s="750"/>
      <c r="AY118" s="750"/>
      <c r="AZ118" s="750"/>
      <c r="BA118" s="750"/>
      <c r="BB118" s="749"/>
      <c r="BC118" s="749"/>
      <c r="BD118" s="749"/>
      <c r="BE118" s="749"/>
    </row>
    <row r="119" s="750" customFormat="1" customHeight="1" spans="1:57">
      <c r="A119" s="749"/>
      <c r="B119" s="750"/>
      <c r="C119" s="750"/>
      <c r="D119" s="750"/>
      <c r="E119" s="750"/>
      <c r="F119" s="750"/>
      <c r="G119" s="750"/>
      <c r="H119" s="750"/>
      <c r="I119" s="750"/>
      <c r="J119" s="750"/>
      <c r="K119" s="750"/>
      <c r="L119" s="750"/>
      <c r="M119" s="750"/>
      <c r="N119" s="750"/>
      <c r="O119" s="750"/>
      <c r="P119" s="750"/>
      <c r="Q119" s="750"/>
      <c r="R119" s="750"/>
      <c r="S119" s="750"/>
      <c r="T119" s="750"/>
      <c r="U119" s="750"/>
      <c r="V119" s="750"/>
      <c r="W119" s="750"/>
      <c r="X119" s="750"/>
      <c r="Y119" s="750"/>
      <c r="Z119" s="750"/>
      <c r="AA119" s="750"/>
      <c r="AB119" s="750"/>
      <c r="AC119" s="750"/>
      <c r="AD119" s="749"/>
      <c r="AE119" s="750"/>
      <c r="AF119" s="750"/>
      <c r="AG119" s="750"/>
      <c r="AH119" s="750"/>
      <c r="AI119" s="750"/>
      <c r="AJ119" s="750"/>
      <c r="AK119" s="750"/>
      <c r="AL119" s="750"/>
      <c r="AM119" s="750"/>
      <c r="AN119" s="750"/>
      <c r="AO119" s="750"/>
      <c r="AP119" s="750"/>
      <c r="AQ119" s="750"/>
      <c r="AR119" s="750"/>
      <c r="AS119" s="750"/>
      <c r="AT119" s="750"/>
      <c r="AU119" s="750"/>
      <c r="AV119" s="750"/>
      <c r="AW119" s="750"/>
      <c r="AX119" s="750"/>
      <c r="AY119" s="750"/>
      <c r="AZ119" s="750"/>
      <c r="BA119" s="750"/>
      <c r="BB119" s="749"/>
      <c r="BC119" s="749"/>
      <c r="BD119" s="749"/>
      <c r="BE119" s="749"/>
    </row>
    <row r="120" s="750" customFormat="1" ht="14" customHeight="1" spans="1:57">
      <c r="A120" s="749"/>
      <c r="B120" s="750"/>
      <c r="C120" s="750"/>
      <c r="D120" s="750"/>
      <c r="E120" s="750"/>
      <c r="F120" s="750"/>
      <c r="G120" s="750"/>
      <c r="H120" s="750"/>
      <c r="I120" s="750"/>
      <c r="J120" s="750"/>
      <c r="K120" s="750"/>
      <c r="L120" s="750"/>
      <c r="M120" s="750"/>
      <c r="N120" s="750"/>
      <c r="O120" s="750"/>
      <c r="P120" s="750"/>
      <c r="Q120" s="750"/>
      <c r="R120" s="750"/>
      <c r="S120" s="750"/>
      <c r="T120" s="750"/>
      <c r="U120" s="750"/>
      <c r="V120" s="750"/>
      <c r="W120" s="750"/>
      <c r="X120" s="750"/>
      <c r="Y120" s="750"/>
      <c r="Z120" s="750"/>
      <c r="AA120" s="750"/>
      <c r="AB120" s="750"/>
      <c r="AC120" s="750"/>
      <c r="AD120" s="749"/>
      <c r="AE120" s="750"/>
      <c r="AF120" s="750"/>
      <c r="AG120" s="750"/>
      <c r="AH120" s="750"/>
      <c r="AI120" s="750"/>
      <c r="AJ120" s="750"/>
      <c r="AK120" s="750"/>
      <c r="AL120" s="750"/>
      <c r="AM120" s="750"/>
      <c r="AN120" s="750"/>
      <c r="AO120" s="750"/>
      <c r="AP120" s="750"/>
      <c r="AQ120" s="750"/>
      <c r="AR120" s="750"/>
      <c r="AS120" s="750"/>
      <c r="AT120" s="750"/>
      <c r="AU120" s="750"/>
      <c r="AV120" s="750"/>
      <c r="AW120" s="750"/>
      <c r="AX120" s="750"/>
      <c r="AY120" s="750"/>
      <c r="AZ120" s="750"/>
      <c r="BA120" s="750"/>
      <c r="BB120" s="749"/>
      <c r="BC120" s="749"/>
      <c r="BD120" s="749"/>
      <c r="BE120" s="749"/>
    </row>
    <row r="121" s="750" customFormat="1" customHeight="1" spans="1:57">
      <c r="A121" s="749"/>
      <c r="B121" s="750"/>
      <c r="C121" s="750"/>
      <c r="D121" s="750"/>
      <c r="E121" s="750"/>
      <c r="F121" s="750"/>
      <c r="G121" s="750"/>
      <c r="H121" s="750"/>
      <c r="I121" s="750"/>
      <c r="J121" s="750"/>
      <c r="K121" s="750"/>
      <c r="L121" s="750"/>
      <c r="M121" s="750"/>
      <c r="N121" s="750"/>
      <c r="O121" s="750"/>
      <c r="P121" s="750"/>
      <c r="Q121" s="750"/>
      <c r="R121" s="750"/>
      <c r="S121" s="750"/>
      <c r="T121" s="750"/>
      <c r="U121" s="750"/>
      <c r="V121" s="750"/>
      <c r="W121" s="750"/>
      <c r="X121" s="750"/>
      <c r="Y121" s="750"/>
      <c r="Z121" s="750"/>
      <c r="AA121" s="750"/>
      <c r="AB121" s="750"/>
      <c r="AC121" s="750"/>
      <c r="AD121" s="749"/>
      <c r="AE121" s="750"/>
      <c r="AF121" s="750"/>
      <c r="AG121" s="750"/>
      <c r="AH121" s="750"/>
      <c r="AI121" s="750"/>
      <c r="AJ121" s="750"/>
      <c r="AK121" s="750"/>
      <c r="AL121" s="750"/>
      <c r="AM121" s="750"/>
      <c r="AN121" s="750"/>
      <c r="AO121" s="750"/>
      <c r="AP121" s="750"/>
      <c r="AQ121" s="750"/>
      <c r="AR121" s="750"/>
      <c r="AS121" s="750"/>
      <c r="AT121" s="750"/>
      <c r="AU121" s="750"/>
      <c r="AV121" s="750"/>
      <c r="AW121" s="750"/>
      <c r="AX121" s="750"/>
      <c r="AY121" s="750"/>
      <c r="AZ121" s="750"/>
      <c r="BA121" s="750"/>
      <c r="BB121" s="749"/>
      <c r="BC121" s="749"/>
      <c r="BD121" s="749"/>
      <c r="BE121" s="749"/>
    </row>
    <row r="122" s="750" customFormat="1" customHeight="1" spans="1:57">
      <c r="A122" s="749"/>
      <c r="B122" s="750"/>
      <c r="C122" s="750"/>
      <c r="D122" s="750"/>
      <c r="E122" s="750"/>
      <c r="F122" s="750"/>
      <c r="G122" s="750"/>
      <c r="H122" s="750"/>
      <c r="I122" s="750"/>
      <c r="J122" s="750"/>
      <c r="K122" s="750"/>
      <c r="L122" s="750"/>
      <c r="M122" s="750"/>
      <c r="N122" s="750"/>
      <c r="O122" s="750"/>
      <c r="P122" s="750"/>
      <c r="Q122" s="750"/>
      <c r="R122" s="750"/>
      <c r="S122" s="750"/>
      <c r="T122" s="750"/>
      <c r="U122" s="750"/>
      <c r="V122" s="750"/>
      <c r="W122" s="750"/>
      <c r="X122" s="750"/>
      <c r="Y122" s="750"/>
      <c r="Z122" s="750"/>
      <c r="AA122" s="750"/>
      <c r="AB122" s="750"/>
      <c r="AC122" s="750"/>
      <c r="AD122" s="749"/>
      <c r="AE122" s="750"/>
      <c r="AF122" s="750"/>
      <c r="AG122" s="750"/>
      <c r="AH122" s="750"/>
      <c r="AI122" s="750"/>
      <c r="AJ122" s="750"/>
      <c r="AK122" s="750"/>
      <c r="AL122" s="750"/>
      <c r="AM122" s="750"/>
      <c r="AN122" s="750"/>
      <c r="AO122" s="750"/>
      <c r="AP122" s="750"/>
      <c r="AQ122" s="750"/>
      <c r="AR122" s="750"/>
      <c r="AS122" s="750"/>
      <c r="AT122" s="750"/>
      <c r="AU122" s="750"/>
      <c r="AV122" s="750"/>
      <c r="AW122" s="750"/>
      <c r="AX122" s="750"/>
      <c r="AY122" s="750"/>
      <c r="AZ122" s="750"/>
      <c r="BA122" s="750"/>
      <c r="BB122" s="749"/>
      <c r="BC122" s="749"/>
      <c r="BD122" s="749"/>
      <c r="BE122" s="749"/>
    </row>
    <row r="123" s="750" customFormat="1" customHeight="1" spans="1:57">
      <c r="A123" s="749"/>
      <c r="B123" s="750"/>
      <c r="C123" s="750"/>
      <c r="D123" s="750"/>
      <c r="E123" s="750"/>
      <c r="F123" s="750"/>
      <c r="G123" s="750"/>
      <c r="H123" s="750"/>
      <c r="I123" s="750"/>
      <c r="J123" s="750"/>
      <c r="K123" s="750"/>
      <c r="L123" s="750"/>
      <c r="M123" s="750"/>
      <c r="N123" s="750"/>
      <c r="O123" s="750"/>
      <c r="P123" s="750"/>
      <c r="Q123" s="750"/>
      <c r="R123" s="750"/>
      <c r="S123" s="750"/>
      <c r="T123" s="750"/>
      <c r="U123" s="750"/>
      <c r="V123" s="750"/>
      <c r="W123" s="750"/>
      <c r="X123" s="750"/>
      <c r="Y123" s="750"/>
      <c r="Z123" s="750"/>
      <c r="AA123" s="750"/>
      <c r="AB123" s="750"/>
      <c r="AC123" s="750"/>
      <c r="AD123" s="749"/>
      <c r="AE123" s="750"/>
      <c r="AF123" s="750"/>
      <c r="AG123" s="750"/>
      <c r="AH123" s="750"/>
      <c r="AI123" s="750"/>
      <c r="AJ123" s="750"/>
      <c r="AK123" s="750"/>
      <c r="AL123" s="750"/>
      <c r="AM123" s="750"/>
      <c r="AN123" s="750"/>
      <c r="AO123" s="750"/>
      <c r="AP123" s="750"/>
      <c r="AQ123" s="750"/>
      <c r="AR123" s="750"/>
      <c r="AS123" s="750"/>
      <c r="AT123" s="750"/>
      <c r="AU123" s="750"/>
      <c r="AV123" s="750"/>
      <c r="AW123" s="750"/>
      <c r="AX123" s="750"/>
      <c r="AY123" s="750"/>
      <c r="AZ123" s="750"/>
      <c r="BA123" s="750"/>
      <c r="BB123" s="749"/>
      <c r="BC123" s="749"/>
      <c r="BD123" s="749"/>
      <c r="BE123" s="749"/>
    </row>
    <row r="124" s="750" customFormat="1" customHeight="1" spans="1:57">
      <c r="A124" s="749"/>
      <c r="B124" s="750"/>
      <c r="C124" s="750"/>
      <c r="D124" s="750"/>
      <c r="E124" s="750"/>
      <c r="F124" s="750"/>
      <c r="G124" s="750"/>
      <c r="H124" s="750"/>
      <c r="I124" s="750"/>
      <c r="J124" s="750"/>
      <c r="K124" s="750"/>
      <c r="L124" s="750"/>
      <c r="M124" s="750"/>
      <c r="N124" s="750"/>
      <c r="O124" s="750"/>
      <c r="P124" s="750"/>
      <c r="Q124" s="750"/>
      <c r="R124" s="750"/>
      <c r="S124" s="750"/>
      <c r="T124" s="750"/>
      <c r="U124" s="750"/>
      <c r="V124" s="750"/>
      <c r="W124" s="750"/>
      <c r="X124" s="750"/>
      <c r="Y124" s="750"/>
      <c r="Z124" s="750"/>
      <c r="AA124" s="750"/>
      <c r="AB124" s="750"/>
      <c r="AC124" s="750"/>
      <c r="AD124" s="749"/>
      <c r="AE124" s="750"/>
      <c r="AF124" s="750"/>
      <c r="AG124" s="750"/>
      <c r="AH124" s="750"/>
      <c r="AI124" s="750"/>
      <c r="AJ124" s="750"/>
      <c r="AK124" s="750"/>
      <c r="AL124" s="750"/>
      <c r="AM124" s="750"/>
      <c r="AN124" s="750"/>
      <c r="AO124" s="750"/>
      <c r="AP124" s="750"/>
      <c r="AQ124" s="750"/>
      <c r="AR124" s="750"/>
      <c r="AS124" s="750"/>
      <c r="AT124" s="750"/>
      <c r="AU124" s="750"/>
      <c r="AV124" s="750"/>
      <c r="AW124" s="750"/>
      <c r="AX124" s="750"/>
      <c r="AY124" s="750"/>
      <c r="AZ124" s="750"/>
      <c r="BA124" s="750"/>
      <c r="BB124" s="749"/>
      <c r="BC124" s="749"/>
      <c r="BD124" s="749"/>
      <c r="BE124" s="749"/>
    </row>
    <row r="125" s="750" customFormat="1" customHeight="1" spans="1:57">
      <c r="A125" s="749"/>
      <c r="B125" s="750"/>
      <c r="C125" s="750"/>
      <c r="D125" s="750"/>
      <c r="E125" s="750"/>
      <c r="F125" s="750"/>
      <c r="G125" s="750"/>
      <c r="H125" s="750"/>
      <c r="I125" s="750"/>
      <c r="J125" s="750"/>
      <c r="K125" s="750"/>
      <c r="L125" s="750"/>
      <c r="M125" s="750"/>
      <c r="N125" s="750"/>
      <c r="O125" s="750"/>
      <c r="P125" s="750"/>
      <c r="Q125" s="750"/>
      <c r="R125" s="750"/>
      <c r="S125" s="750"/>
      <c r="T125" s="750"/>
      <c r="U125" s="750"/>
      <c r="V125" s="750"/>
      <c r="W125" s="750"/>
      <c r="X125" s="750"/>
      <c r="Y125" s="750"/>
      <c r="Z125" s="750"/>
      <c r="AA125" s="750"/>
      <c r="AB125" s="750"/>
      <c r="AC125" s="750"/>
      <c r="AD125" s="749"/>
      <c r="AE125" s="750"/>
      <c r="AF125" s="750"/>
      <c r="AG125" s="750"/>
      <c r="AH125" s="750"/>
      <c r="AI125" s="750"/>
      <c r="AJ125" s="750"/>
      <c r="AK125" s="750"/>
      <c r="AL125" s="750"/>
      <c r="AM125" s="750"/>
      <c r="AN125" s="750"/>
      <c r="AO125" s="750"/>
      <c r="AP125" s="750"/>
      <c r="AQ125" s="750"/>
      <c r="AR125" s="750"/>
      <c r="AS125" s="750"/>
      <c r="AT125" s="750"/>
      <c r="AU125" s="750"/>
      <c r="AV125" s="750"/>
      <c r="AW125" s="750"/>
      <c r="AX125" s="750"/>
      <c r="AY125" s="750"/>
      <c r="AZ125" s="750"/>
      <c r="BA125" s="750"/>
      <c r="BB125" s="749"/>
      <c r="BC125" s="749"/>
      <c r="BD125" s="749"/>
      <c r="BE125" s="749"/>
    </row>
    <row r="126" s="750" customFormat="1" customHeight="1" spans="1:57">
      <c r="A126" s="749"/>
      <c r="B126" s="750"/>
      <c r="C126" s="750"/>
      <c r="D126" s="750"/>
      <c r="E126" s="750"/>
      <c r="F126" s="750"/>
      <c r="G126" s="750"/>
      <c r="H126" s="750"/>
      <c r="I126" s="750"/>
      <c r="J126" s="750"/>
      <c r="K126" s="750"/>
      <c r="L126" s="750"/>
      <c r="M126" s="750"/>
      <c r="N126" s="750"/>
      <c r="O126" s="750"/>
      <c r="P126" s="750"/>
      <c r="Q126" s="750"/>
      <c r="R126" s="750"/>
      <c r="S126" s="750"/>
      <c r="T126" s="750"/>
      <c r="U126" s="750"/>
      <c r="V126" s="750"/>
      <c r="W126" s="750"/>
      <c r="X126" s="750"/>
      <c r="Y126" s="750"/>
      <c r="Z126" s="750"/>
      <c r="AA126" s="750"/>
      <c r="AB126" s="750"/>
      <c r="AC126" s="750"/>
      <c r="AD126" s="749"/>
      <c r="AE126" s="750"/>
      <c r="AF126" s="750"/>
      <c r="AG126" s="750"/>
      <c r="AH126" s="750"/>
      <c r="AI126" s="750"/>
      <c r="AJ126" s="750"/>
      <c r="AK126" s="750"/>
      <c r="AL126" s="750"/>
      <c r="AM126" s="750"/>
      <c r="AN126" s="750"/>
      <c r="AO126" s="750"/>
      <c r="AP126" s="750"/>
      <c r="AQ126" s="750"/>
      <c r="AR126" s="750"/>
      <c r="AS126" s="750"/>
      <c r="AT126" s="750"/>
      <c r="AU126" s="750"/>
      <c r="AV126" s="750"/>
      <c r="AW126" s="750"/>
      <c r="AX126" s="750"/>
      <c r="AY126" s="750"/>
      <c r="AZ126" s="750"/>
      <c r="BA126" s="750"/>
      <c r="BB126" s="749"/>
      <c r="BC126" s="749"/>
      <c r="BD126" s="749"/>
      <c r="BE126" s="749"/>
    </row>
    <row r="127" s="750" customFormat="1" customHeight="1" spans="1:57">
      <c r="A127" s="749"/>
      <c r="B127" s="750"/>
      <c r="C127" s="750"/>
      <c r="D127" s="750"/>
      <c r="E127" s="750"/>
      <c r="F127" s="750"/>
      <c r="G127" s="750"/>
      <c r="H127" s="750"/>
      <c r="I127" s="750"/>
      <c r="J127" s="750"/>
      <c r="K127" s="750"/>
      <c r="L127" s="750"/>
      <c r="M127" s="750"/>
      <c r="N127" s="750"/>
      <c r="O127" s="750"/>
      <c r="P127" s="750"/>
      <c r="Q127" s="750"/>
      <c r="R127" s="750"/>
      <c r="S127" s="750"/>
      <c r="T127" s="750"/>
      <c r="U127" s="750"/>
      <c r="V127" s="750"/>
      <c r="W127" s="750"/>
      <c r="X127" s="750"/>
      <c r="Y127" s="750"/>
      <c r="Z127" s="750"/>
      <c r="AA127" s="750"/>
      <c r="AB127" s="750"/>
      <c r="AC127" s="750"/>
      <c r="AD127" s="749"/>
      <c r="AE127" s="750"/>
      <c r="AF127" s="750"/>
      <c r="AG127" s="750"/>
      <c r="AH127" s="750"/>
      <c r="AI127" s="750"/>
      <c r="AJ127" s="750"/>
      <c r="AK127" s="750"/>
      <c r="AL127" s="750"/>
      <c r="AM127" s="750"/>
      <c r="AN127" s="750"/>
      <c r="AO127" s="750"/>
      <c r="AP127" s="750"/>
      <c r="AQ127" s="750"/>
      <c r="AR127" s="750"/>
      <c r="AS127" s="750"/>
      <c r="AT127" s="750"/>
      <c r="AU127" s="750"/>
      <c r="AV127" s="750"/>
      <c r="AW127" s="750"/>
      <c r="AX127" s="750"/>
      <c r="AY127" s="750"/>
      <c r="AZ127" s="750"/>
      <c r="BA127" s="750"/>
      <c r="BB127" s="749"/>
      <c r="BC127" s="749"/>
      <c r="BD127" s="749"/>
      <c r="BE127" s="749"/>
    </row>
    <row r="128" s="750" customFormat="1" customHeight="1" spans="1:57">
      <c r="A128" s="749"/>
      <c r="B128" s="750"/>
      <c r="C128" s="750"/>
      <c r="D128" s="750"/>
      <c r="E128" s="750"/>
      <c r="F128" s="750"/>
      <c r="G128" s="750"/>
      <c r="H128" s="750"/>
      <c r="I128" s="750"/>
      <c r="J128" s="750"/>
      <c r="K128" s="750"/>
      <c r="L128" s="750"/>
      <c r="M128" s="750"/>
      <c r="N128" s="750"/>
      <c r="O128" s="750"/>
      <c r="P128" s="750"/>
      <c r="Q128" s="750"/>
      <c r="R128" s="750"/>
      <c r="S128" s="750"/>
      <c r="T128" s="750"/>
      <c r="U128" s="750"/>
      <c r="V128" s="750"/>
      <c r="W128" s="750"/>
      <c r="X128" s="750"/>
      <c r="Y128" s="750"/>
      <c r="Z128" s="750"/>
      <c r="AA128" s="750"/>
      <c r="AB128" s="750"/>
      <c r="AC128" s="750"/>
      <c r="AD128" s="749"/>
      <c r="AE128" s="750"/>
      <c r="AF128" s="750"/>
      <c r="AG128" s="750"/>
      <c r="AH128" s="750"/>
      <c r="AI128" s="750"/>
      <c r="AJ128" s="750"/>
      <c r="AK128" s="750"/>
      <c r="AL128" s="750"/>
      <c r="AM128" s="750"/>
      <c r="AN128" s="750"/>
      <c r="AO128" s="750"/>
      <c r="AP128" s="750"/>
      <c r="AQ128" s="750"/>
      <c r="AR128" s="750"/>
      <c r="AS128" s="750"/>
      <c r="AT128" s="750"/>
      <c r="AU128" s="750"/>
      <c r="AV128" s="750"/>
      <c r="AW128" s="750"/>
      <c r="AX128" s="750"/>
      <c r="AY128" s="750"/>
      <c r="AZ128" s="750"/>
      <c r="BA128" s="750"/>
      <c r="BB128" s="749"/>
      <c r="BC128" s="749"/>
      <c r="BD128" s="749"/>
      <c r="BE128" s="749"/>
    </row>
    <row r="129" s="750" customFormat="1" customHeight="1" spans="1:57">
      <c r="A129" s="749"/>
      <c r="B129" s="750"/>
      <c r="C129" s="750"/>
      <c r="D129" s="750"/>
      <c r="E129" s="750"/>
      <c r="F129" s="750"/>
      <c r="G129" s="750"/>
      <c r="H129" s="750"/>
      <c r="I129" s="750"/>
      <c r="J129" s="750"/>
      <c r="K129" s="750"/>
      <c r="L129" s="750"/>
      <c r="M129" s="750"/>
      <c r="N129" s="750"/>
      <c r="O129" s="750"/>
      <c r="P129" s="750"/>
      <c r="Q129" s="750"/>
      <c r="R129" s="750"/>
      <c r="S129" s="750"/>
      <c r="T129" s="750"/>
      <c r="U129" s="750"/>
      <c r="V129" s="750"/>
      <c r="W129" s="750"/>
      <c r="X129" s="750"/>
      <c r="Y129" s="750"/>
      <c r="Z129" s="750"/>
      <c r="AA129" s="750"/>
      <c r="AB129" s="750"/>
      <c r="AC129" s="750"/>
      <c r="AD129" s="749"/>
      <c r="AE129" s="750"/>
      <c r="AF129" s="750"/>
      <c r="AG129" s="750"/>
      <c r="AH129" s="750"/>
      <c r="AI129" s="750"/>
      <c r="AJ129" s="750"/>
      <c r="AK129" s="750"/>
      <c r="AL129" s="750"/>
      <c r="AM129" s="750"/>
      <c r="AN129" s="750"/>
      <c r="AO129" s="750"/>
      <c r="AP129" s="750"/>
      <c r="AQ129" s="750"/>
      <c r="AR129" s="750"/>
      <c r="AS129" s="750"/>
      <c r="AT129" s="750"/>
      <c r="AU129" s="750"/>
      <c r="AV129" s="750"/>
      <c r="AW129" s="750"/>
      <c r="AX129" s="750"/>
      <c r="AY129" s="750"/>
      <c r="AZ129" s="750"/>
      <c r="BA129" s="750"/>
      <c r="BB129" s="749"/>
      <c r="BC129" s="749"/>
      <c r="BD129" s="749"/>
      <c r="BE129" s="749"/>
    </row>
    <row r="130" s="750" customFormat="1" customHeight="1" spans="1:57">
      <c r="A130" s="749"/>
      <c r="B130" s="750"/>
      <c r="C130" s="750"/>
      <c r="D130" s="750"/>
      <c r="E130" s="750"/>
      <c r="F130" s="750"/>
      <c r="G130" s="750"/>
      <c r="H130" s="750"/>
      <c r="I130" s="750"/>
      <c r="J130" s="750"/>
      <c r="K130" s="750"/>
      <c r="L130" s="750"/>
      <c r="M130" s="750"/>
      <c r="N130" s="750"/>
      <c r="O130" s="750"/>
      <c r="P130" s="750"/>
      <c r="Q130" s="750"/>
      <c r="R130" s="750"/>
      <c r="S130" s="750"/>
      <c r="T130" s="750"/>
      <c r="U130" s="750"/>
      <c r="V130" s="750"/>
      <c r="W130" s="750"/>
      <c r="X130" s="750"/>
      <c r="Y130" s="750"/>
      <c r="Z130" s="750"/>
      <c r="AA130" s="750"/>
      <c r="AB130" s="750"/>
      <c r="AC130" s="750"/>
      <c r="AD130" s="749"/>
      <c r="AE130" s="750"/>
      <c r="AF130" s="750"/>
      <c r="AG130" s="750"/>
      <c r="AH130" s="750"/>
      <c r="AI130" s="750"/>
      <c r="AJ130" s="750"/>
      <c r="AK130" s="750"/>
      <c r="AL130" s="750"/>
      <c r="AM130" s="750"/>
      <c r="AN130" s="750"/>
      <c r="AO130" s="750"/>
      <c r="AP130" s="750"/>
      <c r="AQ130" s="750"/>
      <c r="AR130" s="750"/>
      <c r="AS130" s="750"/>
      <c r="AT130" s="750"/>
      <c r="AU130" s="750"/>
      <c r="AV130" s="750"/>
      <c r="AW130" s="750"/>
      <c r="AX130" s="750"/>
      <c r="AY130" s="750"/>
      <c r="AZ130" s="750"/>
      <c r="BA130" s="750"/>
      <c r="BB130" s="749"/>
      <c r="BC130" s="749"/>
      <c r="BD130" s="749"/>
      <c r="BE130" s="749"/>
    </row>
    <row r="131" s="750" customFormat="1" customHeight="1" spans="1:57">
      <c r="A131" s="749"/>
      <c r="B131" s="750"/>
      <c r="C131" s="750"/>
      <c r="D131" s="750"/>
      <c r="E131" s="750"/>
      <c r="F131" s="750"/>
      <c r="G131" s="750"/>
      <c r="H131" s="750"/>
      <c r="I131" s="750"/>
      <c r="J131" s="750"/>
      <c r="K131" s="750"/>
      <c r="L131" s="750"/>
      <c r="M131" s="750"/>
      <c r="N131" s="750"/>
      <c r="O131" s="750"/>
      <c r="P131" s="750"/>
      <c r="Q131" s="750"/>
      <c r="R131" s="750"/>
      <c r="S131" s="750"/>
      <c r="T131" s="750"/>
      <c r="U131" s="750"/>
      <c r="V131" s="750"/>
      <c r="W131" s="750"/>
      <c r="X131" s="750"/>
      <c r="Y131" s="750"/>
      <c r="Z131" s="750"/>
      <c r="AA131" s="750"/>
      <c r="AB131" s="750"/>
      <c r="AC131" s="750"/>
      <c r="AD131" s="749"/>
      <c r="AE131" s="750"/>
      <c r="AF131" s="750"/>
      <c r="AG131" s="750"/>
      <c r="AH131" s="750"/>
      <c r="AI131" s="750"/>
      <c r="AJ131" s="750"/>
      <c r="AK131" s="750"/>
      <c r="AL131" s="750"/>
      <c r="AM131" s="750"/>
      <c r="AN131" s="750"/>
      <c r="AO131" s="750"/>
      <c r="AP131" s="750"/>
      <c r="AQ131" s="750"/>
      <c r="AR131" s="750"/>
      <c r="AS131" s="750"/>
      <c r="AT131" s="750"/>
      <c r="AU131" s="750"/>
      <c r="AV131" s="750"/>
      <c r="AW131" s="750"/>
      <c r="AX131" s="750"/>
      <c r="AY131" s="750"/>
      <c r="AZ131" s="750"/>
      <c r="BA131" s="750"/>
      <c r="BB131" s="749"/>
      <c r="BC131" s="749"/>
      <c r="BD131" s="749"/>
      <c r="BE131" s="749"/>
    </row>
    <row r="132" s="750" customFormat="1" customHeight="1" spans="1:57">
      <c r="A132" s="749"/>
      <c r="B132" s="750"/>
      <c r="C132" s="750"/>
      <c r="D132" s="750"/>
      <c r="E132" s="750"/>
      <c r="F132" s="750"/>
      <c r="G132" s="750"/>
      <c r="H132" s="750"/>
      <c r="I132" s="750"/>
      <c r="J132" s="750"/>
      <c r="K132" s="750"/>
      <c r="L132" s="750"/>
      <c r="M132" s="750"/>
      <c r="N132" s="750"/>
      <c r="O132" s="750"/>
      <c r="P132" s="750"/>
      <c r="Q132" s="750"/>
      <c r="R132" s="750"/>
      <c r="S132" s="750"/>
      <c r="T132" s="750"/>
      <c r="U132" s="750"/>
      <c r="V132" s="750"/>
      <c r="W132" s="750"/>
      <c r="X132" s="750"/>
      <c r="Y132" s="750"/>
      <c r="Z132" s="750"/>
      <c r="AA132" s="750"/>
      <c r="AB132" s="750"/>
      <c r="AC132" s="750"/>
      <c r="AD132" s="749"/>
      <c r="AE132" s="750"/>
      <c r="AF132" s="750"/>
      <c r="AG132" s="750"/>
      <c r="AH132" s="750"/>
      <c r="AI132" s="750"/>
      <c r="AJ132" s="750"/>
      <c r="AK132" s="750"/>
      <c r="AL132" s="750"/>
      <c r="AM132" s="750"/>
      <c r="AN132" s="750"/>
      <c r="AO132" s="750"/>
      <c r="AP132" s="750"/>
      <c r="AQ132" s="750"/>
      <c r="AR132" s="750"/>
      <c r="AS132" s="750"/>
      <c r="AT132" s="750"/>
      <c r="AU132" s="750"/>
      <c r="AV132" s="750"/>
      <c r="AW132" s="750"/>
      <c r="AX132" s="750"/>
      <c r="AY132" s="750"/>
      <c r="AZ132" s="750"/>
      <c r="BA132" s="750"/>
      <c r="BB132" s="749"/>
      <c r="BC132" s="749"/>
      <c r="BD132" s="749"/>
      <c r="BE132" s="749"/>
    </row>
    <row r="133" s="750" customFormat="1" customHeight="1" spans="1:57">
      <c r="A133" s="749"/>
      <c r="B133" s="750"/>
      <c r="C133" s="750"/>
      <c r="D133" s="750"/>
      <c r="E133" s="750"/>
      <c r="F133" s="750"/>
      <c r="G133" s="750"/>
      <c r="H133" s="750"/>
      <c r="I133" s="750"/>
      <c r="J133" s="750"/>
      <c r="K133" s="750"/>
      <c r="L133" s="750"/>
      <c r="M133" s="750"/>
      <c r="N133" s="750"/>
      <c r="O133" s="750"/>
      <c r="P133" s="750"/>
      <c r="Q133" s="750"/>
      <c r="R133" s="750"/>
      <c r="S133" s="750"/>
      <c r="T133" s="750"/>
      <c r="U133" s="750"/>
      <c r="V133" s="750"/>
      <c r="W133" s="750"/>
      <c r="X133" s="750"/>
      <c r="Y133" s="750"/>
      <c r="Z133" s="750"/>
      <c r="AA133" s="750"/>
      <c r="AB133" s="750"/>
      <c r="AC133" s="750"/>
      <c r="AD133" s="749"/>
      <c r="AE133" s="750"/>
      <c r="AF133" s="750"/>
      <c r="AG133" s="750"/>
      <c r="AH133" s="750"/>
      <c r="AI133" s="750"/>
      <c r="AJ133" s="750"/>
      <c r="AK133" s="750"/>
      <c r="AL133" s="750"/>
      <c r="AM133" s="750"/>
      <c r="AN133" s="750"/>
      <c r="AO133" s="750"/>
      <c r="AP133" s="750"/>
      <c r="AQ133" s="750"/>
      <c r="AR133" s="750"/>
      <c r="AS133" s="750"/>
      <c r="AT133" s="750"/>
      <c r="AU133" s="750"/>
      <c r="AV133" s="750"/>
      <c r="AW133" s="750"/>
      <c r="AX133" s="750"/>
      <c r="AY133" s="750"/>
      <c r="AZ133" s="750"/>
      <c r="BA133" s="750"/>
      <c r="BB133" s="749"/>
      <c r="BC133" s="749"/>
      <c r="BD133" s="749"/>
      <c r="BE133" s="749"/>
    </row>
    <row r="134" s="750" customFormat="1" customHeight="1" spans="1:57">
      <c r="A134" s="749"/>
      <c r="B134" s="750"/>
      <c r="C134" s="750"/>
      <c r="D134" s="750"/>
      <c r="E134" s="750"/>
      <c r="F134" s="750"/>
      <c r="G134" s="750"/>
      <c r="H134" s="750"/>
      <c r="I134" s="750"/>
      <c r="J134" s="750"/>
      <c r="K134" s="750"/>
      <c r="L134" s="750"/>
      <c r="M134" s="750"/>
      <c r="N134" s="750"/>
      <c r="O134" s="750"/>
      <c r="P134" s="750"/>
      <c r="Q134" s="750"/>
      <c r="R134" s="750"/>
      <c r="S134" s="750"/>
      <c r="T134" s="750"/>
      <c r="U134" s="750"/>
      <c r="V134" s="750"/>
      <c r="W134" s="750"/>
      <c r="X134" s="750"/>
      <c r="Y134" s="750"/>
      <c r="Z134" s="750"/>
      <c r="AA134" s="750"/>
      <c r="AB134" s="750"/>
      <c r="AC134" s="750"/>
      <c r="AD134" s="749"/>
      <c r="AE134" s="750"/>
      <c r="AF134" s="750"/>
      <c r="AG134" s="750"/>
      <c r="AH134" s="750"/>
      <c r="AI134" s="750"/>
      <c r="AJ134" s="750"/>
      <c r="AK134" s="750"/>
      <c r="AL134" s="750"/>
      <c r="AM134" s="750"/>
      <c r="AN134" s="750"/>
      <c r="AO134" s="750"/>
      <c r="AP134" s="750"/>
      <c r="AQ134" s="750"/>
      <c r="AR134" s="750"/>
      <c r="AS134" s="750"/>
      <c r="AT134" s="750"/>
      <c r="AU134" s="750"/>
      <c r="AV134" s="750"/>
      <c r="AW134" s="750"/>
      <c r="AX134" s="750"/>
      <c r="AY134" s="750"/>
      <c r="AZ134" s="750"/>
      <c r="BA134" s="750"/>
      <c r="BB134" s="749"/>
      <c r="BC134" s="749"/>
      <c r="BD134" s="749"/>
      <c r="BE134" s="749"/>
    </row>
    <row r="135" s="750" customFormat="1" customHeight="1" spans="1:57">
      <c r="A135" s="749"/>
      <c r="B135" s="750"/>
      <c r="C135" s="750"/>
      <c r="D135" s="750"/>
      <c r="E135" s="750"/>
      <c r="F135" s="750"/>
      <c r="G135" s="750"/>
      <c r="H135" s="750"/>
      <c r="I135" s="750"/>
      <c r="J135" s="750"/>
      <c r="K135" s="750"/>
      <c r="L135" s="750"/>
      <c r="M135" s="750"/>
      <c r="N135" s="750"/>
      <c r="O135" s="750"/>
      <c r="P135" s="750"/>
      <c r="Q135" s="750"/>
      <c r="R135" s="750"/>
      <c r="S135" s="750"/>
      <c r="T135" s="750"/>
      <c r="U135" s="750"/>
      <c r="V135" s="750"/>
      <c r="W135" s="750"/>
      <c r="X135" s="750"/>
      <c r="Y135" s="750"/>
      <c r="Z135" s="750"/>
      <c r="AA135" s="750"/>
      <c r="AB135" s="750"/>
      <c r="AC135" s="750"/>
      <c r="AD135" s="749"/>
      <c r="AE135" s="750"/>
      <c r="AF135" s="750"/>
      <c r="AG135" s="750"/>
      <c r="AH135" s="750"/>
      <c r="AI135" s="750"/>
      <c r="AJ135" s="750"/>
      <c r="AK135" s="750"/>
      <c r="AL135" s="750"/>
      <c r="AM135" s="750"/>
      <c r="AN135" s="750"/>
      <c r="AO135" s="750"/>
      <c r="AP135" s="750"/>
      <c r="AQ135" s="750"/>
      <c r="AR135" s="750"/>
      <c r="AS135" s="750"/>
      <c r="AT135" s="750"/>
      <c r="AU135" s="750"/>
      <c r="AV135" s="750"/>
      <c r="AW135" s="750"/>
      <c r="AX135" s="750"/>
      <c r="AY135" s="750"/>
      <c r="AZ135" s="750"/>
      <c r="BA135" s="750"/>
      <c r="BB135" s="749"/>
      <c r="BC135" s="749"/>
      <c r="BD135" s="749"/>
      <c r="BE135" s="749"/>
    </row>
    <row r="136" s="750" customFormat="1" customHeight="1" spans="1:57">
      <c r="A136" s="749"/>
      <c r="B136" s="750"/>
      <c r="C136" s="750"/>
      <c r="D136" s="750"/>
      <c r="E136" s="750"/>
      <c r="F136" s="750"/>
      <c r="G136" s="750"/>
      <c r="H136" s="750"/>
      <c r="I136" s="750"/>
      <c r="J136" s="750"/>
      <c r="K136" s="750"/>
      <c r="L136" s="750"/>
      <c r="M136" s="750"/>
      <c r="N136" s="750"/>
      <c r="O136" s="750"/>
      <c r="P136" s="750"/>
      <c r="Q136" s="750"/>
      <c r="R136" s="750"/>
      <c r="S136" s="750"/>
      <c r="T136" s="750"/>
      <c r="U136" s="750"/>
      <c r="V136" s="750"/>
      <c r="W136" s="750"/>
      <c r="X136" s="750"/>
      <c r="Y136" s="750"/>
      <c r="Z136" s="750"/>
      <c r="AA136" s="750"/>
      <c r="AB136" s="750"/>
      <c r="AC136" s="750"/>
      <c r="AD136" s="749"/>
      <c r="AE136" s="750"/>
      <c r="AF136" s="750"/>
      <c r="AG136" s="750"/>
      <c r="AH136" s="750"/>
      <c r="AI136" s="750"/>
      <c r="AJ136" s="750"/>
      <c r="AK136" s="750"/>
      <c r="AL136" s="750"/>
      <c r="AM136" s="750"/>
      <c r="AN136" s="750"/>
      <c r="AO136" s="750"/>
      <c r="AP136" s="750"/>
      <c r="AQ136" s="750"/>
      <c r="AR136" s="750"/>
      <c r="AS136" s="750"/>
      <c r="AT136" s="750"/>
      <c r="AU136" s="750"/>
      <c r="AV136" s="750"/>
      <c r="AW136" s="750"/>
      <c r="AX136" s="750"/>
      <c r="AY136" s="750"/>
      <c r="AZ136" s="750"/>
      <c r="BA136" s="750"/>
      <c r="BB136" s="749"/>
      <c r="BC136" s="749"/>
      <c r="BD136" s="749"/>
      <c r="BE136" s="749"/>
    </row>
    <row r="137" s="750" customFormat="1" customHeight="1" spans="1:57">
      <c r="A137" s="749"/>
      <c r="B137" s="750"/>
      <c r="C137" s="750"/>
      <c r="D137" s="750"/>
      <c r="E137" s="750"/>
      <c r="F137" s="750"/>
      <c r="G137" s="750"/>
      <c r="H137" s="750"/>
      <c r="I137" s="750"/>
      <c r="J137" s="750"/>
      <c r="K137" s="750"/>
      <c r="L137" s="750"/>
      <c r="M137" s="750"/>
      <c r="N137" s="750"/>
      <c r="O137" s="750"/>
      <c r="P137" s="750"/>
      <c r="Q137" s="750"/>
      <c r="R137" s="750"/>
      <c r="S137" s="750"/>
      <c r="T137" s="750"/>
      <c r="U137" s="750"/>
      <c r="V137" s="750"/>
      <c r="W137" s="750"/>
      <c r="X137" s="750"/>
      <c r="Y137" s="750"/>
      <c r="Z137" s="750"/>
      <c r="AA137" s="750"/>
      <c r="AB137" s="750"/>
      <c r="AC137" s="750"/>
      <c r="AD137" s="749"/>
      <c r="AE137" s="750"/>
      <c r="AF137" s="750"/>
      <c r="AG137" s="750"/>
      <c r="AH137" s="750"/>
      <c r="AI137" s="750"/>
      <c r="AJ137" s="750"/>
      <c r="AK137" s="750"/>
      <c r="AL137" s="750"/>
      <c r="AM137" s="750"/>
      <c r="AN137" s="750"/>
      <c r="AO137" s="750"/>
      <c r="AP137" s="750"/>
      <c r="AQ137" s="750"/>
      <c r="AR137" s="750"/>
      <c r="AS137" s="750"/>
      <c r="AT137" s="750"/>
      <c r="AU137" s="750"/>
      <c r="AV137" s="750"/>
      <c r="AW137" s="750"/>
      <c r="AX137" s="750"/>
      <c r="AY137" s="750"/>
      <c r="AZ137" s="750"/>
      <c r="BA137" s="750"/>
      <c r="BB137" s="749"/>
      <c r="BC137" s="749"/>
      <c r="BD137" s="749"/>
      <c r="BE137" s="749"/>
    </row>
    <row r="138" s="750" customFormat="1" customHeight="1" spans="1:57">
      <c r="A138" s="749"/>
      <c r="B138" s="750"/>
      <c r="C138" s="750"/>
      <c r="D138" s="750"/>
      <c r="E138" s="750"/>
      <c r="F138" s="750"/>
      <c r="G138" s="750"/>
      <c r="H138" s="750"/>
      <c r="I138" s="750"/>
      <c r="J138" s="750"/>
      <c r="K138" s="750"/>
      <c r="L138" s="750"/>
      <c r="M138" s="750"/>
      <c r="N138" s="750"/>
      <c r="O138" s="750"/>
      <c r="P138" s="750"/>
      <c r="Q138" s="750"/>
      <c r="R138" s="750"/>
      <c r="S138" s="750"/>
      <c r="T138" s="750"/>
      <c r="U138" s="750"/>
      <c r="V138" s="750"/>
      <c r="W138" s="750"/>
      <c r="X138" s="750"/>
      <c r="Y138" s="750"/>
      <c r="Z138" s="750"/>
      <c r="AA138" s="750"/>
      <c r="AB138" s="750"/>
      <c r="AC138" s="750"/>
      <c r="AD138" s="749"/>
      <c r="AE138" s="750"/>
      <c r="AF138" s="750"/>
      <c r="AG138" s="750"/>
      <c r="AH138" s="750"/>
      <c r="AI138" s="750"/>
      <c r="AJ138" s="750"/>
      <c r="AK138" s="750"/>
      <c r="AL138" s="750"/>
      <c r="AM138" s="750"/>
      <c r="AN138" s="750"/>
      <c r="AO138" s="750"/>
      <c r="AP138" s="750"/>
      <c r="AQ138" s="750"/>
      <c r="AR138" s="750"/>
      <c r="AS138" s="750"/>
      <c r="AT138" s="750"/>
      <c r="AU138" s="750"/>
      <c r="AV138" s="750"/>
      <c r="AW138" s="750"/>
      <c r="AX138" s="750"/>
      <c r="AY138" s="750"/>
      <c r="AZ138" s="750"/>
      <c r="BA138" s="750"/>
      <c r="BB138" s="749"/>
      <c r="BC138" s="749"/>
      <c r="BD138" s="749"/>
      <c r="BE138" s="749"/>
    </row>
    <row r="139" s="750" customFormat="1" customHeight="1" spans="1:57">
      <c r="A139" s="749"/>
      <c r="B139" s="750"/>
      <c r="C139" s="750"/>
      <c r="D139" s="750"/>
      <c r="E139" s="750"/>
      <c r="F139" s="750"/>
      <c r="G139" s="750"/>
      <c r="H139" s="750"/>
      <c r="I139" s="750"/>
      <c r="J139" s="750"/>
      <c r="K139" s="750"/>
      <c r="L139" s="750"/>
      <c r="M139" s="750"/>
      <c r="N139" s="750"/>
      <c r="O139" s="750"/>
      <c r="P139" s="750"/>
      <c r="Q139" s="750"/>
      <c r="R139" s="750"/>
      <c r="S139" s="750"/>
      <c r="T139" s="750"/>
      <c r="U139" s="750"/>
      <c r="V139" s="750"/>
      <c r="W139" s="750"/>
      <c r="X139" s="750"/>
      <c r="Y139" s="750"/>
      <c r="Z139" s="750"/>
      <c r="AA139" s="750"/>
      <c r="AB139" s="750"/>
      <c r="AC139" s="750"/>
      <c r="AD139" s="749"/>
      <c r="AE139" s="750"/>
      <c r="AF139" s="750"/>
      <c r="AG139" s="750"/>
      <c r="AH139" s="750"/>
      <c r="AI139" s="750"/>
      <c r="AJ139" s="750"/>
      <c r="AK139" s="750"/>
      <c r="AL139" s="750"/>
      <c r="AM139" s="750"/>
      <c r="AN139" s="750"/>
      <c r="AO139" s="750"/>
      <c r="AP139" s="750"/>
      <c r="AQ139" s="750"/>
      <c r="AR139" s="750"/>
      <c r="AS139" s="750"/>
      <c r="AT139" s="750"/>
      <c r="AU139" s="750"/>
      <c r="AV139" s="750"/>
      <c r="AW139" s="750"/>
      <c r="AX139" s="750"/>
      <c r="AY139" s="750"/>
      <c r="AZ139" s="750"/>
      <c r="BA139" s="750"/>
      <c r="BB139" s="749"/>
      <c r="BC139" s="749"/>
      <c r="BD139" s="749"/>
      <c r="BE139" s="749"/>
    </row>
    <row r="140" s="750" customFormat="1" customHeight="1" spans="1:57">
      <c r="A140" s="749"/>
      <c r="B140" s="750"/>
      <c r="C140" s="750"/>
      <c r="D140" s="750"/>
      <c r="E140" s="750"/>
      <c r="F140" s="750"/>
      <c r="G140" s="750"/>
      <c r="H140" s="750"/>
      <c r="I140" s="750"/>
      <c r="J140" s="750"/>
      <c r="K140" s="750"/>
      <c r="L140" s="750"/>
      <c r="M140" s="750"/>
      <c r="N140" s="750"/>
      <c r="O140" s="750"/>
      <c r="P140" s="750"/>
      <c r="Q140" s="750"/>
      <c r="R140" s="750"/>
      <c r="S140" s="750"/>
      <c r="T140" s="750"/>
      <c r="U140" s="750"/>
      <c r="V140" s="750"/>
      <c r="W140" s="750"/>
      <c r="X140" s="750"/>
      <c r="Y140" s="750"/>
      <c r="Z140" s="750"/>
      <c r="AA140" s="750"/>
      <c r="AB140" s="750"/>
      <c r="AC140" s="750"/>
      <c r="AD140" s="749"/>
      <c r="AE140" s="750"/>
      <c r="AF140" s="750"/>
      <c r="AG140" s="750"/>
      <c r="AH140" s="750"/>
      <c r="AI140" s="750"/>
      <c r="AJ140" s="750"/>
      <c r="AK140" s="750"/>
      <c r="AL140" s="750"/>
      <c r="AM140" s="750"/>
      <c r="AN140" s="750"/>
      <c r="AO140" s="750"/>
      <c r="AP140" s="750"/>
      <c r="AQ140" s="750"/>
      <c r="AR140" s="750"/>
      <c r="AS140" s="750"/>
      <c r="AT140" s="750"/>
      <c r="AU140" s="750"/>
      <c r="AV140" s="750"/>
      <c r="AW140" s="750"/>
      <c r="AX140" s="750"/>
      <c r="AY140" s="750"/>
      <c r="AZ140" s="750"/>
      <c r="BA140" s="750"/>
      <c r="BB140" s="749"/>
      <c r="BC140" s="749"/>
      <c r="BD140" s="749"/>
      <c r="BE140" s="749"/>
    </row>
    <row r="141" s="750" customFormat="1" customHeight="1" spans="1:57">
      <c r="A141" s="749"/>
      <c r="B141" s="750"/>
      <c r="C141" s="750"/>
      <c r="D141" s="750"/>
      <c r="E141" s="750"/>
      <c r="F141" s="750"/>
      <c r="G141" s="750"/>
      <c r="H141" s="750"/>
      <c r="I141" s="750"/>
      <c r="J141" s="750"/>
      <c r="K141" s="750"/>
      <c r="L141" s="750"/>
      <c r="M141" s="750"/>
      <c r="N141" s="750"/>
      <c r="O141" s="750"/>
      <c r="P141" s="750"/>
      <c r="Q141" s="750"/>
      <c r="R141" s="750"/>
      <c r="S141" s="750"/>
      <c r="T141" s="750"/>
      <c r="U141" s="750"/>
      <c r="V141" s="750"/>
      <c r="W141" s="750"/>
      <c r="X141" s="750"/>
      <c r="Y141" s="750"/>
      <c r="Z141" s="750"/>
      <c r="AA141" s="750"/>
      <c r="AB141" s="750"/>
      <c r="AC141" s="750"/>
      <c r="AD141" s="749"/>
      <c r="AE141" s="750"/>
      <c r="AF141" s="750"/>
      <c r="AG141" s="750"/>
      <c r="AH141" s="750"/>
      <c r="AI141" s="750"/>
      <c r="AJ141" s="750"/>
      <c r="AK141" s="750"/>
      <c r="AL141" s="750"/>
      <c r="AM141" s="750"/>
      <c r="AN141" s="750"/>
      <c r="AO141" s="750"/>
      <c r="AP141" s="750"/>
      <c r="AQ141" s="750"/>
      <c r="AR141" s="750"/>
      <c r="AS141" s="750"/>
      <c r="AT141" s="750"/>
      <c r="AU141" s="750"/>
      <c r="AV141" s="750"/>
      <c r="AW141" s="750"/>
      <c r="AX141" s="750"/>
      <c r="AY141" s="750"/>
      <c r="AZ141" s="750"/>
      <c r="BA141" s="750"/>
      <c r="BB141" s="749"/>
      <c r="BC141" s="749"/>
      <c r="BD141" s="749"/>
      <c r="BE141" s="749"/>
    </row>
    <row r="142" s="750" customFormat="1" customHeight="1" spans="1:57">
      <c r="A142" s="749"/>
      <c r="B142" s="750"/>
      <c r="C142" s="750"/>
      <c r="D142" s="750"/>
      <c r="E142" s="750"/>
      <c r="F142" s="750"/>
      <c r="G142" s="750"/>
      <c r="H142" s="750"/>
      <c r="I142" s="750"/>
      <c r="J142" s="750"/>
      <c r="K142" s="750"/>
      <c r="L142" s="750"/>
      <c r="M142" s="750"/>
      <c r="N142" s="750"/>
      <c r="O142" s="750"/>
      <c r="P142" s="750"/>
      <c r="Q142" s="750"/>
      <c r="R142" s="750"/>
      <c r="S142" s="750"/>
      <c r="T142" s="750"/>
      <c r="U142" s="750"/>
      <c r="V142" s="750"/>
      <c r="W142" s="750"/>
      <c r="X142" s="750"/>
      <c r="Y142" s="750"/>
      <c r="Z142" s="750"/>
      <c r="AA142" s="750"/>
      <c r="AB142" s="750"/>
      <c r="AC142" s="750"/>
      <c r="AD142" s="749"/>
      <c r="AE142" s="750"/>
      <c r="AF142" s="750"/>
      <c r="AG142" s="750"/>
      <c r="AH142" s="750"/>
      <c r="AI142" s="750"/>
      <c r="AJ142" s="750"/>
      <c r="AK142" s="750"/>
      <c r="AL142" s="750"/>
      <c r="AM142" s="750"/>
      <c r="AN142" s="750"/>
      <c r="AO142" s="750"/>
      <c r="AP142" s="750"/>
      <c r="AQ142" s="750"/>
      <c r="AR142" s="750"/>
      <c r="AS142" s="750"/>
      <c r="AT142" s="750"/>
      <c r="AU142" s="750"/>
      <c r="AV142" s="750"/>
      <c r="AW142" s="750"/>
      <c r="AX142" s="750"/>
      <c r="AY142" s="750"/>
      <c r="AZ142" s="750"/>
      <c r="BA142" s="750"/>
      <c r="BB142" s="749"/>
      <c r="BC142" s="749"/>
      <c r="BD142" s="749"/>
      <c r="BE142" s="749"/>
    </row>
    <row r="143" s="750" customFormat="1" customHeight="1" spans="1:57">
      <c r="A143" s="749"/>
      <c r="B143" s="750"/>
      <c r="C143" s="750"/>
      <c r="D143" s="750"/>
      <c r="E143" s="750"/>
      <c r="F143" s="750"/>
      <c r="G143" s="750"/>
      <c r="H143" s="750"/>
      <c r="I143" s="750"/>
      <c r="J143" s="750"/>
      <c r="K143" s="750"/>
      <c r="L143" s="750"/>
      <c r="M143" s="750"/>
      <c r="N143" s="750"/>
      <c r="O143" s="750"/>
      <c r="P143" s="750"/>
      <c r="Q143" s="750"/>
      <c r="R143" s="750"/>
      <c r="S143" s="750"/>
      <c r="T143" s="750"/>
      <c r="U143" s="750"/>
      <c r="V143" s="750"/>
      <c r="W143" s="750"/>
      <c r="X143" s="750"/>
      <c r="Y143" s="750"/>
      <c r="Z143" s="750"/>
      <c r="AA143" s="750"/>
      <c r="AB143" s="750"/>
      <c r="AC143" s="750"/>
      <c r="AD143" s="749"/>
      <c r="AE143" s="750"/>
      <c r="AF143" s="750"/>
      <c r="AG143" s="750"/>
      <c r="AH143" s="750"/>
      <c r="AI143" s="750"/>
      <c r="AJ143" s="750"/>
      <c r="AK143" s="750"/>
      <c r="AL143" s="750"/>
      <c r="AM143" s="750"/>
      <c r="AN143" s="750"/>
      <c r="AO143" s="750"/>
      <c r="AP143" s="750"/>
      <c r="AQ143" s="750"/>
      <c r="AR143" s="750"/>
      <c r="AS143" s="750"/>
      <c r="AT143" s="750"/>
      <c r="AU143" s="750"/>
      <c r="AV143" s="750"/>
      <c r="AW143" s="750"/>
      <c r="AX143" s="750"/>
      <c r="AY143" s="750"/>
      <c r="AZ143" s="750"/>
      <c r="BA143" s="750"/>
      <c r="BB143" s="749"/>
      <c r="BC143" s="749"/>
      <c r="BD143" s="749"/>
      <c r="BE143" s="749"/>
    </row>
    <row r="144" s="750" customFormat="1" customHeight="1" spans="1:57">
      <c r="A144" s="749"/>
      <c r="B144" s="750"/>
      <c r="C144" s="750"/>
      <c r="D144" s="750"/>
      <c r="E144" s="750"/>
      <c r="F144" s="750"/>
      <c r="G144" s="750"/>
      <c r="H144" s="750"/>
      <c r="I144" s="750"/>
      <c r="J144" s="750"/>
      <c r="K144" s="750"/>
      <c r="L144" s="750"/>
      <c r="M144" s="750"/>
      <c r="N144" s="750"/>
      <c r="O144" s="750"/>
      <c r="P144" s="750"/>
      <c r="Q144" s="750"/>
      <c r="R144" s="750"/>
      <c r="S144" s="750"/>
      <c r="T144" s="750"/>
      <c r="U144" s="750"/>
      <c r="V144" s="750"/>
      <c r="W144" s="750"/>
      <c r="X144" s="750"/>
      <c r="Y144" s="750"/>
      <c r="Z144" s="750"/>
      <c r="AA144" s="750"/>
      <c r="AB144" s="750"/>
      <c r="AC144" s="750"/>
      <c r="AD144" s="749"/>
      <c r="AE144" s="750"/>
      <c r="AF144" s="750"/>
      <c r="AG144" s="750"/>
      <c r="AH144" s="750"/>
      <c r="AI144" s="750"/>
      <c r="AJ144" s="750"/>
      <c r="AK144" s="750"/>
      <c r="AL144" s="750"/>
      <c r="AM144" s="750"/>
      <c r="AN144" s="750"/>
      <c r="AO144" s="750"/>
      <c r="AP144" s="750"/>
      <c r="AQ144" s="750"/>
      <c r="AR144" s="750"/>
      <c r="AS144" s="750"/>
      <c r="AT144" s="750"/>
      <c r="AU144" s="750"/>
      <c r="AV144" s="750"/>
      <c r="AW144" s="750"/>
      <c r="AX144" s="750"/>
      <c r="AY144" s="750"/>
      <c r="AZ144" s="750"/>
      <c r="BA144" s="750"/>
      <c r="BB144" s="749"/>
      <c r="BC144" s="749"/>
      <c r="BD144" s="749"/>
      <c r="BE144" s="749"/>
    </row>
    <row r="145" s="750" customFormat="1" customHeight="1" spans="1:57">
      <c r="A145" s="749"/>
      <c r="B145" s="750"/>
      <c r="C145" s="750"/>
      <c r="D145" s="750"/>
      <c r="E145" s="750"/>
      <c r="F145" s="750"/>
      <c r="G145" s="750"/>
      <c r="H145" s="750"/>
      <c r="I145" s="750"/>
      <c r="J145" s="750"/>
      <c r="K145" s="750"/>
      <c r="L145" s="750"/>
      <c r="M145" s="750"/>
      <c r="N145" s="750"/>
      <c r="O145" s="750"/>
      <c r="P145" s="750"/>
      <c r="Q145" s="750"/>
      <c r="R145" s="750"/>
      <c r="S145" s="750"/>
      <c r="T145" s="750"/>
      <c r="U145" s="750"/>
      <c r="V145" s="750"/>
      <c r="W145" s="750"/>
      <c r="X145" s="750"/>
      <c r="Y145" s="750"/>
      <c r="Z145" s="750"/>
      <c r="AA145" s="750"/>
      <c r="AB145" s="750"/>
      <c r="AC145" s="750"/>
      <c r="AD145" s="749"/>
      <c r="AE145" s="750"/>
      <c r="AF145" s="750"/>
      <c r="AG145" s="750"/>
      <c r="AH145" s="750"/>
      <c r="AI145" s="750"/>
      <c r="AJ145" s="750"/>
      <c r="AK145" s="750"/>
      <c r="AL145" s="750"/>
      <c r="AM145" s="750"/>
      <c r="AN145" s="750"/>
      <c r="AO145" s="750"/>
      <c r="AP145" s="750"/>
      <c r="AQ145" s="750"/>
      <c r="AR145" s="750"/>
      <c r="AS145" s="750"/>
      <c r="AT145" s="750"/>
      <c r="AU145" s="750"/>
      <c r="AV145" s="750"/>
      <c r="AW145" s="750"/>
      <c r="AX145" s="750"/>
      <c r="AY145" s="750"/>
      <c r="AZ145" s="750"/>
      <c r="BA145" s="750"/>
      <c r="BB145" s="749"/>
      <c r="BC145" s="749"/>
      <c r="BD145" s="749"/>
      <c r="BE145" s="749"/>
    </row>
    <row r="146" s="750" customFormat="1" customHeight="1" spans="1:57">
      <c r="A146" s="749"/>
      <c r="B146" s="750"/>
      <c r="C146" s="750"/>
      <c r="D146" s="750"/>
      <c r="E146" s="750"/>
      <c r="F146" s="750"/>
      <c r="G146" s="750"/>
      <c r="H146" s="750"/>
      <c r="I146" s="750"/>
      <c r="J146" s="750"/>
      <c r="K146" s="750"/>
      <c r="L146" s="750"/>
      <c r="M146" s="750"/>
      <c r="N146" s="750"/>
      <c r="O146" s="750"/>
      <c r="P146" s="750"/>
      <c r="Q146" s="750"/>
      <c r="R146" s="750"/>
      <c r="S146" s="750"/>
      <c r="T146" s="750"/>
      <c r="U146" s="750"/>
      <c r="V146" s="750"/>
      <c r="W146" s="750"/>
      <c r="X146" s="750"/>
      <c r="Y146" s="750"/>
      <c r="Z146" s="750"/>
      <c r="AA146" s="750"/>
      <c r="AB146" s="750"/>
      <c r="AC146" s="750"/>
      <c r="AD146" s="749"/>
      <c r="AE146" s="750"/>
      <c r="AF146" s="750"/>
      <c r="AG146" s="750"/>
      <c r="AH146" s="750"/>
      <c r="AI146" s="750"/>
      <c r="AJ146" s="750"/>
      <c r="AK146" s="750"/>
      <c r="AL146" s="750"/>
      <c r="AM146" s="750"/>
      <c r="AN146" s="750"/>
      <c r="AO146" s="750"/>
      <c r="AP146" s="750"/>
      <c r="AQ146" s="750"/>
      <c r="AR146" s="750"/>
      <c r="AS146" s="750"/>
      <c r="AT146" s="750"/>
      <c r="AU146" s="750"/>
      <c r="AV146" s="750"/>
      <c r="AW146" s="750"/>
      <c r="AX146" s="750"/>
      <c r="AY146" s="750"/>
      <c r="AZ146" s="750"/>
      <c r="BA146" s="750"/>
      <c r="BB146" s="749"/>
      <c r="BC146" s="749"/>
      <c r="BD146" s="749"/>
      <c r="BE146" s="749"/>
    </row>
    <row r="147" s="750" customFormat="1" customHeight="1" spans="1:57">
      <c r="A147" s="749"/>
      <c r="B147" s="750"/>
      <c r="C147" s="750"/>
      <c r="D147" s="750"/>
      <c r="E147" s="750"/>
      <c r="F147" s="750"/>
      <c r="G147" s="750"/>
      <c r="H147" s="750"/>
      <c r="I147" s="750"/>
      <c r="J147" s="750"/>
      <c r="K147" s="750"/>
      <c r="L147" s="750"/>
      <c r="M147" s="750"/>
      <c r="N147" s="750"/>
      <c r="O147" s="750"/>
      <c r="P147" s="750"/>
      <c r="Q147" s="750"/>
      <c r="R147" s="750"/>
      <c r="S147" s="750"/>
      <c r="T147" s="750"/>
      <c r="U147" s="750"/>
      <c r="V147" s="750"/>
      <c r="W147" s="750"/>
      <c r="X147" s="750"/>
      <c r="Y147" s="750"/>
      <c r="Z147" s="750"/>
      <c r="AA147" s="750"/>
      <c r="AB147" s="750"/>
      <c r="AC147" s="750"/>
      <c r="AD147" s="749"/>
      <c r="AE147" s="750"/>
      <c r="AF147" s="750"/>
      <c r="AG147" s="750"/>
      <c r="AH147" s="750"/>
      <c r="AI147" s="750"/>
      <c r="AJ147" s="750"/>
      <c r="AK147" s="750"/>
      <c r="AL147" s="750"/>
      <c r="AM147" s="750"/>
      <c r="AN147" s="750"/>
      <c r="AO147" s="750"/>
      <c r="AP147" s="750"/>
      <c r="AQ147" s="750"/>
      <c r="AR147" s="750"/>
      <c r="AS147" s="750"/>
      <c r="AT147" s="750"/>
      <c r="AU147" s="750"/>
      <c r="AV147" s="750"/>
      <c r="AW147" s="750"/>
      <c r="AX147" s="750"/>
      <c r="AY147" s="750"/>
      <c r="AZ147" s="750"/>
      <c r="BA147" s="750"/>
      <c r="BB147" s="749"/>
      <c r="BC147" s="749"/>
      <c r="BD147" s="749"/>
      <c r="BE147" s="749"/>
    </row>
    <row r="148" s="750" customFormat="1" customHeight="1" spans="1:57">
      <c r="A148" s="749"/>
      <c r="B148" s="750"/>
      <c r="C148" s="750"/>
      <c r="D148" s="750"/>
      <c r="E148" s="750"/>
      <c r="F148" s="750"/>
      <c r="G148" s="750"/>
      <c r="H148" s="750"/>
      <c r="I148" s="750"/>
      <c r="J148" s="750"/>
      <c r="K148" s="750"/>
      <c r="L148" s="750"/>
      <c r="M148" s="750"/>
      <c r="N148" s="750"/>
      <c r="O148" s="750"/>
      <c r="P148" s="750"/>
      <c r="Q148" s="750"/>
      <c r="R148" s="750"/>
      <c r="S148" s="750"/>
      <c r="T148" s="750"/>
      <c r="U148" s="750"/>
      <c r="V148" s="750"/>
      <c r="W148" s="750"/>
      <c r="X148" s="750"/>
      <c r="Y148" s="750"/>
      <c r="Z148" s="750"/>
      <c r="AA148" s="750"/>
      <c r="AB148" s="750"/>
      <c r="AC148" s="750"/>
      <c r="AD148" s="749"/>
      <c r="AE148" s="750"/>
      <c r="AF148" s="750"/>
      <c r="AG148" s="750"/>
      <c r="AH148" s="750"/>
      <c r="AI148" s="750"/>
      <c r="AJ148" s="750"/>
      <c r="AK148" s="750"/>
      <c r="AL148" s="750"/>
      <c r="AM148" s="750"/>
      <c r="AN148" s="750"/>
      <c r="AO148" s="750"/>
      <c r="AP148" s="750"/>
      <c r="AQ148" s="750"/>
      <c r="AR148" s="750"/>
      <c r="AS148" s="750"/>
      <c r="AT148" s="750"/>
      <c r="AU148" s="750"/>
      <c r="AV148" s="750"/>
      <c r="AW148" s="750"/>
      <c r="AX148" s="750"/>
      <c r="AY148" s="750"/>
      <c r="AZ148" s="750"/>
      <c r="BA148" s="750"/>
      <c r="BB148" s="749"/>
      <c r="BC148" s="749"/>
      <c r="BD148" s="749"/>
      <c r="BE148" s="749"/>
    </row>
    <row r="149" s="750" customFormat="1" customHeight="1" spans="1:57">
      <c r="A149" s="749"/>
      <c r="B149" s="750"/>
      <c r="C149" s="750"/>
      <c r="D149" s="750"/>
      <c r="E149" s="750"/>
      <c r="F149" s="750"/>
      <c r="G149" s="750"/>
      <c r="H149" s="750"/>
      <c r="I149" s="750"/>
      <c r="J149" s="750"/>
      <c r="K149" s="750"/>
      <c r="L149" s="750"/>
      <c r="M149" s="750"/>
      <c r="N149" s="750"/>
      <c r="O149" s="750"/>
      <c r="P149" s="750"/>
      <c r="Q149" s="750"/>
      <c r="R149" s="750"/>
      <c r="S149" s="750"/>
      <c r="T149" s="750"/>
      <c r="U149" s="750"/>
      <c r="V149" s="750"/>
      <c r="W149" s="750"/>
      <c r="X149" s="750"/>
      <c r="Y149" s="750"/>
      <c r="Z149" s="750"/>
      <c r="AA149" s="750"/>
      <c r="AB149" s="750"/>
      <c r="AC149" s="750"/>
      <c r="AD149" s="749"/>
      <c r="AE149" s="750"/>
      <c r="AF149" s="750"/>
      <c r="AG149" s="750"/>
      <c r="AH149" s="750"/>
      <c r="AI149" s="750"/>
      <c r="AJ149" s="750"/>
      <c r="AK149" s="750"/>
      <c r="AL149" s="750"/>
      <c r="AM149" s="750"/>
      <c r="AN149" s="750"/>
      <c r="AO149" s="750"/>
      <c r="AP149" s="750"/>
      <c r="AQ149" s="750"/>
      <c r="AR149" s="750"/>
      <c r="AS149" s="750"/>
      <c r="AT149" s="750"/>
      <c r="AU149" s="750"/>
      <c r="AV149" s="750"/>
      <c r="AW149" s="750"/>
      <c r="AX149" s="750"/>
      <c r="AY149" s="750"/>
      <c r="AZ149" s="750"/>
      <c r="BA149" s="750"/>
      <c r="BB149" s="749"/>
      <c r="BC149" s="749"/>
      <c r="BD149" s="749"/>
      <c r="BE149" s="749"/>
    </row>
    <row r="150" s="750" customFormat="1" customHeight="1" spans="1:57">
      <c r="A150" s="749"/>
      <c r="B150" s="750"/>
      <c r="C150" s="750"/>
      <c r="D150" s="750"/>
      <c r="E150" s="750"/>
      <c r="F150" s="750"/>
      <c r="G150" s="750"/>
      <c r="H150" s="750"/>
      <c r="I150" s="750"/>
      <c r="J150" s="750"/>
      <c r="K150" s="750"/>
      <c r="L150" s="750"/>
      <c r="M150" s="750"/>
      <c r="N150" s="750"/>
      <c r="O150" s="750"/>
      <c r="P150" s="750"/>
      <c r="Q150" s="750"/>
      <c r="R150" s="750"/>
      <c r="S150" s="750"/>
      <c r="T150" s="750"/>
      <c r="U150" s="750"/>
      <c r="V150" s="750"/>
      <c r="W150" s="750"/>
      <c r="X150" s="750"/>
      <c r="Y150" s="750"/>
      <c r="Z150" s="750"/>
      <c r="AA150" s="750"/>
      <c r="AB150" s="750"/>
      <c r="AC150" s="750"/>
      <c r="AD150" s="749"/>
      <c r="AE150" s="750"/>
      <c r="AF150" s="750"/>
      <c r="AG150" s="750"/>
      <c r="AH150" s="750"/>
      <c r="AI150" s="750"/>
      <c r="AJ150" s="750"/>
      <c r="AK150" s="750"/>
      <c r="AL150" s="750"/>
      <c r="AM150" s="750"/>
      <c r="AN150" s="750"/>
      <c r="AO150" s="750"/>
      <c r="AP150" s="750"/>
      <c r="AQ150" s="750"/>
      <c r="AR150" s="750"/>
      <c r="AS150" s="750"/>
      <c r="AT150" s="750"/>
      <c r="AU150" s="750"/>
      <c r="AV150" s="750"/>
      <c r="AW150" s="750"/>
      <c r="AX150" s="750"/>
      <c r="AY150" s="750"/>
      <c r="AZ150" s="750"/>
      <c r="BA150" s="750"/>
      <c r="BB150" s="749"/>
      <c r="BC150" s="749"/>
      <c r="BD150" s="749"/>
      <c r="BE150" s="749"/>
    </row>
    <row r="151" s="750" customFormat="1" customHeight="1" spans="1:57">
      <c r="A151" s="749"/>
      <c r="B151" s="750"/>
      <c r="C151" s="750"/>
      <c r="D151" s="750"/>
      <c r="E151" s="750"/>
      <c r="F151" s="750"/>
      <c r="G151" s="750"/>
      <c r="H151" s="750"/>
      <c r="I151" s="750"/>
      <c r="J151" s="750"/>
      <c r="K151" s="750"/>
      <c r="L151" s="750"/>
      <c r="M151" s="750"/>
      <c r="N151" s="750"/>
      <c r="O151" s="750"/>
      <c r="P151" s="750"/>
      <c r="Q151" s="750"/>
      <c r="R151" s="750"/>
      <c r="S151" s="750"/>
      <c r="T151" s="750"/>
      <c r="U151" s="750"/>
      <c r="V151" s="750"/>
      <c r="W151" s="750"/>
      <c r="X151" s="750"/>
      <c r="Y151" s="750"/>
      <c r="Z151" s="750"/>
      <c r="AA151" s="750"/>
      <c r="AB151" s="750"/>
      <c r="AC151" s="750"/>
      <c r="AD151" s="749"/>
      <c r="AE151" s="750"/>
      <c r="AF151" s="750"/>
      <c r="AG151" s="750"/>
      <c r="AH151" s="750"/>
      <c r="AI151" s="750"/>
      <c r="AJ151" s="750"/>
      <c r="AK151" s="750"/>
      <c r="AL151" s="750"/>
      <c r="AM151" s="750"/>
      <c r="AN151" s="750"/>
      <c r="AO151" s="750"/>
      <c r="AP151" s="750"/>
      <c r="AQ151" s="750"/>
      <c r="AR151" s="750"/>
      <c r="AS151" s="750"/>
      <c r="AT151" s="750"/>
      <c r="AU151" s="750"/>
      <c r="AV151" s="750"/>
      <c r="AW151" s="750"/>
      <c r="AX151" s="750"/>
      <c r="AY151" s="750"/>
      <c r="AZ151" s="750"/>
      <c r="BA151" s="750"/>
      <c r="BB151" s="749"/>
      <c r="BC151" s="749"/>
      <c r="BD151" s="749"/>
      <c r="BE151" s="749"/>
    </row>
    <row r="152" s="750" customFormat="1" customHeight="1" spans="1:57">
      <c r="A152" s="749"/>
      <c r="B152" s="750"/>
      <c r="C152" s="750"/>
      <c r="D152" s="750"/>
      <c r="E152" s="750"/>
      <c r="F152" s="750"/>
      <c r="G152" s="750"/>
      <c r="H152" s="750"/>
      <c r="I152" s="750"/>
      <c r="J152" s="750"/>
      <c r="K152" s="750"/>
      <c r="L152" s="750"/>
      <c r="M152" s="750"/>
      <c r="N152" s="750"/>
      <c r="O152" s="750"/>
      <c r="P152" s="750"/>
      <c r="Q152" s="750"/>
      <c r="R152" s="750"/>
      <c r="S152" s="750"/>
      <c r="T152" s="750"/>
      <c r="U152" s="750"/>
      <c r="V152" s="750"/>
      <c r="W152" s="750"/>
      <c r="X152" s="750"/>
      <c r="Y152" s="750"/>
      <c r="Z152" s="750"/>
      <c r="AA152" s="750"/>
      <c r="AB152" s="750"/>
      <c r="AC152" s="750"/>
      <c r="AD152" s="749"/>
      <c r="AE152" s="750"/>
      <c r="AF152" s="750"/>
      <c r="AG152" s="750"/>
      <c r="AH152" s="750"/>
      <c r="AI152" s="750"/>
      <c r="AJ152" s="750"/>
      <c r="AK152" s="750"/>
      <c r="AL152" s="750"/>
      <c r="AM152" s="750"/>
      <c r="AN152" s="750"/>
      <c r="AO152" s="750"/>
      <c r="AP152" s="750"/>
      <c r="AQ152" s="750"/>
      <c r="AR152" s="750"/>
      <c r="AS152" s="750"/>
      <c r="AT152" s="750"/>
      <c r="AU152" s="750"/>
      <c r="AV152" s="750"/>
      <c r="AW152" s="750"/>
      <c r="AX152" s="750"/>
      <c r="AY152" s="750"/>
      <c r="AZ152" s="750"/>
      <c r="BA152" s="750"/>
      <c r="BB152" s="749"/>
      <c r="BC152" s="749"/>
      <c r="BD152" s="749"/>
      <c r="BE152" s="749"/>
    </row>
    <row r="153" s="750" customFormat="1" customHeight="1" spans="1:57">
      <c r="A153" s="749"/>
      <c r="B153" s="750"/>
      <c r="C153" s="750"/>
      <c r="D153" s="750"/>
      <c r="E153" s="750"/>
      <c r="F153" s="750"/>
      <c r="G153" s="750"/>
      <c r="H153" s="750"/>
      <c r="I153" s="750"/>
      <c r="J153" s="750"/>
      <c r="K153" s="750"/>
      <c r="L153" s="750"/>
      <c r="M153" s="750"/>
      <c r="N153" s="750"/>
      <c r="O153" s="750"/>
      <c r="P153" s="750"/>
      <c r="Q153" s="750"/>
      <c r="R153" s="750"/>
      <c r="S153" s="750"/>
      <c r="T153" s="750"/>
      <c r="U153" s="750"/>
      <c r="V153" s="750"/>
      <c r="W153" s="750"/>
      <c r="X153" s="750"/>
      <c r="Y153" s="750"/>
      <c r="Z153" s="750"/>
      <c r="AA153" s="750"/>
      <c r="AB153" s="750"/>
      <c r="AC153" s="750"/>
      <c r="AD153" s="749"/>
      <c r="AE153" s="750"/>
      <c r="AF153" s="750"/>
      <c r="AG153" s="750"/>
      <c r="AH153" s="750"/>
      <c r="AI153" s="750"/>
      <c r="AJ153" s="750"/>
      <c r="AK153" s="750"/>
      <c r="AL153" s="750"/>
      <c r="AM153" s="750"/>
      <c r="AN153" s="750"/>
      <c r="AO153" s="750"/>
      <c r="AP153" s="750"/>
      <c r="AQ153" s="750"/>
      <c r="AR153" s="750"/>
      <c r="AS153" s="750"/>
      <c r="AT153" s="750"/>
      <c r="AU153" s="750"/>
      <c r="AV153" s="750"/>
      <c r="AW153" s="750"/>
      <c r="AX153" s="750"/>
      <c r="AY153" s="750"/>
      <c r="AZ153" s="750"/>
      <c r="BA153" s="750"/>
      <c r="BB153" s="749"/>
      <c r="BC153" s="749"/>
      <c r="BD153" s="749"/>
      <c r="BE153" s="749"/>
    </row>
    <row r="154" s="750" customFormat="1" customHeight="1" spans="1:57">
      <c r="A154" s="749"/>
      <c r="B154" s="750"/>
      <c r="C154" s="750"/>
      <c r="D154" s="750"/>
      <c r="E154" s="750"/>
      <c r="F154" s="750"/>
      <c r="G154" s="750"/>
      <c r="H154" s="750"/>
      <c r="I154" s="750"/>
      <c r="J154" s="750"/>
      <c r="K154" s="750"/>
      <c r="L154" s="750"/>
      <c r="M154" s="750"/>
      <c r="N154" s="750"/>
      <c r="O154" s="750"/>
      <c r="P154" s="750"/>
      <c r="Q154" s="750"/>
      <c r="R154" s="750"/>
      <c r="S154" s="750"/>
      <c r="T154" s="750"/>
      <c r="U154" s="750"/>
      <c r="V154" s="750"/>
      <c r="W154" s="750"/>
      <c r="X154" s="750"/>
      <c r="Y154" s="750"/>
      <c r="Z154" s="750"/>
      <c r="AA154" s="750"/>
      <c r="AB154" s="750"/>
      <c r="AC154" s="750"/>
      <c r="AD154" s="749"/>
      <c r="AE154" s="750"/>
      <c r="AF154" s="750"/>
      <c r="AG154" s="750"/>
      <c r="AH154" s="750"/>
      <c r="AI154" s="750"/>
      <c r="AJ154" s="750"/>
      <c r="AK154" s="750"/>
      <c r="AL154" s="750"/>
      <c r="AM154" s="750"/>
      <c r="AN154" s="750"/>
      <c r="AO154" s="750"/>
      <c r="AP154" s="750"/>
      <c r="AQ154" s="750"/>
      <c r="AR154" s="750"/>
      <c r="AS154" s="750"/>
      <c r="AT154" s="750"/>
      <c r="AU154" s="750"/>
      <c r="AV154" s="750"/>
      <c r="AW154" s="750"/>
      <c r="AX154" s="750"/>
      <c r="AY154" s="750"/>
      <c r="AZ154" s="750"/>
      <c r="BA154" s="750"/>
      <c r="BB154" s="749"/>
      <c r="BC154" s="749"/>
      <c r="BD154" s="749"/>
      <c r="BE154" s="749"/>
    </row>
    <row r="155" s="750" customFormat="1" customHeight="1" spans="1:57">
      <c r="A155" s="749"/>
      <c r="B155" s="750"/>
      <c r="C155" s="750"/>
      <c r="D155" s="750"/>
      <c r="E155" s="750"/>
      <c r="F155" s="750"/>
      <c r="G155" s="750"/>
      <c r="H155" s="750"/>
      <c r="I155" s="750"/>
      <c r="J155" s="750"/>
      <c r="K155" s="750"/>
      <c r="L155" s="750"/>
      <c r="M155" s="750"/>
      <c r="N155" s="750"/>
      <c r="O155" s="750"/>
      <c r="P155" s="750"/>
      <c r="Q155" s="750"/>
      <c r="R155" s="750"/>
      <c r="S155" s="750"/>
      <c r="T155" s="750"/>
      <c r="U155" s="750"/>
      <c r="V155" s="750"/>
      <c r="W155" s="750"/>
      <c r="X155" s="750"/>
      <c r="Y155" s="750"/>
      <c r="Z155" s="750"/>
      <c r="AA155" s="750"/>
      <c r="AB155" s="750"/>
      <c r="AC155" s="750"/>
      <c r="AD155" s="749"/>
      <c r="AE155" s="750"/>
      <c r="AF155" s="750"/>
      <c r="AG155" s="750"/>
      <c r="AH155" s="750"/>
      <c r="AI155" s="750"/>
      <c r="AJ155" s="750"/>
      <c r="AK155" s="750"/>
      <c r="AL155" s="750"/>
      <c r="AM155" s="750"/>
      <c r="AN155" s="750"/>
      <c r="AO155" s="750"/>
      <c r="AP155" s="750"/>
      <c r="AQ155" s="750"/>
      <c r="AR155" s="750"/>
      <c r="AS155" s="750"/>
      <c r="AT155" s="750"/>
      <c r="AU155" s="750"/>
      <c r="AV155" s="750"/>
      <c r="AW155" s="750"/>
      <c r="AX155" s="750"/>
      <c r="AY155" s="750"/>
      <c r="AZ155" s="750"/>
      <c r="BA155" s="750"/>
      <c r="BB155" s="749"/>
      <c r="BC155" s="749"/>
      <c r="BD155" s="749"/>
      <c r="BE155" s="749"/>
    </row>
    <row r="156" s="750" customFormat="1" customHeight="1" spans="1:57">
      <c r="A156" s="749"/>
      <c r="B156" s="750"/>
      <c r="C156" s="750"/>
      <c r="D156" s="750"/>
      <c r="E156" s="750"/>
      <c r="F156" s="750"/>
      <c r="G156" s="750"/>
      <c r="H156" s="750"/>
      <c r="I156" s="750"/>
      <c r="J156" s="750"/>
      <c r="K156" s="750"/>
      <c r="L156" s="750"/>
      <c r="M156" s="750"/>
      <c r="N156" s="750"/>
      <c r="O156" s="750"/>
      <c r="P156" s="750"/>
      <c r="Q156" s="750"/>
      <c r="R156" s="750"/>
      <c r="S156" s="750"/>
      <c r="T156" s="750"/>
      <c r="U156" s="750"/>
      <c r="V156" s="750"/>
      <c r="W156" s="750"/>
      <c r="X156" s="750"/>
      <c r="Y156" s="750"/>
      <c r="Z156" s="750"/>
      <c r="AA156" s="750"/>
      <c r="AB156" s="750"/>
      <c r="AC156" s="750"/>
      <c r="AD156" s="749"/>
      <c r="AE156" s="750"/>
      <c r="AF156" s="750"/>
      <c r="AG156" s="750"/>
      <c r="AH156" s="750"/>
      <c r="AI156" s="750"/>
      <c r="AJ156" s="750"/>
      <c r="AK156" s="750"/>
      <c r="AL156" s="750"/>
      <c r="AM156" s="750"/>
      <c r="AN156" s="750"/>
      <c r="AO156" s="750"/>
      <c r="AP156" s="750"/>
      <c r="AQ156" s="750"/>
      <c r="AR156" s="750"/>
      <c r="AS156" s="750"/>
      <c r="AT156" s="750"/>
      <c r="AU156" s="750"/>
      <c r="AV156" s="750"/>
      <c r="AW156" s="750"/>
      <c r="AX156" s="750"/>
      <c r="AY156" s="750"/>
      <c r="AZ156" s="750"/>
      <c r="BA156" s="750"/>
      <c r="BB156" s="749"/>
      <c r="BC156" s="749"/>
      <c r="BD156" s="749"/>
      <c r="BE156" s="749"/>
    </row>
    <row r="157" s="750" customFormat="1" customHeight="1" spans="1:57">
      <c r="A157" s="749"/>
      <c r="B157" s="750"/>
      <c r="C157" s="750"/>
      <c r="D157" s="750"/>
      <c r="E157" s="750"/>
      <c r="F157" s="750"/>
      <c r="G157" s="750"/>
      <c r="H157" s="750"/>
      <c r="I157" s="750"/>
      <c r="J157" s="750"/>
      <c r="K157" s="750"/>
      <c r="L157" s="750"/>
      <c r="M157" s="750"/>
      <c r="N157" s="750"/>
      <c r="O157" s="750"/>
      <c r="P157" s="750"/>
      <c r="Q157" s="750"/>
      <c r="R157" s="750"/>
      <c r="S157" s="750"/>
      <c r="T157" s="750"/>
      <c r="U157" s="750"/>
      <c r="V157" s="750"/>
      <c r="W157" s="750"/>
      <c r="X157" s="750"/>
      <c r="Y157" s="750"/>
      <c r="Z157" s="750"/>
      <c r="AA157" s="750"/>
      <c r="AB157" s="750"/>
      <c r="AC157" s="750"/>
      <c r="AD157" s="749"/>
      <c r="AE157" s="750"/>
      <c r="AF157" s="750"/>
      <c r="AG157" s="750"/>
      <c r="AH157" s="750"/>
      <c r="AI157" s="750"/>
      <c r="AJ157" s="750"/>
      <c r="AK157" s="750"/>
      <c r="AL157" s="750"/>
      <c r="AM157" s="750"/>
      <c r="AN157" s="750"/>
      <c r="AO157" s="750"/>
      <c r="AP157" s="750"/>
      <c r="AQ157" s="750"/>
      <c r="AR157" s="750"/>
      <c r="AS157" s="750"/>
      <c r="AT157" s="750"/>
      <c r="AU157" s="750"/>
      <c r="AV157" s="750"/>
      <c r="AW157" s="750"/>
      <c r="AX157" s="750"/>
      <c r="AY157" s="750"/>
      <c r="AZ157" s="750"/>
      <c r="BA157" s="750"/>
      <c r="BB157" s="749"/>
      <c r="BC157" s="749"/>
      <c r="BD157" s="749"/>
      <c r="BE157" s="749"/>
    </row>
    <row r="158" s="750" customFormat="1" customHeight="1" spans="1:57">
      <c r="A158" s="749"/>
      <c r="B158" s="750"/>
      <c r="C158" s="750"/>
      <c r="D158" s="750"/>
      <c r="E158" s="750"/>
      <c r="F158" s="750"/>
      <c r="G158" s="750"/>
      <c r="H158" s="750"/>
      <c r="I158" s="750"/>
      <c r="J158" s="750"/>
      <c r="K158" s="750"/>
      <c r="L158" s="750"/>
      <c r="M158" s="750"/>
      <c r="N158" s="750"/>
      <c r="O158" s="750"/>
      <c r="P158" s="750"/>
      <c r="Q158" s="750"/>
      <c r="R158" s="750"/>
      <c r="S158" s="750"/>
      <c r="T158" s="750"/>
      <c r="U158" s="750"/>
      <c r="V158" s="750"/>
      <c r="W158" s="750"/>
      <c r="X158" s="750"/>
      <c r="Y158" s="750"/>
      <c r="Z158" s="750"/>
      <c r="AA158" s="750"/>
      <c r="AB158" s="750"/>
      <c r="AC158" s="750"/>
      <c r="AD158" s="749"/>
      <c r="AE158" s="750"/>
      <c r="AF158" s="750"/>
      <c r="AG158" s="750"/>
      <c r="AH158" s="750"/>
      <c r="AI158" s="750"/>
      <c r="AJ158" s="750"/>
      <c r="AK158" s="750"/>
      <c r="AL158" s="750"/>
      <c r="AM158" s="750"/>
      <c r="AN158" s="750"/>
      <c r="AO158" s="750"/>
      <c r="AP158" s="750"/>
      <c r="AQ158" s="750"/>
      <c r="AR158" s="750"/>
      <c r="AS158" s="750"/>
      <c r="AT158" s="750"/>
      <c r="AU158" s="750"/>
      <c r="AV158" s="750"/>
      <c r="AW158" s="750"/>
      <c r="AX158" s="750"/>
      <c r="AY158" s="750"/>
      <c r="AZ158" s="750"/>
      <c r="BA158" s="750"/>
      <c r="BB158" s="749"/>
      <c r="BC158" s="749"/>
      <c r="BD158" s="749"/>
      <c r="BE158" s="749"/>
    </row>
    <row r="159" s="750" customFormat="1" customHeight="1" spans="1:57">
      <c r="A159" s="749"/>
      <c r="B159" s="750"/>
      <c r="C159" s="750"/>
      <c r="D159" s="750"/>
      <c r="E159" s="750"/>
      <c r="F159" s="750"/>
      <c r="G159" s="750"/>
      <c r="H159" s="750"/>
      <c r="I159" s="750"/>
      <c r="J159" s="750"/>
      <c r="K159" s="750"/>
      <c r="L159" s="750"/>
      <c r="M159" s="750"/>
      <c r="N159" s="750"/>
      <c r="O159" s="750"/>
      <c r="P159" s="750"/>
      <c r="Q159" s="750"/>
      <c r="R159" s="750"/>
      <c r="S159" s="750"/>
      <c r="T159" s="750"/>
      <c r="U159" s="750"/>
      <c r="V159" s="750"/>
      <c r="W159" s="750"/>
      <c r="X159" s="750"/>
      <c r="Y159" s="750"/>
      <c r="Z159" s="750"/>
      <c r="AA159" s="750"/>
      <c r="AB159" s="750"/>
      <c r="AC159" s="750"/>
      <c r="AD159" s="749"/>
      <c r="AE159" s="750"/>
      <c r="AF159" s="750"/>
      <c r="AG159" s="750"/>
      <c r="AH159" s="750"/>
      <c r="AI159" s="750"/>
      <c r="AJ159" s="750"/>
      <c r="AK159" s="750"/>
      <c r="AL159" s="750"/>
      <c r="AM159" s="750"/>
      <c r="AN159" s="750"/>
      <c r="AO159" s="750"/>
      <c r="AP159" s="750"/>
      <c r="AQ159" s="750"/>
      <c r="AR159" s="750"/>
      <c r="AS159" s="750"/>
      <c r="AT159" s="750"/>
      <c r="AU159" s="750"/>
      <c r="AV159" s="750"/>
      <c r="AW159" s="750"/>
      <c r="AX159" s="750"/>
      <c r="AY159" s="750"/>
      <c r="AZ159" s="750"/>
      <c r="BA159" s="750"/>
      <c r="BB159" s="749"/>
      <c r="BC159" s="749"/>
      <c r="BD159" s="749"/>
      <c r="BE159" s="749"/>
    </row>
    <row r="160" s="750" customFormat="1" customHeight="1" spans="1:57">
      <c r="A160" s="749"/>
      <c r="B160" s="750"/>
      <c r="C160" s="750"/>
      <c r="D160" s="750"/>
      <c r="E160" s="750"/>
      <c r="F160" s="750"/>
      <c r="G160" s="750"/>
      <c r="H160" s="750"/>
      <c r="I160" s="750"/>
      <c r="J160" s="750"/>
      <c r="K160" s="750"/>
      <c r="L160" s="750"/>
      <c r="M160" s="750"/>
      <c r="N160" s="750"/>
      <c r="O160" s="750"/>
      <c r="P160" s="750"/>
      <c r="Q160" s="750"/>
      <c r="R160" s="750"/>
      <c r="S160" s="750"/>
      <c r="T160" s="750"/>
      <c r="U160" s="750"/>
      <c r="V160" s="750"/>
      <c r="W160" s="750"/>
      <c r="X160" s="750"/>
      <c r="Y160" s="750"/>
      <c r="Z160" s="750"/>
      <c r="AA160" s="750"/>
      <c r="AB160" s="750"/>
      <c r="AC160" s="750"/>
      <c r="AD160" s="749"/>
      <c r="AE160" s="750"/>
      <c r="AF160" s="750"/>
      <c r="AG160" s="750"/>
      <c r="AH160" s="750"/>
      <c r="AI160" s="750"/>
      <c r="AJ160" s="750"/>
      <c r="AK160" s="750"/>
      <c r="AL160" s="750"/>
      <c r="AM160" s="750"/>
      <c r="AN160" s="750"/>
      <c r="AO160" s="750"/>
      <c r="AP160" s="750"/>
      <c r="AQ160" s="750"/>
      <c r="AR160" s="750"/>
      <c r="AS160" s="750"/>
      <c r="AT160" s="750"/>
      <c r="AU160" s="750"/>
      <c r="AV160" s="750"/>
      <c r="AW160" s="750"/>
      <c r="AX160" s="750"/>
      <c r="AY160" s="750"/>
      <c r="AZ160" s="750"/>
      <c r="BA160" s="750"/>
      <c r="BB160" s="749"/>
      <c r="BC160" s="749"/>
      <c r="BD160" s="749"/>
      <c r="BE160" s="749"/>
    </row>
    <row r="161" s="750" customFormat="1" customHeight="1" spans="1:57">
      <c r="A161" s="749"/>
      <c r="B161" s="750"/>
      <c r="C161" s="750"/>
      <c r="D161" s="750"/>
      <c r="E161" s="750"/>
      <c r="F161" s="750"/>
      <c r="G161" s="750"/>
      <c r="H161" s="750"/>
      <c r="I161" s="750"/>
      <c r="J161" s="750"/>
      <c r="K161" s="750"/>
      <c r="L161" s="750"/>
      <c r="M161" s="750"/>
      <c r="N161" s="750"/>
      <c r="O161" s="750"/>
      <c r="P161" s="750"/>
      <c r="Q161" s="750"/>
      <c r="R161" s="750"/>
      <c r="S161" s="750"/>
      <c r="T161" s="750"/>
      <c r="U161" s="750"/>
      <c r="V161" s="750"/>
      <c r="W161" s="750"/>
      <c r="X161" s="750"/>
      <c r="Y161" s="750"/>
      <c r="Z161" s="750"/>
      <c r="AA161" s="750"/>
      <c r="AB161" s="750"/>
      <c r="AC161" s="750"/>
      <c r="AD161" s="749"/>
      <c r="AE161" s="750"/>
      <c r="AF161" s="750"/>
      <c r="AG161" s="750"/>
      <c r="AH161" s="750"/>
      <c r="AI161" s="750"/>
      <c r="AJ161" s="750"/>
      <c r="AK161" s="750"/>
      <c r="AL161" s="750"/>
      <c r="AM161" s="750"/>
      <c r="AN161" s="750"/>
      <c r="AO161" s="750"/>
      <c r="AP161" s="750"/>
      <c r="AQ161" s="750"/>
      <c r="AR161" s="750"/>
      <c r="AS161" s="750"/>
      <c r="AT161" s="750"/>
      <c r="AU161" s="750"/>
      <c r="AV161" s="750"/>
      <c r="AW161" s="750"/>
      <c r="AX161" s="750"/>
      <c r="AY161" s="750"/>
      <c r="AZ161" s="750"/>
      <c r="BA161" s="750"/>
      <c r="BB161" s="749"/>
      <c r="BC161" s="749"/>
      <c r="BD161" s="749"/>
      <c r="BE161" s="749"/>
    </row>
    <row r="162" s="750" customFormat="1" customHeight="1" spans="1:57">
      <c r="A162" s="749"/>
      <c r="B162" s="750"/>
      <c r="C162" s="750"/>
      <c r="D162" s="750"/>
      <c r="E162" s="750"/>
      <c r="F162" s="750"/>
      <c r="G162" s="750"/>
      <c r="H162" s="750"/>
      <c r="I162" s="750"/>
      <c r="J162" s="750"/>
      <c r="K162" s="750"/>
      <c r="L162" s="750"/>
      <c r="M162" s="750"/>
      <c r="N162" s="750"/>
      <c r="O162" s="750"/>
      <c r="P162" s="750"/>
      <c r="Q162" s="750"/>
      <c r="R162" s="750"/>
      <c r="S162" s="750"/>
      <c r="T162" s="750"/>
      <c r="U162" s="750"/>
      <c r="V162" s="750"/>
      <c r="W162" s="750"/>
      <c r="X162" s="750"/>
      <c r="Y162" s="750"/>
      <c r="Z162" s="750"/>
      <c r="AA162" s="750"/>
      <c r="AB162" s="750"/>
      <c r="AC162" s="750"/>
      <c r="AD162" s="749"/>
      <c r="AE162" s="750"/>
      <c r="AF162" s="750"/>
      <c r="AG162" s="750"/>
      <c r="AH162" s="750"/>
      <c r="AI162" s="750"/>
      <c r="AJ162" s="750"/>
      <c r="AK162" s="750"/>
      <c r="AL162" s="750"/>
      <c r="AM162" s="750"/>
      <c r="AN162" s="750"/>
      <c r="AO162" s="750"/>
      <c r="AP162" s="750"/>
      <c r="AQ162" s="750"/>
      <c r="AR162" s="750"/>
      <c r="AS162" s="750"/>
      <c r="AT162" s="750"/>
      <c r="AU162" s="750"/>
      <c r="AV162" s="750"/>
      <c r="AW162" s="750"/>
      <c r="AX162" s="750"/>
      <c r="AY162" s="750"/>
      <c r="AZ162" s="750"/>
      <c r="BA162" s="750"/>
      <c r="BB162" s="749"/>
      <c r="BC162" s="749"/>
      <c r="BD162" s="749"/>
      <c r="BE162" s="749"/>
    </row>
    <row r="163" s="750" customFormat="1" customHeight="1" spans="1:57">
      <c r="A163" s="749"/>
      <c r="B163" s="750"/>
      <c r="C163" s="750"/>
      <c r="D163" s="750"/>
      <c r="E163" s="750"/>
      <c r="F163" s="750"/>
      <c r="G163" s="750"/>
      <c r="H163" s="750"/>
      <c r="I163" s="750"/>
      <c r="J163" s="750"/>
      <c r="K163" s="750"/>
      <c r="L163" s="750"/>
      <c r="M163" s="750"/>
      <c r="N163" s="750"/>
      <c r="O163" s="750"/>
      <c r="P163" s="750"/>
      <c r="Q163" s="750"/>
      <c r="R163" s="750"/>
      <c r="S163" s="750"/>
      <c r="T163" s="750"/>
      <c r="U163" s="750"/>
      <c r="V163" s="750"/>
      <c r="W163" s="750"/>
      <c r="X163" s="750"/>
      <c r="Y163" s="750"/>
      <c r="Z163" s="750"/>
      <c r="AA163" s="750"/>
      <c r="AB163" s="750"/>
      <c r="AC163" s="750"/>
      <c r="AD163" s="749"/>
      <c r="AE163" s="750"/>
      <c r="AF163" s="750"/>
      <c r="AG163" s="750"/>
      <c r="AH163" s="750"/>
      <c r="AI163" s="750"/>
      <c r="AJ163" s="750"/>
      <c r="AK163" s="750"/>
      <c r="AL163" s="750"/>
      <c r="AM163" s="750"/>
      <c r="AN163" s="750"/>
      <c r="AO163" s="750"/>
      <c r="AP163" s="750"/>
      <c r="AQ163" s="750"/>
      <c r="AR163" s="750"/>
      <c r="AS163" s="750"/>
      <c r="AT163" s="750"/>
      <c r="AU163" s="750"/>
      <c r="AV163" s="750"/>
      <c r="AW163" s="750"/>
      <c r="AX163" s="750"/>
      <c r="AY163" s="750"/>
      <c r="AZ163" s="750"/>
      <c r="BA163" s="750"/>
      <c r="BB163" s="749"/>
      <c r="BC163" s="749"/>
      <c r="BD163" s="749"/>
      <c r="BE163" s="749"/>
    </row>
    <row r="164" s="750" customFormat="1" customHeight="1" spans="1:57">
      <c r="A164" s="749"/>
      <c r="B164" s="750"/>
      <c r="C164" s="750"/>
      <c r="D164" s="750"/>
      <c r="E164" s="750"/>
      <c r="F164" s="750"/>
      <c r="G164" s="750"/>
      <c r="H164" s="750"/>
      <c r="I164" s="750"/>
      <c r="J164" s="750"/>
      <c r="K164" s="750"/>
      <c r="L164" s="750"/>
      <c r="M164" s="750"/>
      <c r="N164" s="750"/>
      <c r="O164" s="750"/>
      <c r="P164" s="750"/>
      <c r="Q164" s="750"/>
      <c r="R164" s="750"/>
      <c r="S164" s="750"/>
      <c r="T164" s="750"/>
      <c r="U164" s="750"/>
      <c r="V164" s="750"/>
      <c r="W164" s="750"/>
      <c r="X164" s="750"/>
      <c r="Y164" s="750"/>
      <c r="Z164" s="750"/>
      <c r="AA164" s="750"/>
      <c r="AB164" s="750"/>
      <c r="AC164" s="750"/>
      <c r="AD164" s="749"/>
      <c r="AE164" s="750"/>
      <c r="AF164" s="750"/>
      <c r="AG164" s="750"/>
      <c r="AH164" s="750"/>
      <c r="AI164" s="750"/>
      <c r="AJ164" s="750"/>
      <c r="AK164" s="750"/>
      <c r="AL164" s="750"/>
      <c r="AM164" s="750"/>
      <c r="AN164" s="750"/>
      <c r="AO164" s="750"/>
      <c r="AP164" s="750"/>
      <c r="AQ164" s="750"/>
      <c r="AR164" s="750"/>
      <c r="AS164" s="750"/>
      <c r="AT164" s="750"/>
      <c r="AU164" s="750"/>
      <c r="AV164" s="750"/>
      <c r="AW164" s="750"/>
      <c r="AX164" s="750"/>
      <c r="AY164" s="750"/>
      <c r="AZ164" s="750"/>
      <c r="BA164" s="750"/>
      <c r="BB164" s="749"/>
      <c r="BC164" s="749"/>
      <c r="BD164" s="749"/>
      <c r="BE164" s="749"/>
    </row>
    <row r="165" s="750" customFormat="1" customHeight="1" spans="1:57">
      <c r="A165" s="749"/>
      <c r="B165" s="750"/>
      <c r="C165" s="750"/>
      <c r="D165" s="750"/>
      <c r="E165" s="750"/>
      <c r="F165" s="750"/>
      <c r="G165" s="750"/>
      <c r="H165" s="750"/>
      <c r="I165" s="750"/>
      <c r="J165" s="750"/>
      <c r="K165" s="750"/>
      <c r="L165" s="750"/>
      <c r="M165" s="750"/>
      <c r="N165" s="750"/>
      <c r="O165" s="750"/>
      <c r="P165" s="750"/>
      <c r="Q165" s="750"/>
      <c r="R165" s="750"/>
      <c r="S165" s="750"/>
      <c r="T165" s="750"/>
      <c r="U165" s="750"/>
      <c r="V165" s="750"/>
      <c r="W165" s="750"/>
      <c r="X165" s="750"/>
      <c r="Y165" s="750"/>
      <c r="Z165" s="750"/>
      <c r="AA165" s="750"/>
      <c r="AB165" s="750"/>
      <c r="AC165" s="750"/>
      <c r="AD165" s="749"/>
      <c r="AE165" s="750"/>
      <c r="AF165" s="750"/>
      <c r="AG165" s="750"/>
      <c r="AH165" s="750"/>
      <c r="AI165" s="750"/>
      <c r="AJ165" s="750"/>
      <c r="AK165" s="750"/>
      <c r="AL165" s="750"/>
      <c r="AM165" s="750"/>
      <c r="AN165" s="750"/>
      <c r="AO165" s="750"/>
      <c r="AP165" s="750"/>
      <c r="AQ165" s="750"/>
      <c r="AR165" s="750"/>
      <c r="AS165" s="750"/>
      <c r="AT165" s="750"/>
      <c r="AU165" s="750"/>
      <c r="AV165" s="750"/>
      <c r="AW165" s="750"/>
      <c r="AX165" s="750"/>
      <c r="AY165" s="750"/>
      <c r="AZ165" s="750"/>
      <c r="BA165" s="750"/>
      <c r="BB165" s="749"/>
      <c r="BC165" s="749"/>
      <c r="BD165" s="749"/>
      <c r="BE165" s="749"/>
    </row>
    <row r="166" s="750" customFormat="1" customHeight="1" spans="1:57">
      <c r="A166" s="749"/>
      <c r="B166" s="750"/>
      <c r="C166" s="750"/>
      <c r="D166" s="750"/>
      <c r="E166" s="750"/>
      <c r="F166" s="750"/>
      <c r="G166" s="750"/>
      <c r="H166" s="750"/>
      <c r="I166" s="750"/>
      <c r="J166" s="750"/>
      <c r="K166" s="750"/>
      <c r="L166" s="750"/>
      <c r="M166" s="750"/>
      <c r="N166" s="750"/>
      <c r="O166" s="750"/>
      <c r="P166" s="750"/>
      <c r="Q166" s="750"/>
      <c r="R166" s="750"/>
      <c r="S166" s="750"/>
      <c r="T166" s="750"/>
      <c r="U166" s="750"/>
      <c r="V166" s="750"/>
      <c r="W166" s="750"/>
      <c r="X166" s="750"/>
      <c r="Y166" s="750"/>
      <c r="Z166" s="750"/>
      <c r="AA166" s="750"/>
      <c r="AB166" s="750"/>
      <c r="AC166" s="750"/>
      <c r="AD166" s="749"/>
      <c r="AE166" s="750"/>
      <c r="AF166" s="750"/>
      <c r="AG166" s="750"/>
      <c r="AH166" s="750"/>
      <c r="AI166" s="750"/>
      <c r="AJ166" s="750"/>
      <c r="AK166" s="750"/>
      <c r="AL166" s="750"/>
      <c r="AM166" s="750"/>
      <c r="AN166" s="750"/>
      <c r="AO166" s="750"/>
      <c r="AP166" s="750"/>
      <c r="AQ166" s="750"/>
      <c r="AR166" s="750"/>
      <c r="AS166" s="750"/>
      <c r="AT166" s="750"/>
      <c r="AU166" s="750"/>
      <c r="AV166" s="750"/>
      <c r="AW166" s="750"/>
      <c r="AX166" s="750"/>
      <c r="AY166" s="750"/>
      <c r="AZ166" s="750"/>
      <c r="BA166" s="750"/>
      <c r="BB166" s="749"/>
      <c r="BC166" s="749"/>
      <c r="BD166" s="749"/>
      <c r="BE166" s="749"/>
    </row>
    <row r="167" s="750" customFormat="1" customHeight="1" spans="1:57">
      <c r="A167" s="749"/>
      <c r="B167" s="750"/>
      <c r="C167" s="750"/>
      <c r="D167" s="750"/>
      <c r="E167" s="750"/>
      <c r="F167" s="750"/>
      <c r="G167" s="750"/>
      <c r="H167" s="750"/>
      <c r="I167" s="750"/>
      <c r="J167" s="750"/>
      <c r="K167" s="750"/>
      <c r="L167" s="750"/>
      <c r="M167" s="750"/>
      <c r="N167" s="750"/>
      <c r="O167" s="750"/>
      <c r="P167" s="750"/>
      <c r="Q167" s="750"/>
      <c r="R167" s="750"/>
      <c r="S167" s="750"/>
      <c r="T167" s="750"/>
      <c r="U167" s="750"/>
      <c r="V167" s="750"/>
      <c r="W167" s="750"/>
      <c r="X167" s="750"/>
      <c r="Y167" s="750"/>
      <c r="Z167" s="750"/>
      <c r="AA167" s="750"/>
      <c r="AB167" s="750"/>
      <c r="AC167" s="750"/>
      <c r="AD167" s="749"/>
      <c r="AE167" s="750"/>
      <c r="AF167" s="750"/>
      <c r="AG167" s="750"/>
      <c r="AH167" s="750"/>
      <c r="AI167" s="750"/>
      <c r="AJ167" s="750"/>
      <c r="AK167" s="750"/>
      <c r="AL167" s="750"/>
      <c r="AM167" s="750"/>
      <c r="AN167" s="750"/>
      <c r="AO167" s="750"/>
      <c r="AP167" s="750"/>
      <c r="AQ167" s="750"/>
      <c r="AR167" s="750"/>
      <c r="AS167" s="750"/>
      <c r="AT167" s="750"/>
      <c r="AU167" s="750"/>
      <c r="AV167" s="750"/>
      <c r="AW167" s="750"/>
      <c r="AX167" s="750"/>
      <c r="AY167" s="750"/>
      <c r="AZ167" s="750"/>
      <c r="BA167" s="750"/>
      <c r="BB167" s="749"/>
      <c r="BC167" s="749"/>
      <c r="BD167" s="749"/>
      <c r="BE167" s="749"/>
    </row>
    <row r="168" s="750" customFormat="1" customHeight="1" spans="1:57">
      <c r="A168" s="749"/>
      <c r="B168" s="750"/>
      <c r="C168" s="750"/>
      <c r="D168" s="750"/>
      <c r="E168" s="750"/>
      <c r="F168" s="750"/>
      <c r="G168" s="750"/>
      <c r="H168" s="750"/>
      <c r="I168" s="750"/>
      <c r="J168" s="750"/>
      <c r="K168" s="750"/>
      <c r="L168" s="750"/>
      <c r="M168" s="750"/>
      <c r="N168" s="750"/>
      <c r="O168" s="750"/>
      <c r="P168" s="750"/>
      <c r="Q168" s="750"/>
      <c r="R168" s="750"/>
      <c r="S168" s="750"/>
      <c r="T168" s="750"/>
      <c r="U168" s="750"/>
      <c r="V168" s="750"/>
      <c r="W168" s="750"/>
      <c r="X168" s="750"/>
      <c r="Y168" s="750"/>
      <c r="Z168" s="750"/>
      <c r="AA168" s="750"/>
      <c r="AB168" s="750"/>
      <c r="AC168" s="750"/>
      <c r="AD168" s="749"/>
      <c r="AE168" s="750"/>
      <c r="AF168" s="750"/>
      <c r="AG168" s="750"/>
      <c r="AH168" s="750"/>
      <c r="AI168" s="750"/>
      <c r="AJ168" s="750"/>
      <c r="AK168" s="750"/>
      <c r="AL168" s="750"/>
      <c r="AM168" s="750"/>
      <c r="AN168" s="750"/>
      <c r="AO168" s="750"/>
      <c r="AP168" s="750"/>
      <c r="AQ168" s="750"/>
      <c r="AR168" s="750"/>
      <c r="AS168" s="750"/>
      <c r="AT168" s="750"/>
      <c r="AU168" s="750"/>
      <c r="AV168" s="750"/>
      <c r="AW168" s="750"/>
      <c r="AX168" s="750"/>
      <c r="AY168" s="750"/>
      <c r="AZ168" s="750"/>
      <c r="BA168" s="750"/>
      <c r="BB168" s="749"/>
      <c r="BC168" s="749"/>
      <c r="BD168" s="749"/>
      <c r="BE168" s="749"/>
    </row>
    <row r="169" s="750" customFormat="1" customHeight="1" spans="1:57">
      <c r="A169" s="749"/>
      <c r="B169" s="750"/>
      <c r="C169" s="750"/>
      <c r="D169" s="750"/>
      <c r="E169" s="750"/>
      <c r="F169" s="750"/>
      <c r="G169" s="750"/>
      <c r="H169" s="750"/>
      <c r="I169" s="750"/>
      <c r="J169" s="750"/>
      <c r="K169" s="750"/>
      <c r="L169" s="750"/>
      <c r="M169" s="750"/>
      <c r="N169" s="750"/>
      <c r="O169" s="750"/>
      <c r="P169" s="750"/>
      <c r="Q169" s="750"/>
      <c r="R169" s="750"/>
      <c r="S169" s="750"/>
      <c r="T169" s="750"/>
      <c r="U169" s="750"/>
      <c r="V169" s="750"/>
      <c r="W169" s="750"/>
      <c r="X169" s="750"/>
      <c r="Y169" s="750"/>
      <c r="Z169" s="750"/>
      <c r="AA169" s="750"/>
      <c r="AB169" s="750"/>
      <c r="AC169" s="750"/>
      <c r="AD169" s="749"/>
      <c r="AE169" s="750"/>
      <c r="AF169" s="750"/>
      <c r="AG169" s="750"/>
      <c r="AH169" s="750"/>
      <c r="AI169" s="750"/>
      <c r="AJ169" s="750"/>
      <c r="AK169" s="750"/>
      <c r="AL169" s="750"/>
      <c r="AM169" s="750"/>
      <c r="AN169" s="750"/>
      <c r="AO169" s="750"/>
      <c r="AP169" s="750"/>
      <c r="AQ169" s="750"/>
      <c r="AR169" s="750"/>
      <c r="AS169" s="750"/>
      <c r="AT169" s="750"/>
      <c r="AU169" s="750"/>
      <c r="AV169" s="750"/>
      <c r="AW169" s="750"/>
      <c r="AX169" s="750"/>
      <c r="AY169" s="750"/>
      <c r="AZ169" s="750"/>
      <c r="BA169" s="750"/>
      <c r="BB169" s="749"/>
      <c r="BC169" s="749"/>
      <c r="BD169" s="749"/>
      <c r="BE169" s="749"/>
    </row>
    <row r="170" s="750" customFormat="1" customHeight="1" spans="1:57">
      <c r="A170" s="749"/>
      <c r="B170" s="750"/>
      <c r="C170" s="750"/>
      <c r="D170" s="750"/>
      <c r="E170" s="750"/>
      <c r="F170" s="750"/>
      <c r="G170" s="750"/>
      <c r="H170" s="750"/>
      <c r="I170" s="750"/>
      <c r="J170" s="750"/>
      <c r="K170" s="750"/>
      <c r="L170" s="750"/>
      <c r="M170" s="750"/>
      <c r="N170" s="750"/>
      <c r="O170" s="750"/>
      <c r="P170" s="750"/>
      <c r="Q170" s="750"/>
      <c r="R170" s="750"/>
      <c r="S170" s="750"/>
      <c r="T170" s="750"/>
      <c r="U170" s="750"/>
      <c r="V170" s="750"/>
      <c r="W170" s="750"/>
      <c r="X170" s="750"/>
      <c r="Y170" s="750"/>
      <c r="Z170" s="750"/>
      <c r="AA170" s="750"/>
      <c r="AB170" s="750"/>
      <c r="AC170" s="750"/>
      <c r="AD170" s="749"/>
      <c r="AE170" s="750"/>
      <c r="AF170" s="750"/>
      <c r="AG170" s="750"/>
      <c r="AH170" s="750"/>
      <c r="AI170" s="750"/>
      <c r="AJ170" s="750"/>
      <c r="AK170" s="750"/>
      <c r="AL170" s="750"/>
      <c r="AM170" s="750"/>
      <c r="AN170" s="750"/>
      <c r="AO170" s="750"/>
      <c r="AP170" s="750"/>
      <c r="AQ170" s="750"/>
      <c r="AR170" s="750"/>
      <c r="AS170" s="750"/>
      <c r="AT170" s="750"/>
      <c r="AU170" s="750"/>
      <c r="AV170" s="750"/>
      <c r="AW170" s="750"/>
      <c r="AX170" s="750"/>
      <c r="AY170" s="750"/>
      <c r="AZ170" s="750"/>
      <c r="BA170" s="750"/>
      <c r="BB170" s="749"/>
      <c r="BC170" s="749"/>
      <c r="BD170" s="749"/>
      <c r="BE170" s="749"/>
    </row>
    <row r="171" s="750" customFormat="1" customHeight="1" spans="1:57">
      <c r="A171" s="749"/>
      <c r="B171" s="750"/>
      <c r="C171" s="750"/>
      <c r="D171" s="750"/>
      <c r="E171" s="750"/>
      <c r="F171" s="750"/>
      <c r="G171" s="750"/>
      <c r="H171" s="750"/>
      <c r="I171" s="750"/>
      <c r="J171" s="750"/>
      <c r="K171" s="750"/>
      <c r="L171" s="750"/>
      <c r="M171" s="750"/>
      <c r="N171" s="750"/>
      <c r="O171" s="750"/>
      <c r="P171" s="750"/>
      <c r="Q171" s="750"/>
      <c r="R171" s="750"/>
      <c r="S171" s="750"/>
      <c r="T171" s="750"/>
      <c r="U171" s="750"/>
      <c r="V171" s="750"/>
      <c r="W171" s="750"/>
      <c r="X171" s="750"/>
      <c r="Y171" s="750"/>
      <c r="Z171" s="750"/>
      <c r="AA171" s="750"/>
      <c r="AB171" s="750"/>
      <c r="AC171" s="750"/>
      <c r="AD171" s="749"/>
      <c r="AE171" s="750"/>
      <c r="AF171" s="750"/>
      <c r="AG171" s="750"/>
      <c r="AH171" s="750"/>
      <c r="AI171" s="750"/>
      <c r="AJ171" s="750"/>
      <c r="AK171" s="750"/>
      <c r="AL171" s="750"/>
      <c r="AM171" s="750"/>
      <c r="AN171" s="750"/>
      <c r="AO171" s="750"/>
      <c r="AP171" s="750"/>
      <c r="AQ171" s="750"/>
      <c r="AR171" s="750"/>
      <c r="AS171" s="750"/>
      <c r="AT171" s="750"/>
      <c r="AU171" s="750"/>
      <c r="AV171" s="750"/>
      <c r="AW171" s="750"/>
      <c r="AX171" s="750"/>
      <c r="AY171" s="750"/>
      <c r="AZ171" s="750"/>
      <c r="BA171" s="750"/>
      <c r="BB171" s="749"/>
      <c r="BC171" s="749"/>
      <c r="BD171" s="749"/>
      <c r="BE171" s="749"/>
    </row>
    <row r="172" s="750" customFormat="1" customHeight="1" spans="1:57">
      <c r="A172" s="749"/>
      <c r="B172" s="750"/>
      <c r="C172" s="750"/>
      <c r="D172" s="750"/>
      <c r="E172" s="750"/>
      <c r="F172" s="750"/>
      <c r="G172" s="750"/>
      <c r="H172" s="750"/>
      <c r="I172" s="750"/>
      <c r="J172" s="750"/>
      <c r="K172" s="750"/>
      <c r="L172" s="750"/>
      <c r="M172" s="750"/>
      <c r="N172" s="750"/>
      <c r="O172" s="750"/>
      <c r="P172" s="750"/>
      <c r="Q172" s="750"/>
      <c r="R172" s="750"/>
      <c r="S172" s="750"/>
      <c r="T172" s="750"/>
      <c r="U172" s="750"/>
      <c r="V172" s="750"/>
      <c r="W172" s="750"/>
      <c r="X172" s="750"/>
      <c r="Y172" s="750"/>
      <c r="Z172" s="750"/>
      <c r="AA172" s="750"/>
      <c r="AB172" s="750"/>
      <c r="AC172" s="750"/>
      <c r="AD172" s="749"/>
      <c r="AE172" s="750"/>
      <c r="AF172" s="750"/>
      <c r="AG172" s="750"/>
      <c r="AH172" s="750"/>
      <c r="AI172" s="750"/>
      <c r="AJ172" s="750"/>
      <c r="AK172" s="750"/>
      <c r="AL172" s="750"/>
      <c r="AM172" s="750"/>
      <c r="AN172" s="750"/>
      <c r="AO172" s="750"/>
      <c r="AP172" s="750"/>
      <c r="AQ172" s="750"/>
      <c r="AR172" s="750"/>
      <c r="AS172" s="750"/>
      <c r="AT172" s="750"/>
      <c r="AU172" s="750"/>
      <c r="AV172" s="750"/>
      <c r="AW172" s="750"/>
      <c r="AX172" s="750"/>
      <c r="AY172" s="750"/>
      <c r="AZ172" s="750"/>
      <c r="BA172" s="750"/>
      <c r="BB172" s="749"/>
      <c r="BC172" s="749"/>
      <c r="BD172" s="749"/>
      <c r="BE172" s="749"/>
    </row>
    <row r="173" s="750" customFormat="1" customHeight="1" spans="1:57">
      <c r="A173" s="749"/>
      <c r="B173" s="750"/>
      <c r="C173" s="750"/>
      <c r="D173" s="750"/>
      <c r="E173" s="750"/>
      <c r="F173" s="750"/>
      <c r="G173" s="750"/>
      <c r="H173" s="750"/>
      <c r="I173" s="750"/>
      <c r="J173" s="750"/>
      <c r="K173" s="750"/>
      <c r="L173" s="750"/>
      <c r="M173" s="750"/>
      <c r="N173" s="750"/>
      <c r="O173" s="750"/>
      <c r="P173" s="750"/>
      <c r="Q173" s="750"/>
      <c r="R173" s="750"/>
      <c r="S173" s="750"/>
      <c r="T173" s="750"/>
      <c r="U173" s="750"/>
      <c r="V173" s="750"/>
      <c r="W173" s="750"/>
      <c r="X173" s="750"/>
      <c r="Y173" s="750"/>
      <c r="Z173" s="750"/>
      <c r="AA173" s="750"/>
      <c r="AB173" s="750"/>
      <c r="AC173" s="750"/>
      <c r="AD173" s="749"/>
      <c r="AE173" s="750"/>
      <c r="AF173" s="750"/>
      <c r="AG173" s="750"/>
      <c r="AH173" s="750"/>
      <c r="AI173" s="750"/>
      <c r="AJ173" s="750"/>
      <c r="AK173" s="750"/>
      <c r="AL173" s="750"/>
      <c r="AM173" s="750"/>
      <c r="AN173" s="750"/>
      <c r="AO173" s="750"/>
      <c r="AP173" s="750"/>
      <c r="AQ173" s="750"/>
      <c r="AR173" s="750"/>
      <c r="AS173" s="750"/>
      <c r="AT173" s="750"/>
      <c r="AU173" s="750"/>
      <c r="AV173" s="750"/>
      <c r="AW173" s="750"/>
      <c r="AX173" s="750"/>
      <c r="AY173" s="750"/>
      <c r="AZ173" s="750"/>
      <c r="BA173" s="750"/>
      <c r="BB173" s="749"/>
      <c r="BC173" s="749"/>
      <c r="BD173" s="749"/>
      <c r="BE173" s="749"/>
    </row>
    <row r="174" s="750" customFormat="1" customHeight="1" spans="1:57">
      <c r="A174" s="749"/>
      <c r="B174" s="750"/>
      <c r="C174" s="750"/>
      <c r="D174" s="750"/>
      <c r="E174" s="750"/>
      <c r="F174" s="750"/>
      <c r="G174" s="750"/>
      <c r="H174" s="750"/>
      <c r="I174" s="750"/>
      <c r="J174" s="750"/>
      <c r="K174" s="750"/>
      <c r="L174" s="750"/>
      <c r="M174" s="750"/>
      <c r="N174" s="750"/>
      <c r="O174" s="750"/>
      <c r="P174" s="750"/>
      <c r="Q174" s="750"/>
      <c r="R174" s="750"/>
      <c r="S174" s="750"/>
      <c r="T174" s="750"/>
      <c r="U174" s="750"/>
      <c r="V174" s="750"/>
      <c r="W174" s="750"/>
      <c r="X174" s="750"/>
      <c r="Y174" s="750"/>
      <c r="Z174" s="750"/>
      <c r="AA174" s="750"/>
      <c r="AB174" s="750"/>
      <c r="AC174" s="750"/>
      <c r="AD174" s="749"/>
      <c r="AE174" s="750"/>
      <c r="AF174" s="750"/>
      <c r="AG174" s="750"/>
      <c r="AH174" s="750"/>
      <c r="AI174" s="750"/>
      <c r="AJ174" s="750"/>
      <c r="AK174" s="750"/>
      <c r="AL174" s="750"/>
      <c r="AM174" s="750"/>
      <c r="AN174" s="750"/>
      <c r="AO174" s="750"/>
      <c r="AP174" s="750"/>
      <c r="AQ174" s="750"/>
      <c r="AR174" s="750"/>
      <c r="AS174" s="750"/>
      <c r="AT174" s="750"/>
      <c r="AU174" s="750"/>
      <c r="AV174" s="750"/>
      <c r="AW174" s="750"/>
      <c r="AX174" s="750"/>
      <c r="AY174" s="750"/>
      <c r="AZ174" s="750"/>
      <c r="BA174" s="750"/>
      <c r="BB174" s="749"/>
      <c r="BC174" s="749"/>
      <c r="BD174" s="749"/>
      <c r="BE174" s="749"/>
    </row>
    <row r="175" s="750" customFormat="1" customHeight="1" spans="1:57">
      <c r="A175" s="749"/>
      <c r="B175" s="750"/>
      <c r="C175" s="750"/>
      <c r="D175" s="750"/>
      <c r="E175" s="750"/>
      <c r="F175" s="750"/>
      <c r="G175" s="750"/>
      <c r="H175" s="750"/>
      <c r="I175" s="750"/>
      <c r="J175" s="750"/>
      <c r="K175" s="750"/>
      <c r="L175" s="750"/>
      <c r="M175" s="750"/>
      <c r="N175" s="750"/>
      <c r="O175" s="750"/>
      <c r="P175" s="750"/>
      <c r="Q175" s="750"/>
      <c r="R175" s="750"/>
      <c r="S175" s="750"/>
      <c r="T175" s="750"/>
      <c r="U175" s="750"/>
      <c r="V175" s="750"/>
      <c r="W175" s="750"/>
      <c r="X175" s="750"/>
      <c r="Y175" s="750"/>
      <c r="Z175" s="750"/>
      <c r="AA175" s="750"/>
      <c r="AB175" s="750"/>
      <c r="AC175" s="750"/>
      <c r="AD175" s="749"/>
      <c r="AE175" s="750"/>
      <c r="AF175" s="750"/>
      <c r="AG175" s="750"/>
      <c r="AH175" s="750"/>
      <c r="AI175" s="750"/>
      <c r="AJ175" s="750"/>
      <c r="AK175" s="750"/>
      <c r="AL175" s="750"/>
      <c r="AM175" s="750"/>
      <c r="AN175" s="750"/>
      <c r="AO175" s="750"/>
      <c r="AP175" s="750"/>
      <c r="AQ175" s="750"/>
      <c r="AR175" s="750"/>
      <c r="AS175" s="750"/>
      <c r="AT175" s="750"/>
      <c r="AU175" s="750"/>
      <c r="AV175" s="750"/>
      <c r="AW175" s="750"/>
      <c r="AX175" s="750"/>
      <c r="AY175" s="750"/>
      <c r="AZ175" s="750"/>
      <c r="BA175" s="750"/>
      <c r="BB175" s="749"/>
      <c r="BC175" s="749"/>
      <c r="BD175" s="749"/>
      <c r="BE175" s="749"/>
    </row>
    <row r="176" s="750" customFormat="1" customHeight="1" spans="1:57">
      <c r="A176" s="749"/>
      <c r="B176" s="750"/>
      <c r="C176" s="750"/>
      <c r="D176" s="750"/>
      <c r="E176" s="750"/>
      <c r="F176" s="750"/>
      <c r="G176" s="750"/>
      <c r="H176" s="750"/>
      <c r="I176" s="750"/>
      <c r="J176" s="750"/>
      <c r="K176" s="750"/>
      <c r="L176" s="750"/>
      <c r="M176" s="750"/>
      <c r="N176" s="750"/>
      <c r="O176" s="750"/>
      <c r="P176" s="750"/>
      <c r="Q176" s="750"/>
      <c r="R176" s="750"/>
      <c r="S176" s="750"/>
      <c r="T176" s="750"/>
      <c r="U176" s="750"/>
      <c r="V176" s="750"/>
      <c r="W176" s="750"/>
      <c r="X176" s="750"/>
      <c r="Y176" s="750"/>
      <c r="Z176" s="750"/>
      <c r="AA176" s="750"/>
      <c r="AB176" s="750"/>
      <c r="AC176" s="750"/>
      <c r="AD176" s="749"/>
      <c r="AE176" s="750"/>
      <c r="AF176" s="750"/>
      <c r="AG176" s="750"/>
      <c r="AH176" s="750"/>
      <c r="AI176" s="750"/>
      <c r="AJ176" s="750"/>
      <c r="AK176" s="750"/>
      <c r="AL176" s="750"/>
      <c r="AM176" s="750"/>
      <c r="AN176" s="750"/>
      <c r="AO176" s="750"/>
      <c r="AP176" s="750"/>
      <c r="AQ176" s="750"/>
      <c r="AR176" s="750"/>
      <c r="AS176" s="750"/>
      <c r="AT176" s="750"/>
      <c r="AU176" s="750"/>
      <c r="AV176" s="750"/>
      <c r="AW176" s="750"/>
      <c r="AX176" s="750"/>
      <c r="AY176" s="750"/>
      <c r="AZ176" s="750"/>
      <c r="BA176" s="750"/>
      <c r="BB176" s="749"/>
      <c r="BC176" s="749"/>
      <c r="BD176" s="749"/>
      <c r="BE176" s="749"/>
    </row>
    <row r="177" s="750" customFormat="1" customHeight="1" spans="1:57">
      <c r="A177" s="749"/>
      <c r="B177" s="750"/>
      <c r="C177" s="750"/>
      <c r="D177" s="750"/>
      <c r="E177" s="750"/>
      <c r="F177" s="750"/>
      <c r="G177" s="750"/>
      <c r="H177" s="750"/>
      <c r="I177" s="750"/>
      <c r="J177" s="750"/>
      <c r="K177" s="750"/>
      <c r="L177" s="750"/>
      <c r="M177" s="750"/>
      <c r="N177" s="750"/>
      <c r="O177" s="750"/>
      <c r="P177" s="750"/>
      <c r="Q177" s="750"/>
      <c r="R177" s="750"/>
      <c r="S177" s="750"/>
      <c r="T177" s="750"/>
      <c r="U177" s="750"/>
      <c r="V177" s="750"/>
      <c r="W177" s="750"/>
      <c r="X177" s="750"/>
      <c r="Y177" s="750"/>
      <c r="Z177" s="750"/>
      <c r="AA177" s="750"/>
      <c r="AB177" s="750"/>
      <c r="AC177" s="750"/>
      <c r="AD177" s="749"/>
      <c r="AE177" s="750"/>
      <c r="AF177" s="750"/>
      <c r="AG177" s="750"/>
      <c r="AH177" s="750"/>
      <c r="AI177" s="750"/>
      <c r="AJ177" s="750"/>
      <c r="AK177" s="750"/>
      <c r="AL177" s="750"/>
      <c r="AM177" s="750"/>
      <c r="AN177" s="750"/>
      <c r="AO177" s="750"/>
      <c r="AP177" s="750"/>
      <c r="AQ177" s="750"/>
      <c r="AR177" s="750"/>
      <c r="AS177" s="750"/>
      <c r="AT177" s="750"/>
      <c r="AU177" s="750"/>
      <c r="AV177" s="750"/>
      <c r="AW177" s="750"/>
      <c r="AX177" s="750"/>
      <c r="AY177" s="750"/>
      <c r="AZ177" s="750"/>
      <c r="BA177" s="750"/>
      <c r="BB177" s="749"/>
      <c r="BC177" s="749"/>
      <c r="BD177" s="749"/>
      <c r="BE177" s="749"/>
    </row>
    <row r="178" s="750" customFormat="1" customHeight="1" spans="1:57">
      <c r="A178" s="749"/>
      <c r="B178" s="750"/>
      <c r="C178" s="750"/>
      <c r="D178" s="750"/>
      <c r="E178" s="750"/>
      <c r="F178" s="750"/>
      <c r="G178" s="750"/>
      <c r="H178" s="750"/>
      <c r="I178" s="750"/>
      <c r="J178" s="750"/>
      <c r="K178" s="750"/>
      <c r="L178" s="750"/>
      <c r="M178" s="750"/>
      <c r="N178" s="750"/>
      <c r="O178" s="750"/>
      <c r="P178" s="750"/>
      <c r="Q178" s="750"/>
      <c r="R178" s="750"/>
      <c r="S178" s="750"/>
      <c r="T178" s="750"/>
      <c r="U178" s="750"/>
      <c r="V178" s="750"/>
      <c r="W178" s="750"/>
      <c r="X178" s="750"/>
      <c r="Y178" s="750"/>
      <c r="Z178" s="750"/>
      <c r="AA178" s="750"/>
      <c r="AB178" s="750"/>
      <c r="AC178" s="750"/>
      <c r="AD178" s="749"/>
      <c r="AE178" s="750"/>
      <c r="AF178" s="750"/>
      <c r="AG178" s="750"/>
      <c r="AH178" s="750"/>
      <c r="AI178" s="750"/>
      <c r="AJ178" s="750"/>
      <c r="AK178" s="750"/>
      <c r="AL178" s="750"/>
      <c r="AM178" s="750"/>
      <c r="AN178" s="750"/>
      <c r="AO178" s="750"/>
      <c r="AP178" s="750"/>
      <c r="AQ178" s="750"/>
      <c r="AR178" s="750"/>
      <c r="AS178" s="750"/>
      <c r="AT178" s="750"/>
      <c r="AU178" s="750"/>
      <c r="AV178" s="750"/>
      <c r="AW178" s="750"/>
      <c r="AX178" s="750"/>
      <c r="AY178" s="750"/>
      <c r="AZ178" s="750"/>
      <c r="BA178" s="750"/>
      <c r="BB178" s="749"/>
      <c r="BC178" s="749"/>
      <c r="BD178" s="749"/>
      <c r="BE178" s="749"/>
    </row>
    <row r="179" s="750" customFormat="1" customHeight="1" spans="1:57">
      <c r="A179" s="749"/>
      <c r="B179" s="750"/>
      <c r="C179" s="750"/>
      <c r="D179" s="750"/>
      <c r="E179" s="750"/>
      <c r="F179" s="750"/>
      <c r="G179" s="750"/>
      <c r="H179" s="750"/>
      <c r="I179" s="750"/>
      <c r="J179" s="750"/>
      <c r="K179" s="750"/>
      <c r="L179" s="750"/>
      <c r="M179" s="750"/>
      <c r="N179" s="750"/>
      <c r="O179" s="750"/>
      <c r="P179" s="750"/>
      <c r="Q179" s="750"/>
      <c r="R179" s="750"/>
      <c r="S179" s="750"/>
      <c r="T179" s="750"/>
      <c r="U179" s="750"/>
      <c r="V179" s="750"/>
      <c r="W179" s="750"/>
      <c r="X179" s="750"/>
      <c r="Y179" s="750"/>
      <c r="Z179" s="750"/>
      <c r="AA179" s="750"/>
      <c r="AB179" s="750"/>
      <c r="AC179" s="750"/>
      <c r="AD179" s="749"/>
      <c r="AE179" s="750"/>
      <c r="AF179" s="750"/>
      <c r="AG179" s="750"/>
      <c r="AH179" s="750"/>
      <c r="AI179" s="750"/>
      <c r="AJ179" s="750"/>
      <c r="AK179" s="750"/>
      <c r="AL179" s="750"/>
      <c r="AM179" s="750"/>
      <c r="AN179" s="750"/>
      <c r="AO179" s="750"/>
      <c r="AP179" s="750"/>
      <c r="AQ179" s="750"/>
      <c r="AR179" s="750"/>
      <c r="AS179" s="750"/>
      <c r="AT179" s="750"/>
      <c r="AU179" s="750"/>
      <c r="AV179" s="750"/>
      <c r="AW179" s="750"/>
      <c r="AX179" s="750"/>
      <c r="AY179" s="750"/>
      <c r="AZ179" s="750"/>
      <c r="BA179" s="750"/>
      <c r="BB179" s="749"/>
      <c r="BC179" s="749"/>
      <c r="BD179" s="749"/>
      <c r="BE179" s="749"/>
    </row>
    <row r="180" s="750" customFormat="1" customHeight="1" spans="1:57">
      <c r="A180" s="749"/>
      <c r="B180" s="750"/>
      <c r="C180" s="750"/>
      <c r="D180" s="750"/>
      <c r="E180" s="750"/>
      <c r="F180" s="750"/>
      <c r="G180" s="750"/>
      <c r="H180" s="750"/>
      <c r="I180" s="750"/>
      <c r="J180" s="750"/>
      <c r="K180" s="750"/>
      <c r="L180" s="750"/>
      <c r="M180" s="750"/>
      <c r="N180" s="750"/>
      <c r="O180" s="750"/>
      <c r="P180" s="750"/>
      <c r="Q180" s="750"/>
      <c r="R180" s="750"/>
      <c r="S180" s="750"/>
      <c r="T180" s="750"/>
      <c r="U180" s="750"/>
      <c r="V180" s="750"/>
      <c r="W180" s="750"/>
      <c r="X180" s="750"/>
      <c r="Y180" s="750"/>
      <c r="Z180" s="750"/>
      <c r="AA180" s="750"/>
      <c r="AB180" s="750"/>
      <c r="AC180" s="750"/>
      <c r="AD180" s="749"/>
      <c r="AE180" s="750"/>
      <c r="AF180" s="750"/>
      <c r="AG180" s="750"/>
      <c r="AH180" s="750"/>
      <c r="AI180" s="750"/>
      <c r="AJ180" s="750"/>
      <c r="AK180" s="750"/>
      <c r="AL180" s="750"/>
      <c r="AM180" s="750"/>
      <c r="AN180" s="750"/>
      <c r="AO180" s="750"/>
      <c r="AP180" s="750"/>
      <c r="AQ180" s="750"/>
      <c r="AR180" s="750"/>
      <c r="AS180" s="750"/>
      <c r="AT180" s="750"/>
      <c r="AU180" s="750"/>
      <c r="AV180" s="750"/>
      <c r="AW180" s="750"/>
      <c r="AX180" s="750"/>
      <c r="AY180" s="750"/>
      <c r="AZ180" s="750"/>
      <c r="BA180" s="750"/>
      <c r="BB180" s="749"/>
      <c r="BC180" s="749"/>
      <c r="BD180" s="749"/>
      <c r="BE180" s="749"/>
    </row>
    <row r="181" s="750" customFormat="1" customHeight="1" spans="1:57">
      <c r="A181" s="749"/>
      <c r="B181" s="750"/>
      <c r="C181" s="750"/>
      <c r="D181" s="750"/>
      <c r="E181" s="750"/>
      <c r="F181" s="750"/>
      <c r="G181" s="750"/>
      <c r="H181" s="750"/>
      <c r="I181" s="750"/>
      <c r="J181" s="750"/>
      <c r="K181" s="750"/>
      <c r="L181" s="750"/>
      <c r="M181" s="750"/>
      <c r="N181" s="750"/>
      <c r="O181" s="750"/>
      <c r="P181" s="750"/>
      <c r="Q181" s="750"/>
      <c r="R181" s="750"/>
      <c r="S181" s="750"/>
      <c r="T181" s="750"/>
      <c r="U181" s="750"/>
      <c r="V181" s="750"/>
      <c r="W181" s="750"/>
      <c r="X181" s="750"/>
      <c r="Y181" s="750"/>
      <c r="Z181" s="750"/>
      <c r="AA181" s="750"/>
      <c r="AB181" s="750"/>
      <c r="AC181" s="750"/>
      <c r="AD181" s="749"/>
      <c r="AE181" s="750"/>
      <c r="AF181" s="750"/>
      <c r="AG181" s="750"/>
      <c r="AH181" s="750"/>
      <c r="AI181" s="750"/>
      <c r="AJ181" s="750"/>
      <c r="AK181" s="750"/>
      <c r="AL181" s="750"/>
      <c r="AM181" s="750"/>
      <c r="AN181" s="750"/>
      <c r="AO181" s="750"/>
      <c r="AP181" s="750"/>
      <c r="AQ181" s="750"/>
      <c r="AR181" s="750"/>
      <c r="AS181" s="750"/>
      <c r="AT181" s="750"/>
      <c r="AU181" s="750"/>
      <c r="AV181" s="750"/>
      <c r="AW181" s="750"/>
      <c r="AX181" s="750"/>
      <c r="AY181" s="750"/>
      <c r="AZ181" s="750"/>
      <c r="BA181" s="750"/>
      <c r="BB181" s="749"/>
      <c r="BC181" s="749"/>
      <c r="BD181" s="749"/>
      <c r="BE181" s="749"/>
    </row>
    <row r="182" s="750" customFormat="1" customHeight="1" spans="1:57">
      <c r="A182" s="749"/>
      <c r="B182" s="750"/>
      <c r="C182" s="750"/>
      <c r="D182" s="750"/>
      <c r="E182" s="750"/>
      <c r="F182" s="750"/>
      <c r="G182" s="750"/>
      <c r="H182" s="750"/>
      <c r="I182" s="750"/>
      <c r="J182" s="750"/>
      <c r="K182" s="750"/>
      <c r="L182" s="750"/>
      <c r="M182" s="750"/>
      <c r="N182" s="750"/>
      <c r="O182" s="750"/>
      <c r="P182" s="750"/>
      <c r="Q182" s="750"/>
      <c r="R182" s="750"/>
      <c r="S182" s="750"/>
      <c r="T182" s="750"/>
      <c r="U182" s="750"/>
      <c r="V182" s="750"/>
      <c r="W182" s="750"/>
      <c r="X182" s="750"/>
      <c r="Y182" s="750"/>
      <c r="Z182" s="750"/>
      <c r="AA182" s="750"/>
      <c r="AB182" s="750"/>
      <c r="AC182" s="750"/>
      <c r="AD182" s="749"/>
      <c r="AE182" s="750"/>
      <c r="AF182" s="750"/>
      <c r="AG182" s="750"/>
      <c r="AH182" s="750"/>
      <c r="AI182" s="750"/>
      <c r="AJ182" s="750"/>
      <c r="AK182" s="750"/>
      <c r="AL182" s="750"/>
      <c r="AM182" s="750"/>
      <c r="AN182" s="750"/>
      <c r="AO182" s="750"/>
      <c r="AP182" s="750"/>
      <c r="AQ182" s="750"/>
      <c r="AR182" s="750"/>
      <c r="AS182" s="750"/>
      <c r="AT182" s="750"/>
      <c r="AU182" s="750"/>
      <c r="AV182" s="750"/>
      <c r="AW182" s="750"/>
      <c r="AX182" s="750"/>
      <c r="AY182" s="750"/>
      <c r="AZ182" s="750"/>
      <c r="BA182" s="750"/>
      <c r="BB182" s="749"/>
      <c r="BC182" s="749"/>
      <c r="BD182" s="749"/>
      <c r="BE182" s="749"/>
    </row>
    <row r="183" s="750" customFormat="1" customHeight="1" spans="1:57">
      <c r="A183" s="749"/>
      <c r="B183" s="750"/>
      <c r="C183" s="750"/>
      <c r="D183" s="750"/>
      <c r="E183" s="750"/>
      <c r="F183" s="750"/>
      <c r="G183" s="750"/>
      <c r="H183" s="750"/>
      <c r="I183" s="750"/>
      <c r="J183" s="750"/>
      <c r="K183" s="750"/>
      <c r="L183" s="750"/>
      <c r="M183" s="750"/>
      <c r="N183" s="750"/>
      <c r="O183" s="750"/>
      <c r="P183" s="750"/>
      <c r="Q183" s="750"/>
      <c r="R183" s="750"/>
      <c r="S183" s="750"/>
      <c r="T183" s="750"/>
      <c r="U183" s="750"/>
      <c r="V183" s="750"/>
      <c r="W183" s="750"/>
      <c r="X183" s="750"/>
      <c r="Y183" s="750"/>
      <c r="Z183" s="750"/>
      <c r="AA183" s="750"/>
      <c r="AB183" s="750"/>
      <c r="AC183" s="750"/>
      <c r="AD183" s="749"/>
      <c r="AE183" s="750"/>
      <c r="AF183" s="750"/>
      <c r="AG183" s="750"/>
      <c r="AH183" s="750"/>
      <c r="AI183" s="750"/>
      <c r="AJ183" s="750"/>
      <c r="AK183" s="750"/>
      <c r="AL183" s="750"/>
      <c r="AM183" s="750"/>
      <c r="AN183" s="750"/>
      <c r="AO183" s="750"/>
      <c r="AP183" s="750"/>
      <c r="AQ183" s="750"/>
      <c r="AR183" s="750"/>
      <c r="AS183" s="750"/>
      <c r="AT183" s="750"/>
      <c r="AU183" s="750"/>
      <c r="AV183" s="750"/>
      <c r="AW183" s="750"/>
      <c r="AX183" s="750"/>
      <c r="AY183" s="750"/>
      <c r="AZ183" s="750"/>
      <c r="BA183" s="750"/>
      <c r="BB183" s="749"/>
      <c r="BC183" s="749"/>
      <c r="BD183" s="749"/>
      <c r="BE183" s="749"/>
    </row>
    <row r="184" s="750" customFormat="1" customHeight="1" spans="1:57">
      <c r="A184" s="749"/>
      <c r="B184" s="750"/>
      <c r="C184" s="750"/>
      <c r="D184" s="750"/>
      <c r="E184" s="750"/>
      <c r="F184" s="750"/>
      <c r="G184" s="750"/>
      <c r="H184" s="750"/>
      <c r="I184" s="750"/>
      <c r="J184" s="750"/>
      <c r="K184" s="750"/>
      <c r="L184" s="750"/>
      <c r="M184" s="750"/>
      <c r="N184" s="750"/>
      <c r="O184" s="750"/>
      <c r="P184" s="750"/>
      <c r="Q184" s="750"/>
      <c r="R184" s="750"/>
      <c r="S184" s="750"/>
      <c r="T184" s="750"/>
      <c r="U184" s="750"/>
      <c r="V184" s="750"/>
      <c r="W184" s="750"/>
      <c r="X184" s="750"/>
      <c r="Y184" s="750"/>
      <c r="Z184" s="750"/>
      <c r="AA184" s="750"/>
      <c r="AB184" s="750"/>
      <c r="AC184" s="750"/>
      <c r="AD184" s="749"/>
      <c r="AE184" s="750"/>
      <c r="AF184" s="750"/>
      <c r="AG184" s="750"/>
      <c r="AH184" s="750"/>
      <c r="AI184" s="750"/>
      <c r="AJ184" s="750"/>
      <c r="AK184" s="750"/>
      <c r="AL184" s="750"/>
      <c r="AM184" s="750"/>
      <c r="AN184" s="750"/>
      <c r="AO184" s="750"/>
      <c r="AP184" s="750"/>
      <c r="AQ184" s="750"/>
      <c r="AR184" s="750"/>
      <c r="AS184" s="750"/>
      <c r="AT184" s="750"/>
      <c r="AU184" s="750"/>
      <c r="AV184" s="750"/>
      <c r="AW184" s="750"/>
      <c r="AX184" s="750"/>
      <c r="AY184" s="750"/>
      <c r="AZ184" s="750"/>
      <c r="BA184" s="750"/>
      <c r="BB184" s="749"/>
      <c r="BC184" s="749"/>
      <c r="BD184" s="749"/>
      <c r="BE184" s="749"/>
    </row>
    <row r="185" s="750" customFormat="1" customHeight="1" spans="1:57">
      <c r="A185" s="749"/>
      <c r="B185" s="750"/>
      <c r="C185" s="750"/>
      <c r="D185" s="750"/>
      <c r="E185" s="750"/>
      <c r="F185" s="750"/>
      <c r="G185" s="750"/>
      <c r="H185" s="750"/>
      <c r="I185" s="750"/>
      <c r="J185" s="750"/>
      <c r="K185" s="750"/>
      <c r="L185" s="750"/>
      <c r="M185" s="750"/>
      <c r="N185" s="750"/>
      <c r="O185" s="750"/>
      <c r="P185" s="750"/>
      <c r="Q185" s="750"/>
      <c r="R185" s="750"/>
      <c r="S185" s="750"/>
      <c r="T185" s="750"/>
      <c r="U185" s="750"/>
      <c r="V185" s="750"/>
      <c r="W185" s="750"/>
      <c r="X185" s="750"/>
      <c r="Y185" s="750"/>
      <c r="Z185" s="750"/>
      <c r="AA185" s="750"/>
      <c r="AB185" s="750"/>
      <c r="AC185" s="750"/>
      <c r="AD185" s="749"/>
      <c r="AE185" s="750"/>
      <c r="AF185" s="750"/>
      <c r="AG185" s="750"/>
      <c r="AH185" s="750"/>
      <c r="AI185" s="750"/>
      <c r="AJ185" s="750"/>
      <c r="AK185" s="750"/>
      <c r="AL185" s="750"/>
      <c r="AM185" s="750"/>
      <c r="AN185" s="750"/>
      <c r="AO185" s="750"/>
      <c r="AP185" s="750"/>
      <c r="AQ185" s="750"/>
      <c r="AR185" s="750"/>
      <c r="AS185" s="750"/>
      <c r="AT185" s="750"/>
      <c r="AU185" s="750"/>
      <c r="AV185" s="750"/>
      <c r="AW185" s="750"/>
      <c r="AX185" s="750"/>
      <c r="AY185" s="750"/>
      <c r="AZ185" s="750"/>
      <c r="BA185" s="750"/>
      <c r="BB185" s="749"/>
      <c r="BC185" s="749"/>
      <c r="BD185" s="749"/>
      <c r="BE185" s="749"/>
    </row>
    <row r="186" s="750" customFormat="1" customHeight="1" spans="1:57">
      <c r="A186" s="749"/>
      <c r="B186" s="750"/>
      <c r="C186" s="750"/>
      <c r="D186" s="750"/>
      <c r="E186" s="750"/>
      <c r="F186" s="750"/>
      <c r="G186" s="750"/>
      <c r="H186" s="750"/>
      <c r="I186" s="750"/>
      <c r="J186" s="750"/>
      <c r="K186" s="750"/>
      <c r="L186" s="750"/>
      <c r="M186" s="750"/>
      <c r="N186" s="750"/>
      <c r="O186" s="750"/>
      <c r="P186" s="750"/>
      <c r="Q186" s="750"/>
      <c r="R186" s="750"/>
      <c r="S186" s="750"/>
      <c r="T186" s="750"/>
      <c r="U186" s="750"/>
      <c r="V186" s="750"/>
      <c r="W186" s="750"/>
      <c r="X186" s="750"/>
      <c r="Y186" s="750"/>
      <c r="Z186" s="750"/>
      <c r="AA186" s="750"/>
      <c r="AB186" s="750"/>
      <c r="AC186" s="750"/>
      <c r="AD186" s="749"/>
      <c r="AE186" s="750"/>
      <c r="AF186" s="750"/>
      <c r="AG186" s="750"/>
      <c r="AH186" s="750"/>
      <c r="AI186" s="750"/>
      <c r="AJ186" s="750"/>
      <c r="AK186" s="750"/>
      <c r="AL186" s="750"/>
      <c r="AM186" s="750"/>
      <c r="AN186" s="750"/>
      <c r="AO186" s="750"/>
      <c r="AP186" s="750"/>
      <c r="AQ186" s="750"/>
      <c r="AR186" s="750"/>
      <c r="AS186" s="750"/>
      <c r="AT186" s="750"/>
      <c r="AU186" s="750"/>
      <c r="AV186" s="750"/>
      <c r="AW186" s="750"/>
      <c r="AX186" s="750"/>
      <c r="AY186" s="750"/>
      <c r="AZ186" s="750"/>
      <c r="BA186" s="750"/>
      <c r="BB186" s="749"/>
      <c r="BC186" s="749"/>
      <c r="BD186" s="749"/>
      <c r="BE186" s="749"/>
    </row>
    <row r="187" s="750" customFormat="1" customHeight="1" spans="1:57">
      <c r="A187" s="749"/>
      <c r="B187" s="750"/>
      <c r="C187" s="750"/>
      <c r="D187" s="750"/>
      <c r="E187" s="750"/>
      <c r="F187" s="750"/>
      <c r="G187" s="750"/>
      <c r="H187" s="750"/>
      <c r="I187" s="750"/>
      <c r="J187" s="750"/>
      <c r="K187" s="750"/>
      <c r="L187" s="750"/>
      <c r="M187" s="750"/>
      <c r="N187" s="750"/>
      <c r="O187" s="750"/>
      <c r="P187" s="750"/>
      <c r="Q187" s="750"/>
      <c r="R187" s="750"/>
      <c r="S187" s="750"/>
      <c r="T187" s="750"/>
      <c r="U187" s="750"/>
      <c r="V187" s="750"/>
      <c r="W187" s="750"/>
      <c r="X187" s="750"/>
      <c r="Y187" s="750"/>
      <c r="Z187" s="750"/>
      <c r="AA187" s="750"/>
      <c r="AB187" s="750"/>
      <c r="AC187" s="750"/>
      <c r="AD187" s="749"/>
      <c r="AE187" s="750"/>
      <c r="AF187" s="750"/>
      <c r="AG187" s="750"/>
      <c r="AH187" s="750"/>
      <c r="AI187" s="750"/>
      <c r="AJ187" s="750"/>
      <c r="AK187" s="750"/>
      <c r="AL187" s="750"/>
      <c r="AM187" s="750"/>
      <c r="AN187" s="750"/>
      <c r="AO187" s="750"/>
      <c r="AP187" s="750"/>
      <c r="AQ187" s="750"/>
      <c r="AR187" s="750"/>
      <c r="AS187" s="750"/>
      <c r="AT187" s="750"/>
      <c r="AU187" s="750"/>
      <c r="AV187" s="750"/>
      <c r="AW187" s="750"/>
      <c r="AX187" s="750"/>
      <c r="AY187" s="750"/>
      <c r="AZ187" s="750"/>
      <c r="BA187" s="750"/>
      <c r="BB187" s="749"/>
      <c r="BC187" s="749"/>
      <c r="BD187" s="749"/>
      <c r="BE187" s="749"/>
    </row>
    <row r="188" s="750" customFormat="1" customHeight="1" spans="1:57">
      <c r="A188" s="749"/>
      <c r="B188" s="750"/>
      <c r="C188" s="750"/>
      <c r="D188" s="750"/>
      <c r="E188" s="750"/>
      <c r="F188" s="750"/>
      <c r="G188" s="750"/>
      <c r="H188" s="750"/>
      <c r="I188" s="750"/>
      <c r="J188" s="750"/>
      <c r="K188" s="750"/>
      <c r="L188" s="750"/>
      <c r="M188" s="750"/>
      <c r="N188" s="750"/>
      <c r="O188" s="750"/>
      <c r="P188" s="750"/>
      <c r="Q188" s="750"/>
      <c r="R188" s="750"/>
      <c r="S188" s="750"/>
      <c r="T188" s="750"/>
      <c r="U188" s="750"/>
      <c r="V188" s="750"/>
      <c r="W188" s="750"/>
      <c r="X188" s="750"/>
      <c r="Y188" s="750"/>
      <c r="Z188" s="750"/>
      <c r="AA188" s="750"/>
      <c r="AB188" s="750"/>
      <c r="AC188" s="750"/>
      <c r="AD188" s="749"/>
      <c r="AE188" s="750"/>
      <c r="AF188" s="750"/>
      <c r="AG188" s="750"/>
      <c r="AH188" s="750"/>
      <c r="AI188" s="750"/>
      <c r="AJ188" s="750"/>
      <c r="AK188" s="750"/>
      <c r="AL188" s="750"/>
      <c r="AM188" s="750"/>
      <c r="AN188" s="750"/>
      <c r="AO188" s="750"/>
      <c r="AP188" s="750"/>
      <c r="AQ188" s="750"/>
      <c r="AR188" s="750"/>
      <c r="AS188" s="750"/>
      <c r="AT188" s="750"/>
      <c r="AU188" s="750"/>
      <c r="AV188" s="750"/>
      <c r="AW188" s="750"/>
      <c r="AX188" s="750"/>
      <c r="AY188" s="750"/>
      <c r="AZ188" s="750"/>
      <c r="BA188" s="750"/>
      <c r="BB188" s="749"/>
      <c r="BC188" s="749"/>
      <c r="BD188" s="749"/>
      <c r="BE188" s="749"/>
    </row>
    <row r="189" s="750" customFormat="1" customHeight="1" spans="1:57">
      <c r="A189" s="749"/>
      <c r="B189" s="750"/>
      <c r="C189" s="750"/>
      <c r="D189" s="750"/>
      <c r="E189" s="750"/>
      <c r="F189" s="750"/>
      <c r="G189" s="750"/>
      <c r="H189" s="750"/>
      <c r="I189" s="750"/>
      <c r="J189" s="750"/>
      <c r="K189" s="750"/>
      <c r="L189" s="750"/>
      <c r="M189" s="750"/>
      <c r="N189" s="750"/>
      <c r="O189" s="750"/>
      <c r="P189" s="750"/>
      <c r="Q189" s="750"/>
      <c r="R189" s="750"/>
      <c r="S189" s="750"/>
      <c r="T189" s="750"/>
      <c r="U189" s="750"/>
      <c r="V189" s="750"/>
      <c r="W189" s="750"/>
      <c r="X189" s="750"/>
      <c r="Y189" s="750"/>
      <c r="Z189" s="750"/>
      <c r="AA189" s="750"/>
      <c r="AB189" s="750"/>
      <c r="AC189" s="750"/>
      <c r="AD189" s="749"/>
      <c r="AE189" s="750"/>
      <c r="AF189" s="750"/>
      <c r="AG189" s="750"/>
      <c r="AH189" s="750"/>
      <c r="AI189" s="750"/>
      <c r="AJ189" s="750"/>
      <c r="AK189" s="750"/>
      <c r="AL189" s="750"/>
      <c r="AM189" s="750"/>
      <c r="AN189" s="750"/>
      <c r="AO189" s="750"/>
      <c r="AP189" s="750"/>
      <c r="AQ189" s="750"/>
      <c r="AR189" s="750"/>
      <c r="AS189" s="750"/>
      <c r="AT189" s="750"/>
      <c r="AU189" s="750"/>
      <c r="AV189" s="750"/>
      <c r="AW189" s="750"/>
      <c r="AX189" s="750"/>
      <c r="AY189" s="750"/>
      <c r="AZ189" s="750"/>
      <c r="BA189" s="750"/>
      <c r="BB189" s="749"/>
      <c r="BC189" s="749"/>
      <c r="BD189" s="749"/>
      <c r="BE189" s="749"/>
    </row>
    <row r="190" s="750" customFormat="1" customHeight="1" spans="1:57">
      <c r="A190" s="749"/>
      <c r="B190" s="750"/>
      <c r="C190" s="750"/>
      <c r="D190" s="750"/>
      <c r="E190" s="750"/>
      <c r="F190" s="750"/>
      <c r="G190" s="750"/>
      <c r="H190" s="750"/>
      <c r="I190" s="750"/>
      <c r="J190" s="750"/>
      <c r="K190" s="750"/>
      <c r="L190" s="750"/>
      <c r="M190" s="750"/>
      <c r="N190" s="750"/>
      <c r="O190" s="750"/>
      <c r="P190" s="750"/>
      <c r="Q190" s="750"/>
      <c r="R190" s="750"/>
      <c r="S190" s="750"/>
      <c r="T190" s="750"/>
      <c r="U190" s="750"/>
      <c r="V190" s="750"/>
      <c r="W190" s="750"/>
      <c r="X190" s="750"/>
      <c r="Y190" s="750"/>
      <c r="Z190" s="750"/>
      <c r="AA190" s="750"/>
      <c r="AB190" s="750"/>
      <c r="AC190" s="750"/>
      <c r="AD190" s="749"/>
      <c r="AE190" s="750"/>
      <c r="AF190" s="750"/>
      <c r="AG190" s="750"/>
      <c r="AH190" s="750"/>
      <c r="AI190" s="750"/>
      <c r="AJ190" s="750"/>
      <c r="AK190" s="750"/>
      <c r="AL190" s="750"/>
      <c r="AM190" s="750"/>
      <c r="AN190" s="750"/>
      <c r="AO190" s="750"/>
      <c r="AP190" s="750"/>
      <c r="AQ190" s="750"/>
      <c r="AR190" s="750"/>
      <c r="AS190" s="750"/>
      <c r="AT190" s="750"/>
      <c r="AU190" s="750"/>
      <c r="AV190" s="750"/>
      <c r="AW190" s="750"/>
      <c r="AX190" s="750"/>
      <c r="AY190" s="750"/>
      <c r="AZ190" s="750"/>
      <c r="BA190" s="750"/>
      <c r="BB190" s="749"/>
      <c r="BC190" s="749"/>
      <c r="BD190" s="749"/>
      <c r="BE190" s="749"/>
    </row>
    <row r="191" s="750" customFormat="1" customHeight="1" spans="1:57">
      <c r="A191" s="749"/>
      <c r="B191" s="750"/>
      <c r="C191" s="750"/>
      <c r="D191" s="750"/>
      <c r="E191" s="750"/>
      <c r="F191" s="750"/>
      <c r="G191" s="750"/>
      <c r="H191" s="750"/>
      <c r="I191" s="750"/>
      <c r="J191" s="750"/>
      <c r="K191" s="750"/>
      <c r="L191" s="750"/>
      <c r="M191" s="750"/>
      <c r="N191" s="750"/>
      <c r="O191" s="750"/>
      <c r="P191" s="750"/>
      <c r="Q191" s="750"/>
      <c r="R191" s="750"/>
      <c r="S191" s="750"/>
      <c r="T191" s="750"/>
      <c r="U191" s="750"/>
      <c r="V191" s="750"/>
      <c r="W191" s="750"/>
      <c r="X191" s="750"/>
      <c r="Y191" s="750"/>
      <c r="Z191" s="750"/>
      <c r="AA191" s="750"/>
      <c r="AB191" s="750"/>
      <c r="AC191" s="750"/>
      <c r="AD191" s="749"/>
      <c r="AE191" s="750"/>
      <c r="AF191" s="750"/>
      <c r="AG191" s="750"/>
      <c r="AH191" s="750"/>
      <c r="AI191" s="750"/>
      <c r="AJ191" s="750"/>
      <c r="AK191" s="750"/>
      <c r="AL191" s="750"/>
      <c r="AM191" s="750"/>
      <c r="AN191" s="750"/>
      <c r="AO191" s="750"/>
      <c r="AP191" s="750"/>
      <c r="AQ191" s="750"/>
      <c r="AR191" s="750"/>
      <c r="AS191" s="750"/>
      <c r="AT191" s="750"/>
      <c r="AU191" s="750"/>
      <c r="AV191" s="750"/>
      <c r="AW191" s="750"/>
      <c r="AX191" s="750"/>
      <c r="AY191" s="750"/>
      <c r="AZ191" s="750"/>
      <c r="BA191" s="750"/>
      <c r="BB191" s="749"/>
      <c r="BC191" s="749"/>
      <c r="BD191" s="749"/>
      <c r="BE191" s="749"/>
    </row>
    <row r="192" s="750" customFormat="1" customHeight="1" spans="1:57">
      <c r="A192" s="749"/>
      <c r="B192" s="750"/>
      <c r="C192" s="750"/>
      <c r="D192" s="750"/>
      <c r="E192" s="750"/>
      <c r="F192" s="750"/>
      <c r="G192" s="750"/>
      <c r="H192" s="750"/>
      <c r="I192" s="750"/>
      <c r="J192" s="750"/>
      <c r="K192" s="750"/>
      <c r="L192" s="750"/>
      <c r="M192" s="750"/>
      <c r="N192" s="750"/>
      <c r="O192" s="750"/>
      <c r="P192" s="750"/>
      <c r="Q192" s="750"/>
      <c r="R192" s="750"/>
      <c r="S192" s="750"/>
      <c r="T192" s="750"/>
      <c r="U192" s="750"/>
      <c r="V192" s="750"/>
      <c r="W192" s="750"/>
      <c r="X192" s="750"/>
      <c r="Y192" s="750"/>
      <c r="Z192" s="750"/>
      <c r="AA192" s="750"/>
      <c r="AB192" s="750"/>
      <c r="AC192" s="750"/>
      <c r="AD192" s="749"/>
      <c r="AE192" s="750"/>
      <c r="AF192" s="750"/>
      <c r="AG192" s="750"/>
      <c r="AH192" s="750"/>
      <c r="AI192" s="750"/>
      <c r="AJ192" s="750"/>
      <c r="AK192" s="750"/>
      <c r="AL192" s="750"/>
      <c r="AM192" s="750"/>
      <c r="AN192" s="750"/>
      <c r="AO192" s="750"/>
      <c r="AP192" s="750"/>
      <c r="AQ192" s="750"/>
      <c r="AR192" s="750"/>
      <c r="AS192" s="750"/>
      <c r="AT192" s="750"/>
      <c r="AU192" s="750"/>
      <c r="AV192" s="750"/>
      <c r="AW192" s="750"/>
      <c r="AX192" s="750"/>
      <c r="AY192" s="750"/>
      <c r="AZ192" s="750"/>
      <c r="BA192" s="750"/>
      <c r="BB192" s="749"/>
      <c r="BC192" s="749"/>
      <c r="BD192" s="749"/>
      <c r="BE192" s="749"/>
    </row>
    <row r="193" s="750" customFormat="1" customHeight="1" spans="1:57">
      <c r="A193" s="749"/>
      <c r="B193" s="750"/>
      <c r="C193" s="750"/>
      <c r="D193" s="750"/>
      <c r="E193" s="750"/>
      <c r="F193" s="750"/>
      <c r="G193" s="750"/>
      <c r="H193" s="750"/>
      <c r="I193" s="750"/>
      <c r="J193" s="750"/>
      <c r="K193" s="750"/>
      <c r="L193" s="750"/>
      <c r="M193" s="750"/>
      <c r="N193" s="750"/>
      <c r="O193" s="750"/>
      <c r="P193" s="750"/>
      <c r="Q193" s="750"/>
      <c r="R193" s="750"/>
      <c r="S193" s="750"/>
      <c r="T193" s="750"/>
      <c r="U193" s="750"/>
      <c r="V193" s="750"/>
      <c r="W193" s="750"/>
      <c r="X193" s="750"/>
      <c r="Y193" s="750"/>
      <c r="Z193" s="750"/>
      <c r="AA193" s="750"/>
      <c r="AB193" s="750"/>
      <c r="AC193" s="750"/>
      <c r="AD193" s="749"/>
      <c r="AE193" s="750"/>
      <c r="AF193" s="750"/>
      <c r="AG193" s="750"/>
      <c r="AH193" s="750"/>
      <c r="AI193" s="750"/>
      <c r="AJ193" s="750"/>
      <c r="AK193" s="750"/>
      <c r="AL193" s="750"/>
      <c r="AM193" s="750"/>
      <c r="AN193" s="750"/>
      <c r="AO193" s="750"/>
      <c r="AP193" s="750"/>
      <c r="AQ193" s="750"/>
      <c r="AR193" s="750"/>
      <c r="AS193" s="750"/>
      <c r="AT193" s="750"/>
      <c r="AU193" s="750"/>
      <c r="AV193" s="750"/>
      <c r="AW193" s="750"/>
      <c r="AX193" s="750"/>
      <c r="AY193" s="750"/>
      <c r="AZ193" s="750"/>
      <c r="BA193" s="750"/>
      <c r="BB193" s="749"/>
      <c r="BC193" s="749"/>
      <c r="BD193" s="749"/>
      <c r="BE193" s="749"/>
    </row>
    <row r="194" s="750" customFormat="1" customHeight="1" spans="1:57">
      <c r="A194" s="749"/>
      <c r="B194" s="750"/>
      <c r="C194" s="750"/>
      <c r="D194" s="750"/>
      <c r="E194" s="750"/>
      <c r="F194" s="750"/>
      <c r="G194" s="750"/>
      <c r="H194" s="750"/>
      <c r="I194" s="750"/>
      <c r="J194" s="750"/>
      <c r="K194" s="750"/>
      <c r="L194" s="750"/>
      <c r="M194" s="750"/>
      <c r="N194" s="750"/>
      <c r="O194" s="750"/>
      <c r="P194" s="750"/>
      <c r="Q194" s="750"/>
      <c r="R194" s="750"/>
      <c r="S194" s="750"/>
      <c r="T194" s="750"/>
      <c r="U194" s="750"/>
      <c r="V194" s="750"/>
      <c r="W194" s="750"/>
      <c r="X194" s="750"/>
      <c r="Y194" s="750"/>
      <c r="Z194" s="750"/>
      <c r="AA194" s="750"/>
      <c r="AB194" s="750"/>
      <c r="AC194" s="750"/>
      <c r="AD194" s="749"/>
      <c r="AE194" s="750"/>
      <c r="AF194" s="750"/>
      <c r="AG194" s="750"/>
      <c r="AH194" s="750"/>
      <c r="AI194" s="750"/>
      <c r="AJ194" s="750"/>
      <c r="AK194" s="750"/>
      <c r="AL194" s="750"/>
      <c r="AM194" s="750"/>
      <c r="AN194" s="750"/>
      <c r="AO194" s="750"/>
      <c r="AP194" s="750"/>
      <c r="AQ194" s="750"/>
      <c r="AR194" s="750"/>
      <c r="AS194" s="750"/>
      <c r="AT194" s="750"/>
      <c r="AU194" s="750"/>
      <c r="AV194" s="750"/>
      <c r="AW194" s="750"/>
      <c r="AX194" s="750"/>
      <c r="AY194" s="750"/>
      <c r="AZ194" s="750"/>
      <c r="BA194" s="750"/>
      <c r="BB194" s="749"/>
      <c r="BC194" s="749"/>
      <c r="BD194" s="749"/>
      <c r="BE194" s="749"/>
    </row>
    <row r="195" s="750" customFormat="1" customHeight="1" spans="1:57">
      <c r="A195" s="749"/>
      <c r="B195" s="750"/>
      <c r="C195" s="750"/>
      <c r="D195" s="750"/>
      <c r="E195" s="750"/>
      <c r="F195" s="750"/>
      <c r="G195" s="750"/>
      <c r="H195" s="750"/>
      <c r="I195" s="750"/>
      <c r="J195" s="750"/>
      <c r="K195" s="750"/>
      <c r="L195" s="750"/>
      <c r="M195" s="750"/>
      <c r="N195" s="750"/>
      <c r="O195" s="750"/>
      <c r="P195" s="750"/>
      <c r="Q195" s="750"/>
      <c r="R195" s="750"/>
      <c r="S195" s="750"/>
      <c r="T195" s="750"/>
      <c r="U195" s="750"/>
      <c r="V195" s="750"/>
      <c r="W195" s="750"/>
      <c r="X195" s="750"/>
      <c r="Y195" s="750"/>
      <c r="Z195" s="750"/>
      <c r="AA195" s="750"/>
      <c r="AB195" s="750"/>
      <c r="AC195" s="750"/>
      <c r="AD195" s="749"/>
      <c r="AE195" s="750"/>
      <c r="AF195" s="750"/>
      <c r="AG195" s="750"/>
      <c r="AH195" s="750"/>
      <c r="AI195" s="750"/>
      <c r="AJ195" s="750"/>
      <c r="AK195" s="750"/>
      <c r="AL195" s="750"/>
      <c r="AM195" s="750"/>
      <c r="AN195" s="750"/>
      <c r="AO195" s="750"/>
      <c r="AP195" s="750"/>
      <c r="AQ195" s="750"/>
      <c r="AR195" s="750"/>
      <c r="AS195" s="750"/>
      <c r="AT195" s="750"/>
      <c r="AU195" s="750"/>
      <c r="AV195" s="750"/>
      <c r="AW195" s="750"/>
      <c r="AX195" s="750"/>
      <c r="AY195" s="750"/>
      <c r="AZ195" s="750"/>
      <c r="BA195" s="750"/>
      <c r="BB195" s="749"/>
      <c r="BC195" s="749"/>
      <c r="BD195" s="749"/>
      <c r="BE195" s="749"/>
    </row>
    <row r="196" s="750" customFormat="1" customHeight="1" spans="1:57">
      <c r="A196" s="749"/>
      <c r="B196" s="750"/>
      <c r="C196" s="750"/>
      <c r="D196" s="750"/>
      <c r="E196" s="750"/>
      <c r="F196" s="750"/>
      <c r="G196" s="750"/>
      <c r="H196" s="750"/>
      <c r="I196" s="750"/>
      <c r="J196" s="750"/>
      <c r="K196" s="750"/>
      <c r="L196" s="750"/>
      <c r="M196" s="750"/>
      <c r="N196" s="750"/>
      <c r="O196" s="750"/>
      <c r="P196" s="750"/>
      <c r="Q196" s="750"/>
      <c r="R196" s="750"/>
      <c r="S196" s="750"/>
      <c r="T196" s="750"/>
      <c r="U196" s="750"/>
      <c r="V196" s="750"/>
      <c r="W196" s="750"/>
      <c r="X196" s="750"/>
      <c r="Y196" s="750"/>
      <c r="Z196" s="750"/>
      <c r="AA196" s="750"/>
      <c r="AB196" s="750"/>
      <c r="AC196" s="750"/>
      <c r="AD196" s="749"/>
      <c r="AE196" s="750"/>
      <c r="AF196" s="750"/>
      <c r="AG196" s="750"/>
      <c r="AH196" s="750"/>
      <c r="AI196" s="750"/>
      <c r="AJ196" s="750"/>
      <c r="AK196" s="750"/>
      <c r="AL196" s="750"/>
      <c r="AM196" s="750"/>
      <c r="AN196" s="750"/>
      <c r="AO196" s="750"/>
      <c r="AP196" s="750"/>
      <c r="AQ196" s="750"/>
      <c r="AR196" s="750"/>
      <c r="AS196" s="750"/>
      <c r="AT196" s="750"/>
      <c r="AU196" s="750"/>
      <c r="AV196" s="750"/>
      <c r="AW196" s="750"/>
      <c r="AX196" s="750"/>
      <c r="AY196" s="750"/>
      <c r="AZ196" s="750"/>
      <c r="BA196" s="750"/>
      <c r="BB196" s="749"/>
      <c r="BC196" s="749"/>
      <c r="BD196" s="749"/>
      <c r="BE196" s="749"/>
    </row>
    <row r="197" s="750" customFormat="1" customHeight="1" spans="1:57">
      <c r="A197" s="749"/>
      <c r="B197" s="750"/>
      <c r="C197" s="750"/>
      <c r="D197" s="750"/>
      <c r="E197" s="750"/>
      <c r="F197" s="750"/>
      <c r="G197" s="750"/>
      <c r="H197" s="750"/>
      <c r="I197" s="750"/>
      <c r="J197" s="750"/>
      <c r="K197" s="750"/>
      <c r="L197" s="750"/>
      <c r="M197" s="750"/>
      <c r="N197" s="750"/>
      <c r="O197" s="750"/>
      <c r="P197" s="750"/>
      <c r="Q197" s="750"/>
      <c r="R197" s="750"/>
      <c r="S197" s="750"/>
      <c r="T197" s="750"/>
      <c r="U197" s="750"/>
      <c r="V197" s="750"/>
      <c r="W197" s="750"/>
      <c r="X197" s="750"/>
      <c r="Y197" s="750"/>
      <c r="Z197" s="750"/>
      <c r="AA197" s="750"/>
      <c r="AB197" s="750"/>
      <c r="AC197" s="750"/>
      <c r="AD197" s="749"/>
      <c r="AE197" s="750"/>
      <c r="AF197" s="750"/>
      <c r="AG197" s="750"/>
      <c r="AH197" s="750"/>
      <c r="AI197" s="750"/>
      <c r="AJ197" s="750"/>
      <c r="AK197" s="750"/>
      <c r="AL197" s="750"/>
      <c r="AM197" s="750"/>
      <c r="AN197" s="750"/>
      <c r="AO197" s="750"/>
      <c r="AP197" s="750"/>
      <c r="AQ197" s="750"/>
      <c r="AR197" s="750"/>
      <c r="AS197" s="750"/>
      <c r="AT197" s="750"/>
      <c r="AU197" s="750"/>
      <c r="AV197" s="750"/>
      <c r="AW197" s="750"/>
      <c r="AX197" s="750"/>
      <c r="AY197" s="750"/>
      <c r="AZ197" s="750"/>
      <c r="BA197" s="750"/>
      <c r="BB197" s="749"/>
      <c r="BC197" s="749"/>
      <c r="BD197" s="749"/>
      <c r="BE197" s="749"/>
    </row>
    <row r="198" s="750" customFormat="1" customHeight="1" spans="1:57">
      <c r="A198" s="749"/>
      <c r="B198" s="750"/>
      <c r="C198" s="750"/>
      <c r="D198" s="750"/>
      <c r="E198" s="750"/>
      <c r="F198" s="750"/>
      <c r="G198" s="750"/>
      <c r="H198" s="750"/>
      <c r="I198" s="750"/>
      <c r="J198" s="750"/>
      <c r="K198" s="750"/>
      <c r="L198" s="750"/>
      <c r="M198" s="750"/>
      <c r="N198" s="750"/>
      <c r="O198" s="750"/>
      <c r="P198" s="750"/>
      <c r="Q198" s="750"/>
      <c r="R198" s="750"/>
      <c r="S198" s="750"/>
      <c r="T198" s="750"/>
      <c r="U198" s="750"/>
      <c r="V198" s="750"/>
      <c r="W198" s="750"/>
      <c r="X198" s="750"/>
      <c r="Y198" s="750"/>
      <c r="Z198" s="750"/>
      <c r="AA198" s="750"/>
      <c r="AB198" s="750"/>
      <c r="AC198" s="750"/>
      <c r="AD198" s="749"/>
      <c r="AE198" s="750"/>
      <c r="AF198" s="750"/>
      <c r="AG198" s="750"/>
      <c r="AH198" s="750"/>
      <c r="AI198" s="750"/>
      <c r="AJ198" s="750"/>
      <c r="AK198" s="750"/>
      <c r="AL198" s="750"/>
      <c r="AM198" s="750"/>
      <c r="AN198" s="750"/>
      <c r="AO198" s="750"/>
      <c r="AP198" s="750"/>
      <c r="AQ198" s="750"/>
      <c r="AR198" s="750"/>
      <c r="AS198" s="750"/>
      <c r="AT198" s="750"/>
      <c r="AU198" s="750"/>
      <c r="AV198" s="750"/>
      <c r="AW198" s="750"/>
      <c r="AX198" s="750"/>
      <c r="AY198" s="750"/>
      <c r="AZ198" s="750"/>
      <c r="BA198" s="750"/>
      <c r="BB198" s="749"/>
      <c r="BC198" s="749"/>
      <c r="BD198" s="749"/>
      <c r="BE198" s="749"/>
    </row>
    <row r="199" s="750" customFormat="1" customHeight="1" spans="1:57">
      <c r="A199" s="749"/>
      <c r="B199" s="750"/>
      <c r="C199" s="750"/>
      <c r="D199" s="750"/>
      <c r="E199" s="750"/>
      <c r="F199" s="750"/>
      <c r="G199" s="750"/>
      <c r="H199" s="750"/>
      <c r="I199" s="750"/>
      <c r="J199" s="750"/>
      <c r="K199" s="750"/>
      <c r="L199" s="750"/>
      <c r="M199" s="750"/>
      <c r="N199" s="750"/>
      <c r="O199" s="750"/>
      <c r="P199" s="750"/>
      <c r="Q199" s="750"/>
      <c r="R199" s="750"/>
      <c r="S199" s="750"/>
      <c r="T199" s="750"/>
      <c r="U199" s="750"/>
      <c r="V199" s="750"/>
      <c r="W199" s="750"/>
      <c r="X199" s="750"/>
      <c r="Y199" s="750"/>
      <c r="Z199" s="750"/>
      <c r="AA199" s="750"/>
      <c r="AB199" s="750"/>
      <c r="AC199" s="750"/>
      <c r="AD199" s="749"/>
      <c r="AE199" s="750"/>
      <c r="AF199" s="750"/>
      <c r="AG199" s="750"/>
      <c r="AH199" s="750"/>
      <c r="AI199" s="750"/>
      <c r="AJ199" s="750"/>
      <c r="AK199" s="750"/>
      <c r="AL199" s="750"/>
      <c r="AM199" s="750"/>
      <c r="AN199" s="750"/>
      <c r="AO199" s="750"/>
      <c r="AP199" s="750"/>
      <c r="AQ199" s="750"/>
      <c r="AR199" s="750"/>
      <c r="AS199" s="750"/>
      <c r="AT199" s="750"/>
      <c r="AU199" s="750"/>
      <c r="AV199" s="750"/>
      <c r="AW199" s="750"/>
      <c r="AX199" s="750"/>
      <c r="AY199" s="750"/>
      <c r="AZ199" s="750"/>
      <c r="BA199" s="750"/>
      <c r="BB199" s="749"/>
      <c r="BC199" s="749"/>
      <c r="BD199" s="749"/>
      <c r="BE199" s="749"/>
    </row>
    <row r="200" s="750" customFormat="1" customHeight="1" spans="1:57">
      <c r="A200" s="749"/>
      <c r="B200" s="750"/>
      <c r="C200" s="750"/>
      <c r="D200" s="750"/>
      <c r="E200" s="750"/>
      <c r="F200" s="750"/>
      <c r="G200" s="750"/>
      <c r="H200" s="750"/>
      <c r="I200" s="750"/>
      <c r="J200" s="750"/>
      <c r="K200" s="750"/>
      <c r="L200" s="750"/>
      <c r="M200" s="750"/>
      <c r="N200" s="750"/>
      <c r="O200" s="750"/>
      <c r="P200" s="750"/>
      <c r="Q200" s="750"/>
      <c r="R200" s="750"/>
      <c r="S200" s="750"/>
      <c r="T200" s="750"/>
      <c r="U200" s="750"/>
      <c r="V200" s="750"/>
      <c r="W200" s="750"/>
      <c r="X200" s="750"/>
      <c r="Y200" s="750"/>
      <c r="Z200" s="750"/>
      <c r="AA200" s="750"/>
      <c r="AB200" s="750"/>
      <c r="AC200" s="750"/>
      <c r="AD200" s="749"/>
      <c r="AE200" s="750"/>
      <c r="AF200" s="750"/>
      <c r="AG200" s="750"/>
      <c r="AH200" s="750"/>
      <c r="AI200" s="750"/>
      <c r="AJ200" s="750"/>
      <c r="AK200" s="750"/>
      <c r="AL200" s="750"/>
      <c r="AM200" s="750"/>
      <c r="AN200" s="750"/>
      <c r="AO200" s="750"/>
      <c r="AP200" s="750"/>
      <c r="AQ200" s="750"/>
      <c r="AR200" s="750"/>
      <c r="AS200" s="750"/>
      <c r="AT200" s="750"/>
      <c r="AU200" s="750"/>
      <c r="AV200" s="750"/>
      <c r="AW200" s="750"/>
      <c r="AX200" s="750"/>
      <c r="AY200" s="750"/>
      <c r="AZ200" s="750"/>
      <c r="BA200" s="750"/>
      <c r="BB200" s="749"/>
      <c r="BC200" s="749"/>
      <c r="BD200" s="749"/>
      <c r="BE200" s="749"/>
    </row>
    <row r="201" s="750" customFormat="1" customHeight="1" spans="1:57">
      <c r="A201" s="749"/>
      <c r="B201" s="750"/>
      <c r="C201" s="750"/>
      <c r="D201" s="750"/>
      <c r="E201" s="750"/>
      <c r="F201" s="750"/>
      <c r="G201" s="750"/>
      <c r="H201" s="750"/>
      <c r="I201" s="750"/>
      <c r="J201" s="750"/>
      <c r="K201" s="750"/>
      <c r="L201" s="750"/>
      <c r="M201" s="750"/>
      <c r="N201" s="750"/>
      <c r="O201" s="750"/>
      <c r="P201" s="750"/>
      <c r="Q201" s="750"/>
      <c r="R201" s="750"/>
      <c r="S201" s="750"/>
      <c r="T201" s="750"/>
      <c r="U201" s="750"/>
      <c r="V201" s="750"/>
      <c r="W201" s="750"/>
      <c r="X201" s="750"/>
      <c r="Y201" s="750"/>
      <c r="Z201" s="750"/>
      <c r="AA201" s="750"/>
      <c r="AB201" s="750"/>
      <c r="AC201" s="750"/>
      <c r="AD201" s="749"/>
      <c r="AE201" s="750"/>
      <c r="AF201" s="750"/>
      <c r="AG201" s="750"/>
      <c r="AH201" s="750"/>
      <c r="AI201" s="750"/>
      <c r="AJ201" s="750"/>
      <c r="AK201" s="750"/>
      <c r="AL201" s="750"/>
      <c r="AM201" s="750"/>
      <c r="AN201" s="750"/>
      <c r="AO201" s="750"/>
      <c r="AP201" s="750"/>
      <c r="AQ201" s="750"/>
      <c r="AR201" s="750"/>
      <c r="AS201" s="750"/>
      <c r="AT201" s="750"/>
      <c r="AU201" s="750"/>
      <c r="AV201" s="750"/>
      <c r="AW201" s="750"/>
      <c r="AX201" s="750"/>
      <c r="AY201" s="750"/>
      <c r="AZ201" s="750"/>
      <c r="BA201" s="750"/>
      <c r="BB201" s="749"/>
      <c r="BC201" s="749"/>
      <c r="BD201" s="749"/>
      <c r="BE201" s="749"/>
    </row>
    <row r="202" s="750" customFormat="1" customHeight="1" spans="1:57">
      <c r="A202" s="749"/>
      <c r="B202" s="750"/>
      <c r="C202" s="750"/>
      <c r="D202" s="750"/>
      <c r="E202" s="750"/>
      <c r="F202" s="750"/>
      <c r="G202" s="750"/>
      <c r="H202" s="750"/>
      <c r="I202" s="750"/>
      <c r="J202" s="750"/>
      <c r="K202" s="750"/>
      <c r="L202" s="750"/>
      <c r="M202" s="750"/>
      <c r="N202" s="750"/>
      <c r="O202" s="750"/>
      <c r="P202" s="750"/>
      <c r="Q202" s="750"/>
      <c r="R202" s="750"/>
      <c r="S202" s="750"/>
      <c r="T202" s="750"/>
      <c r="U202" s="750"/>
      <c r="V202" s="750"/>
      <c r="W202" s="750"/>
      <c r="X202" s="750"/>
      <c r="Y202" s="750"/>
      <c r="Z202" s="750"/>
      <c r="AA202" s="750"/>
      <c r="AB202" s="750"/>
      <c r="AC202" s="750"/>
      <c r="AD202" s="749"/>
      <c r="AE202" s="750"/>
      <c r="AF202" s="750"/>
      <c r="AG202" s="750"/>
      <c r="AH202" s="750"/>
      <c r="AI202" s="750"/>
      <c r="AJ202" s="750"/>
      <c r="AK202" s="750"/>
      <c r="AL202" s="750"/>
      <c r="AM202" s="750"/>
      <c r="AN202" s="750"/>
      <c r="AO202" s="750"/>
      <c r="AP202" s="750"/>
      <c r="AQ202" s="750"/>
      <c r="AR202" s="750"/>
      <c r="AS202" s="750"/>
      <c r="AT202" s="750"/>
      <c r="AU202" s="750"/>
      <c r="AV202" s="750"/>
      <c r="AW202" s="750"/>
      <c r="AX202" s="750"/>
      <c r="AY202" s="750"/>
      <c r="AZ202" s="750"/>
      <c r="BA202" s="750"/>
      <c r="BB202" s="749"/>
      <c r="BC202" s="749"/>
      <c r="BD202" s="749"/>
      <c r="BE202" s="749"/>
    </row>
    <row r="203" s="750" customFormat="1" customHeight="1" spans="1:57">
      <c r="A203" s="749"/>
      <c r="B203" s="750"/>
      <c r="C203" s="750"/>
      <c r="D203" s="750"/>
      <c r="E203" s="750"/>
      <c r="F203" s="750"/>
      <c r="G203" s="750"/>
      <c r="H203" s="750"/>
      <c r="I203" s="750"/>
      <c r="J203" s="750"/>
      <c r="K203" s="750"/>
      <c r="L203" s="750"/>
      <c r="M203" s="750"/>
      <c r="N203" s="750"/>
      <c r="O203" s="750"/>
      <c r="P203" s="750"/>
      <c r="Q203" s="750"/>
      <c r="R203" s="750"/>
      <c r="S203" s="750"/>
      <c r="T203" s="750"/>
      <c r="U203" s="750"/>
      <c r="V203" s="750"/>
      <c r="W203" s="750"/>
      <c r="X203" s="750"/>
      <c r="Y203" s="750"/>
      <c r="Z203" s="750"/>
      <c r="AA203" s="750"/>
      <c r="AB203" s="750"/>
      <c r="AC203" s="750"/>
      <c r="AD203" s="749"/>
      <c r="AE203" s="750"/>
      <c r="AF203" s="750"/>
      <c r="AG203" s="750"/>
      <c r="AH203" s="750"/>
      <c r="AI203" s="750"/>
      <c r="AJ203" s="750"/>
      <c r="AK203" s="750"/>
      <c r="AL203" s="750"/>
      <c r="AM203" s="750"/>
      <c r="AN203" s="750"/>
      <c r="AO203" s="750"/>
      <c r="AP203" s="750"/>
      <c r="AQ203" s="750"/>
      <c r="AR203" s="750"/>
      <c r="AS203" s="750"/>
      <c r="AT203" s="750"/>
      <c r="AU203" s="750"/>
      <c r="AV203" s="750"/>
      <c r="AW203" s="750"/>
      <c r="AX203" s="750"/>
      <c r="AY203" s="750"/>
      <c r="AZ203" s="750"/>
      <c r="BA203" s="750"/>
      <c r="BB203" s="749"/>
      <c r="BC203" s="749"/>
      <c r="BD203" s="749"/>
      <c r="BE203" s="749"/>
    </row>
    <row r="204" s="750" customFormat="1" customHeight="1" spans="1:57">
      <c r="A204" s="749"/>
      <c r="B204" s="750"/>
      <c r="C204" s="750"/>
      <c r="D204" s="750"/>
      <c r="E204" s="750"/>
      <c r="F204" s="750"/>
      <c r="G204" s="750"/>
      <c r="H204" s="750"/>
      <c r="I204" s="750"/>
      <c r="J204" s="750"/>
      <c r="K204" s="750"/>
      <c r="L204" s="750"/>
      <c r="M204" s="750"/>
      <c r="N204" s="750"/>
      <c r="O204" s="750"/>
      <c r="P204" s="750"/>
      <c r="Q204" s="750"/>
      <c r="R204" s="750"/>
      <c r="S204" s="750"/>
      <c r="T204" s="750"/>
      <c r="U204" s="750"/>
      <c r="V204" s="750"/>
      <c r="W204" s="750"/>
      <c r="X204" s="750"/>
      <c r="Y204" s="750"/>
      <c r="Z204" s="750"/>
      <c r="AA204" s="750"/>
      <c r="AB204" s="750"/>
      <c r="AC204" s="750"/>
      <c r="AD204" s="749"/>
      <c r="AE204" s="750"/>
      <c r="AF204" s="750"/>
      <c r="AG204" s="750"/>
      <c r="AH204" s="750"/>
      <c r="AI204" s="750"/>
      <c r="AJ204" s="750"/>
      <c r="AK204" s="750"/>
      <c r="AL204" s="750"/>
      <c r="AM204" s="750"/>
      <c r="AN204" s="750"/>
      <c r="AO204" s="750"/>
      <c r="AP204" s="750"/>
      <c r="AQ204" s="750"/>
      <c r="AR204" s="750"/>
      <c r="AS204" s="750"/>
      <c r="AT204" s="750"/>
      <c r="AU204" s="750"/>
      <c r="AV204" s="750"/>
      <c r="AW204" s="750"/>
      <c r="AX204" s="750"/>
      <c r="AY204" s="750"/>
      <c r="AZ204" s="750"/>
      <c r="BA204" s="750"/>
      <c r="BB204" s="749"/>
      <c r="BC204" s="749"/>
      <c r="BD204" s="749"/>
      <c r="BE204" s="749"/>
    </row>
    <row r="205" s="750" customFormat="1" customHeight="1" spans="1:57">
      <c r="A205" s="749"/>
      <c r="B205" s="750"/>
      <c r="C205" s="750"/>
      <c r="D205" s="750"/>
      <c r="E205" s="750"/>
      <c r="F205" s="750"/>
      <c r="G205" s="750"/>
      <c r="H205" s="750"/>
      <c r="I205" s="750"/>
      <c r="J205" s="750"/>
      <c r="K205" s="750"/>
      <c r="L205" s="750"/>
      <c r="M205" s="750"/>
      <c r="N205" s="750"/>
      <c r="O205" s="750"/>
      <c r="P205" s="750"/>
      <c r="Q205" s="750"/>
      <c r="R205" s="750"/>
      <c r="S205" s="750"/>
      <c r="T205" s="750"/>
      <c r="U205" s="750"/>
      <c r="V205" s="750"/>
      <c r="W205" s="750"/>
      <c r="X205" s="750"/>
      <c r="Y205" s="750"/>
      <c r="Z205" s="750"/>
      <c r="AA205" s="750"/>
      <c r="AB205" s="750"/>
      <c r="AC205" s="750"/>
      <c r="AD205" s="749"/>
      <c r="AE205" s="750"/>
      <c r="AF205" s="750"/>
      <c r="AG205" s="750"/>
      <c r="AH205" s="750"/>
      <c r="AI205" s="750"/>
      <c r="AJ205" s="750"/>
      <c r="AK205" s="750"/>
      <c r="AL205" s="750"/>
      <c r="AM205" s="750"/>
      <c r="AN205" s="750"/>
      <c r="AO205" s="750"/>
      <c r="AP205" s="750"/>
      <c r="AQ205" s="750"/>
      <c r="AR205" s="750"/>
      <c r="AS205" s="750"/>
      <c r="AT205" s="750"/>
      <c r="AU205" s="750"/>
      <c r="AV205" s="750"/>
      <c r="AW205" s="750"/>
      <c r="AX205" s="750"/>
      <c r="AY205" s="750"/>
      <c r="AZ205" s="750"/>
      <c r="BA205" s="750"/>
      <c r="BB205" s="749"/>
      <c r="BC205" s="749"/>
      <c r="BD205" s="749"/>
      <c r="BE205" s="749"/>
    </row>
    <row r="206" s="750" customFormat="1" customHeight="1" spans="1:57">
      <c r="A206" s="749"/>
      <c r="B206" s="750"/>
      <c r="C206" s="750"/>
      <c r="D206" s="750"/>
      <c r="E206" s="750"/>
      <c r="F206" s="750"/>
      <c r="G206" s="750"/>
      <c r="H206" s="750"/>
      <c r="I206" s="750"/>
      <c r="J206" s="750"/>
      <c r="K206" s="750"/>
      <c r="L206" s="750"/>
      <c r="M206" s="750"/>
      <c r="N206" s="750"/>
      <c r="O206" s="750"/>
      <c r="P206" s="750"/>
      <c r="Q206" s="750"/>
      <c r="R206" s="750"/>
      <c r="S206" s="750"/>
      <c r="T206" s="750"/>
      <c r="U206" s="750"/>
      <c r="V206" s="750"/>
      <c r="W206" s="750"/>
      <c r="X206" s="750"/>
      <c r="Y206" s="750"/>
      <c r="Z206" s="750"/>
      <c r="AA206" s="750"/>
      <c r="AB206" s="750"/>
      <c r="AC206" s="750"/>
      <c r="AD206" s="749"/>
      <c r="AE206" s="750"/>
      <c r="AF206" s="750"/>
      <c r="AG206" s="750"/>
      <c r="AH206" s="750"/>
      <c r="AI206" s="750"/>
      <c r="AJ206" s="750"/>
      <c r="AK206" s="750"/>
      <c r="AL206" s="750"/>
      <c r="AM206" s="750"/>
      <c r="AN206" s="750"/>
      <c r="AO206" s="750"/>
      <c r="AP206" s="750"/>
      <c r="AQ206" s="750"/>
      <c r="AR206" s="750"/>
      <c r="AS206" s="750"/>
      <c r="AT206" s="750"/>
      <c r="AU206" s="750"/>
      <c r="AV206" s="750"/>
      <c r="AW206" s="750"/>
      <c r="AX206" s="750"/>
      <c r="AY206" s="750"/>
      <c r="AZ206" s="750"/>
      <c r="BA206" s="750"/>
      <c r="BB206" s="749"/>
      <c r="BC206" s="749"/>
      <c r="BD206" s="749"/>
      <c r="BE206" s="749"/>
    </row>
    <row r="207" s="750" customFormat="1" customHeight="1" spans="1:57">
      <c r="A207" s="749"/>
      <c r="B207" s="750"/>
      <c r="C207" s="750"/>
      <c r="D207" s="750"/>
      <c r="E207" s="750"/>
      <c r="F207" s="750"/>
      <c r="G207" s="750"/>
      <c r="H207" s="750"/>
      <c r="I207" s="750"/>
      <c r="J207" s="750"/>
      <c r="K207" s="750"/>
      <c r="L207" s="750"/>
      <c r="M207" s="750"/>
      <c r="N207" s="750"/>
      <c r="O207" s="750"/>
      <c r="P207" s="750"/>
      <c r="Q207" s="750"/>
      <c r="R207" s="750"/>
      <c r="S207" s="750"/>
      <c r="T207" s="750"/>
      <c r="U207" s="750"/>
      <c r="V207" s="750"/>
      <c r="W207" s="750"/>
      <c r="X207" s="750"/>
      <c r="Y207" s="750"/>
      <c r="Z207" s="750"/>
      <c r="AA207" s="750"/>
      <c r="AB207" s="750"/>
      <c r="AC207" s="750"/>
      <c r="AD207" s="749"/>
      <c r="AE207" s="750"/>
      <c r="AF207" s="750"/>
      <c r="AG207" s="750"/>
      <c r="AH207" s="750"/>
      <c r="AI207" s="750"/>
      <c r="AJ207" s="750"/>
      <c r="AK207" s="750"/>
      <c r="AL207" s="750"/>
      <c r="AM207" s="750"/>
      <c r="AN207" s="750"/>
      <c r="AO207" s="750"/>
      <c r="AP207" s="750"/>
      <c r="AQ207" s="750"/>
      <c r="AR207" s="750"/>
      <c r="AS207" s="750"/>
      <c r="AT207" s="750"/>
      <c r="AU207" s="750"/>
      <c r="AV207" s="750"/>
      <c r="AW207" s="750"/>
      <c r="AX207" s="750"/>
      <c r="AY207" s="750"/>
      <c r="AZ207" s="750"/>
      <c r="BA207" s="750"/>
      <c r="BB207" s="749"/>
      <c r="BC207" s="749"/>
      <c r="BD207" s="749"/>
      <c r="BE207" s="749"/>
    </row>
    <row r="208" s="750" customFormat="1" customHeight="1" spans="1:57">
      <c r="A208" s="749"/>
      <c r="B208" s="750"/>
      <c r="C208" s="750"/>
      <c r="D208" s="750"/>
      <c r="E208" s="750"/>
      <c r="F208" s="750"/>
      <c r="G208" s="750"/>
      <c r="H208" s="750"/>
      <c r="I208" s="750"/>
      <c r="J208" s="750"/>
      <c r="K208" s="750"/>
      <c r="L208" s="750"/>
      <c r="M208" s="750"/>
      <c r="N208" s="750"/>
      <c r="O208" s="750"/>
      <c r="P208" s="750"/>
      <c r="Q208" s="750"/>
      <c r="R208" s="750"/>
      <c r="S208" s="750"/>
      <c r="T208" s="750"/>
      <c r="U208" s="750"/>
      <c r="V208" s="750"/>
      <c r="W208" s="750"/>
      <c r="X208" s="750"/>
      <c r="Y208" s="750"/>
      <c r="Z208" s="750"/>
      <c r="AA208" s="750"/>
      <c r="AB208" s="750"/>
      <c r="AC208" s="750"/>
      <c r="AD208" s="749"/>
      <c r="AE208" s="750"/>
      <c r="AF208" s="750"/>
      <c r="AG208" s="750"/>
      <c r="AH208" s="750"/>
      <c r="AI208" s="750"/>
      <c r="AJ208" s="750"/>
      <c r="AK208" s="750"/>
      <c r="AL208" s="750"/>
      <c r="AM208" s="750"/>
      <c r="AN208" s="750"/>
      <c r="AO208" s="750"/>
      <c r="AP208" s="750"/>
      <c r="AQ208" s="750"/>
      <c r="AR208" s="750"/>
      <c r="AS208" s="750"/>
      <c r="AT208" s="750"/>
      <c r="AU208" s="750"/>
      <c r="AV208" s="750"/>
      <c r="AW208" s="750"/>
      <c r="AX208" s="750"/>
      <c r="AY208" s="750"/>
      <c r="AZ208" s="750"/>
      <c r="BA208" s="750"/>
      <c r="BB208" s="749"/>
      <c r="BC208" s="749"/>
      <c r="BD208" s="749"/>
      <c r="BE208" s="749"/>
    </row>
    <row r="209" s="750" customFormat="1" customHeight="1" spans="1:57">
      <c r="A209" s="749"/>
      <c r="B209" s="750"/>
      <c r="C209" s="750"/>
      <c r="D209" s="750"/>
      <c r="E209" s="750"/>
      <c r="F209" s="750"/>
      <c r="G209" s="750"/>
      <c r="H209" s="750"/>
      <c r="I209" s="750"/>
      <c r="J209" s="750"/>
      <c r="K209" s="750"/>
      <c r="L209" s="750"/>
      <c r="M209" s="750"/>
      <c r="N209" s="750"/>
      <c r="O209" s="750"/>
      <c r="P209" s="750"/>
      <c r="Q209" s="750"/>
      <c r="R209" s="750"/>
      <c r="S209" s="750"/>
      <c r="T209" s="750"/>
      <c r="U209" s="750"/>
      <c r="V209" s="750"/>
      <c r="W209" s="750"/>
      <c r="X209" s="750"/>
      <c r="Y209" s="750"/>
      <c r="Z209" s="750"/>
      <c r="AA209" s="750"/>
      <c r="AB209" s="750"/>
      <c r="AC209" s="750"/>
      <c r="AD209" s="749"/>
      <c r="AE209" s="750"/>
      <c r="AF209" s="750"/>
      <c r="AG209" s="750"/>
      <c r="AH209" s="750"/>
      <c r="AI209" s="750"/>
      <c r="AJ209" s="750"/>
      <c r="AK209" s="750"/>
      <c r="AL209" s="750"/>
      <c r="AM209" s="750"/>
      <c r="AN209" s="750"/>
      <c r="AO209" s="750"/>
      <c r="AP209" s="750"/>
      <c r="AQ209" s="750"/>
      <c r="AR209" s="750"/>
      <c r="AS209" s="750"/>
      <c r="AT209" s="750"/>
      <c r="AU209" s="750"/>
      <c r="AV209" s="750"/>
      <c r="AW209" s="750"/>
      <c r="AX209" s="750"/>
      <c r="AY209" s="750"/>
      <c r="AZ209" s="750"/>
      <c r="BA209" s="750"/>
      <c r="BB209" s="749"/>
      <c r="BC209" s="749"/>
      <c r="BD209" s="749"/>
      <c r="BE209" s="749"/>
    </row>
    <row r="210" s="750" customFormat="1" customHeight="1" spans="1:57">
      <c r="A210" s="749"/>
      <c r="B210" s="750"/>
      <c r="C210" s="750"/>
      <c r="D210" s="750"/>
      <c r="E210" s="750"/>
      <c r="F210" s="750"/>
      <c r="G210" s="750"/>
      <c r="H210" s="750"/>
      <c r="I210" s="750"/>
      <c r="J210" s="750"/>
      <c r="K210" s="750"/>
      <c r="L210" s="750"/>
      <c r="M210" s="750"/>
      <c r="N210" s="750"/>
      <c r="O210" s="750"/>
      <c r="P210" s="750"/>
      <c r="Q210" s="750"/>
      <c r="R210" s="750"/>
      <c r="S210" s="750"/>
      <c r="T210" s="750"/>
      <c r="U210" s="750"/>
      <c r="V210" s="750"/>
      <c r="W210" s="750"/>
      <c r="X210" s="750"/>
      <c r="Y210" s="750"/>
      <c r="Z210" s="750"/>
      <c r="AA210" s="750"/>
      <c r="AB210" s="750"/>
      <c r="AC210" s="750"/>
      <c r="AD210" s="749"/>
      <c r="AE210" s="750"/>
      <c r="AF210" s="750"/>
      <c r="AG210" s="750"/>
      <c r="AH210" s="750"/>
      <c r="AI210" s="750"/>
      <c r="AJ210" s="750"/>
      <c r="AK210" s="750"/>
      <c r="AL210" s="750"/>
      <c r="AM210" s="750"/>
      <c r="AN210" s="750"/>
      <c r="AO210" s="750"/>
      <c r="AP210" s="750"/>
      <c r="AQ210" s="750"/>
      <c r="AR210" s="750"/>
      <c r="AS210" s="750"/>
      <c r="AT210" s="750"/>
      <c r="AU210" s="750"/>
      <c r="AV210" s="750"/>
      <c r="AW210" s="750"/>
      <c r="AX210" s="750"/>
      <c r="AY210" s="750"/>
      <c r="AZ210" s="750"/>
      <c r="BA210" s="750"/>
      <c r="BB210" s="749"/>
      <c r="BC210" s="749"/>
      <c r="BD210" s="749"/>
      <c r="BE210" s="749"/>
    </row>
    <row r="211" s="750" customFormat="1" customHeight="1" spans="1:57">
      <c r="A211" s="749"/>
      <c r="B211" s="750"/>
      <c r="C211" s="750"/>
      <c r="D211" s="750"/>
      <c r="E211" s="750"/>
      <c r="F211" s="750"/>
      <c r="G211" s="750"/>
      <c r="H211" s="750"/>
      <c r="I211" s="750"/>
      <c r="J211" s="750"/>
      <c r="K211" s="750"/>
      <c r="L211" s="750"/>
      <c r="M211" s="750"/>
      <c r="N211" s="750"/>
      <c r="O211" s="750"/>
      <c r="P211" s="750"/>
      <c r="Q211" s="750"/>
      <c r="R211" s="750"/>
      <c r="S211" s="750"/>
      <c r="T211" s="750"/>
      <c r="U211" s="750"/>
      <c r="V211" s="750"/>
      <c r="W211" s="750"/>
      <c r="X211" s="750"/>
      <c r="Y211" s="750"/>
      <c r="Z211" s="750"/>
      <c r="AA211" s="750"/>
      <c r="AB211" s="750"/>
      <c r="AC211" s="750"/>
      <c r="AD211" s="749"/>
      <c r="AE211" s="750"/>
      <c r="AF211" s="750"/>
      <c r="AG211" s="750"/>
      <c r="AH211" s="750"/>
      <c r="AI211" s="750"/>
      <c r="AJ211" s="750"/>
      <c r="AK211" s="750"/>
      <c r="AL211" s="750"/>
      <c r="AM211" s="750"/>
      <c r="AN211" s="750"/>
      <c r="AO211" s="750"/>
      <c r="AP211" s="750"/>
      <c r="AQ211" s="750"/>
      <c r="AR211" s="750"/>
      <c r="AS211" s="750"/>
      <c r="AT211" s="750"/>
      <c r="AU211" s="750"/>
      <c r="AV211" s="750"/>
      <c r="AW211" s="750"/>
      <c r="AX211" s="750"/>
      <c r="AY211" s="750"/>
      <c r="AZ211" s="750"/>
      <c r="BA211" s="750"/>
      <c r="BB211" s="749"/>
      <c r="BC211" s="749"/>
      <c r="BD211" s="749"/>
      <c r="BE211" s="749"/>
    </row>
    <row r="212" s="750" customFormat="1" customHeight="1" spans="1:57">
      <c r="A212" s="749"/>
      <c r="B212" s="750"/>
      <c r="C212" s="750"/>
      <c r="D212" s="750"/>
      <c r="E212" s="750"/>
      <c r="F212" s="750"/>
      <c r="G212" s="750"/>
      <c r="H212" s="750"/>
      <c r="I212" s="750"/>
      <c r="J212" s="750"/>
      <c r="K212" s="750"/>
      <c r="L212" s="750"/>
      <c r="M212" s="750"/>
      <c r="N212" s="750"/>
      <c r="O212" s="750"/>
      <c r="P212" s="750"/>
      <c r="Q212" s="750"/>
      <c r="R212" s="750"/>
      <c r="S212" s="750"/>
      <c r="T212" s="750"/>
      <c r="U212" s="750"/>
      <c r="V212" s="750"/>
      <c r="W212" s="750"/>
      <c r="X212" s="750"/>
      <c r="Y212" s="750"/>
      <c r="Z212" s="750"/>
      <c r="AA212" s="750"/>
      <c r="AB212" s="750"/>
      <c r="AC212" s="750"/>
      <c r="AD212" s="749"/>
      <c r="AE212" s="750"/>
      <c r="AF212" s="750"/>
      <c r="AG212" s="750"/>
      <c r="AH212" s="750"/>
      <c r="AI212" s="750"/>
      <c r="AJ212" s="750"/>
      <c r="AK212" s="750"/>
      <c r="AL212" s="750"/>
      <c r="AM212" s="750"/>
      <c r="AN212" s="750"/>
      <c r="AO212" s="750"/>
      <c r="AP212" s="750"/>
      <c r="AQ212" s="750"/>
      <c r="AR212" s="750"/>
      <c r="AS212" s="750"/>
      <c r="AT212" s="750"/>
      <c r="AU212" s="750"/>
      <c r="AV212" s="750"/>
      <c r="AW212" s="750"/>
      <c r="AX212" s="750"/>
      <c r="AY212" s="750"/>
      <c r="AZ212" s="750"/>
      <c r="BA212" s="750"/>
      <c r="BB212" s="749"/>
      <c r="BC212" s="749"/>
      <c r="BD212" s="749"/>
      <c r="BE212" s="749"/>
    </row>
    <row r="213" s="750" customFormat="1" customHeight="1" spans="1:57">
      <c r="A213" s="749"/>
      <c r="B213" s="750"/>
      <c r="C213" s="750"/>
      <c r="D213" s="750"/>
      <c r="E213" s="750"/>
      <c r="F213" s="750"/>
      <c r="G213" s="750"/>
      <c r="H213" s="750"/>
      <c r="I213" s="750"/>
      <c r="J213" s="750"/>
      <c r="K213" s="750"/>
      <c r="L213" s="750"/>
      <c r="M213" s="750"/>
      <c r="N213" s="750"/>
      <c r="O213" s="750"/>
      <c r="P213" s="750"/>
      <c r="Q213" s="750"/>
      <c r="R213" s="750"/>
      <c r="S213" s="750"/>
      <c r="T213" s="750"/>
      <c r="U213" s="750"/>
      <c r="V213" s="750"/>
      <c r="W213" s="750"/>
      <c r="X213" s="750"/>
      <c r="Y213" s="750"/>
      <c r="Z213" s="750"/>
      <c r="AA213" s="750"/>
      <c r="AB213" s="750"/>
      <c r="AC213" s="750"/>
      <c r="AD213" s="749"/>
      <c r="AE213" s="750"/>
      <c r="AF213" s="750"/>
      <c r="AG213" s="750"/>
      <c r="AH213" s="750"/>
      <c r="AI213" s="750"/>
      <c r="AJ213" s="750"/>
      <c r="AK213" s="750"/>
      <c r="AL213" s="750"/>
      <c r="AM213" s="750"/>
      <c r="AN213" s="750"/>
      <c r="AO213" s="750"/>
      <c r="AP213" s="750"/>
      <c r="AQ213" s="750"/>
      <c r="AR213" s="750"/>
      <c r="AS213" s="750"/>
      <c r="AT213" s="750"/>
      <c r="AU213" s="750"/>
      <c r="AV213" s="750"/>
      <c r="AW213" s="750"/>
      <c r="AX213" s="750"/>
      <c r="AY213" s="750"/>
      <c r="AZ213" s="750"/>
      <c r="BA213" s="750"/>
      <c r="BB213" s="749"/>
      <c r="BC213" s="749"/>
      <c r="BD213" s="749"/>
      <c r="BE213" s="749"/>
    </row>
    <row r="214" s="750" customFormat="1" customHeight="1" spans="1:57">
      <c r="A214" s="749"/>
      <c r="B214" s="750"/>
      <c r="C214" s="750"/>
      <c r="D214" s="750"/>
      <c r="E214" s="750"/>
      <c r="F214" s="750"/>
      <c r="G214" s="750"/>
      <c r="H214" s="750"/>
      <c r="I214" s="750"/>
      <c r="J214" s="750"/>
      <c r="K214" s="750"/>
      <c r="L214" s="750"/>
      <c r="M214" s="750"/>
      <c r="N214" s="750"/>
      <c r="O214" s="750"/>
      <c r="P214" s="750"/>
      <c r="Q214" s="750"/>
      <c r="R214" s="750"/>
      <c r="S214" s="750"/>
      <c r="T214" s="750"/>
      <c r="U214" s="750"/>
      <c r="V214" s="750"/>
      <c r="W214" s="750"/>
      <c r="X214" s="750"/>
      <c r="Y214" s="750"/>
      <c r="Z214" s="750"/>
      <c r="AA214" s="750"/>
      <c r="AB214" s="750"/>
      <c r="AC214" s="750"/>
      <c r="AD214" s="749"/>
      <c r="AE214" s="750"/>
      <c r="AF214" s="750"/>
      <c r="AG214" s="750"/>
      <c r="AH214" s="750"/>
      <c r="AI214" s="750"/>
      <c r="AJ214" s="750"/>
      <c r="AK214" s="750"/>
      <c r="AL214" s="750"/>
      <c r="AM214" s="750"/>
      <c r="AN214" s="750"/>
      <c r="AO214" s="750"/>
      <c r="AP214" s="750"/>
      <c r="AQ214" s="750"/>
      <c r="AR214" s="750"/>
      <c r="AS214" s="750"/>
      <c r="AT214" s="750"/>
      <c r="AU214" s="750"/>
      <c r="AV214" s="750"/>
      <c r="AW214" s="750"/>
      <c r="AX214" s="750"/>
      <c r="AY214" s="750"/>
      <c r="AZ214" s="750"/>
      <c r="BA214" s="750"/>
      <c r="BB214" s="749"/>
      <c r="BC214" s="749"/>
      <c r="BD214" s="749"/>
      <c r="BE214" s="749"/>
    </row>
    <row r="215" s="750" customFormat="1" customHeight="1" spans="1:57">
      <c r="A215" s="749"/>
      <c r="B215" s="750"/>
      <c r="C215" s="750"/>
      <c r="D215" s="750"/>
      <c r="E215" s="750"/>
      <c r="F215" s="750"/>
      <c r="G215" s="750"/>
      <c r="H215" s="750"/>
      <c r="I215" s="750"/>
      <c r="J215" s="750"/>
      <c r="K215" s="750"/>
      <c r="L215" s="750"/>
      <c r="M215" s="750"/>
      <c r="N215" s="750"/>
      <c r="O215" s="750"/>
      <c r="P215" s="750"/>
      <c r="Q215" s="750"/>
      <c r="R215" s="750"/>
      <c r="S215" s="750"/>
      <c r="T215" s="750"/>
      <c r="U215" s="750"/>
      <c r="V215" s="750"/>
      <c r="W215" s="750"/>
      <c r="X215" s="750"/>
      <c r="Y215" s="750"/>
      <c r="Z215" s="750"/>
      <c r="AA215" s="750"/>
      <c r="AB215" s="750"/>
      <c r="AC215" s="750"/>
      <c r="AD215" s="749"/>
      <c r="AE215" s="750"/>
      <c r="AF215" s="750"/>
      <c r="AG215" s="750"/>
      <c r="AH215" s="750"/>
      <c r="AI215" s="750"/>
      <c r="AJ215" s="750"/>
      <c r="AK215" s="750"/>
      <c r="AL215" s="750"/>
      <c r="AM215" s="750"/>
      <c r="AN215" s="750"/>
      <c r="AO215" s="750"/>
      <c r="AP215" s="750"/>
      <c r="AQ215" s="750"/>
      <c r="AR215" s="750"/>
      <c r="AS215" s="750"/>
      <c r="AT215" s="750"/>
      <c r="AU215" s="750"/>
      <c r="AV215" s="750"/>
      <c r="AW215" s="750"/>
      <c r="AX215" s="750"/>
      <c r="AY215" s="750"/>
      <c r="AZ215" s="750"/>
      <c r="BA215" s="750"/>
      <c r="BB215" s="749"/>
      <c r="BC215" s="749"/>
      <c r="BD215" s="749"/>
      <c r="BE215" s="749"/>
    </row>
    <row r="216" s="750" customFormat="1" customHeight="1" spans="1:57">
      <c r="A216" s="749"/>
      <c r="B216" s="750"/>
      <c r="C216" s="750"/>
      <c r="D216" s="750"/>
      <c r="E216" s="750"/>
      <c r="F216" s="750"/>
      <c r="G216" s="750"/>
      <c r="H216" s="750"/>
      <c r="I216" s="750"/>
      <c r="J216" s="750"/>
      <c r="K216" s="750"/>
      <c r="L216" s="750"/>
      <c r="M216" s="750"/>
      <c r="N216" s="750"/>
      <c r="O216" s="750"/>
      <c r="P216" s="750"/>
      <c r="Q216" s="750"/>
      <c r="R216" s="750"/>
      <c r="S216" s="750"/>
      <c r="T216" s="750"/>
      <c r="U216" s="750"/>
      <c r="V216" s="750"/>
      <c r="W216" s="750"/>
      <c r="X216" s="750"/>
      <c r="Y216" s="750"/>
      <c r="Z216" s="750"/>
      <c r="AA216" s="750"/>
      <c r="AB216" s="750"/>
      <c r="AC216" s="750"/>
      <c r="AD216" s="749"/>
      <c r="AE216" s="750"/>
      <c r="AF216" s="750"/>
      <c r="AG216" s="750"/>
      <c r="AH216" s="750"/>
      <c r="AI216" s="750"/>
      <c r="AJ216" s="750"/>
      <c r="AK216" s="750"/>
      <c r="AL216" s="750"/>
      <c r="AM216" s="750"/>
      <c r="AN216" s="750"/>
      <c r="AO216" s="750"/>
      <c r="AP216" s="750"/>
      <c r="AQ216" s="750"/>
      <c r="AR216" s="750"/>
      <c r="AS216" s="750"/>
      <c r="AT216" s="750"/>
      <c r="AU216" s="750"/>
      <c r="AV216" s="750"/>
      <c r="AW216" s="750"/>
      <c r="AX216" s="750"/>
      <c r="AY216" s="750"/>
      <c r="AZ216" s="750"/>
      <c r="BA216" s="750"/>
      <c r="BB216" s="749"/>
      <c r="BC216" s="749"/>
      <c r="BD216" s="749"/>
      <c r="BE216" s="749"/>
    </row>
    <row r="217" s="750" customFormat="1" customHeight="1" spans="1:57">
      <c r="A217" s="749"/>
      <c r="B217" s="750"/>
      <c r="C217" s="750"/>
      <c r="D217" s="750"/>
      <c r="E217" s="750"/>
      <c r="F217" s="750"/>
      <c r="G217" s="750"/>
      <c r="H217" s="750"/>
      <c r="I217" s="750"/>
      <c r="J217" s="750"/>
      <c r="K217" s="750"/>
      <c r="L217" s="750"/>
      <c r="M217" s="750"/>
      <c r="N217" s="750"/>
      <c r="O217" s="750"/>
      <c r="P217" s="750"/>
      <c r="Q217" s="750"/>
      <c r="R217" s="750"/>
      <c r="S217" s="750"/>
      <c r="T217" s="750"/>
      <c r="U217" s="750"/>
      <c r="V217" s="750"/>
      <c r="W217" s="750"/>
      <c r="X217" s="750"/>
      <c r="Y217" s="750"/>
      <c r="Z217" s="750"/>
      <c r="AA217" s="750"/>
      <c r="AB217" s="750"/>
      <c r="AC217" s="750"/>
      <c r="AD217" s="749"/>
      <c r="AE217" s="750"/>
      <c r="AF217" s="750"/>
      <c r="AG217" s="750"/>
      <c r="AH217" s="750"/>
      <c r="AI217" s="750"/>
      <c r="AJ217" s="750"/>
      <c r="AK217" s="750"/>
      <c r="AL217" s="750"/>
      <c r="AM217" s="750"/>
      <c r="AN217" s="750"/>
      <c r="AO217" s="750"/>
      <c r="AP217" s="750"/>
      <c r="AQ217" s="750"/>
      <c r="AR217" s="750"/>
      <c r="AS217" s="750"/>
      <c r="AT217" s="750"/>
      <c r="AU217" s="750"/>
      <c r="AV217" s="750"/>
      <c r="AW217" s="750"/>
      <c r="AX217" s="750"/>
      <c r="AY217" s="750"/>
      <c r="AZ217" s="750"/>
      <c r="BA217" s="750"/>
      <c r="BB217" s="749"/>
      <c r="BC217" s="749"/>
      <c r="BD217" s="749"/>
      <c r="BE217" s="749"/>
    </row>
    <row r="218" s="750" customFormat="1" customHeight="1" spans="1:57">
      <c r="A218" s="749"/>
      <c r="B218" s="750"/>
      <c r="C218" s="750"/>
      <c r="D218" s="750"/>
      <c r="E218" s="750"/>
      <c r="F218" s="750"/>
      <c r="G218" s="750"/>
      <c r="H218" s="750"/>
      <c r="I218" s="750"/>
      <c r="J218" s="750"/>
      <c r="K218" s="750"/>
      <c r="L218" s="750"/>
      <c r="M218" s="750"/>
      <c r="N218" s="750"/>
      <c r="O218" s="750"/>
      <c r="P218" s="750"/>
      <c r="Q218" s="750"/>
      <c r="R218" s="750"/>
      <c r="S218" s="750"/>
      <c r="T218" s="750"/>
      <c r="U218" s="750"/>
      <c r="V218" s="750"/>
      <c r="W218" s="750"/>
      <c r="X218" s="750"/>
      <c r="Y218" s="750"/>
      <c r="Z218" s="750"/>
      <c r="AA218" s="750"/>
      <c r="AB218" s="750"/>
      <c r="AC218" s="750"/>
      <c r="AD218" s="749"/>
      <c r="AE218" s="750"/>
      <c r="AF218" s="750"/>
      <c r="AG218" s="750"/>
      <c r="AH218" s="750"/>
      <c r="AI218" s="750"/>
      <c r="AJ218" s="750"/>
      <c r="AK218" s="750"/>
      <c r="AL218" s="750"/>
      <c r="AM218" s="750"/>
      <c r="AN218" s="750"/>
      <c r="AO218" s="750"/>
      <c r="AP218" s="750"/>
      <c r="AQ218" s="750"/>
      <c r="AR218" s="750"/>
      <c r="AS218" s="750"/>
      <c r="AT218" s="750"/>
      <c r="AU218" s="750"/>
      <c r="AV218" s="750"/>
      <c r="AW218" s="750"/>
      <c r="AX218" s="750"/>
      <c r="AY218" s="750"/>
      <c r="AZ218" s="750"/>
      <c r="BA218" s="750"/>
      <c r="BB218" s="749"/>
      <c r="BC218" s="749"/>
      <c r="BD218" s="749"/>
      <c r="BE218" s="749"/>
    </row>
    <row r="219" s="750" customFormat="1" customHeight="1" spans="1:57">
      <c r="A219" s="749"/>
      <c r="B219" s="750"/>
      <c r="C219" s="750"/>
      <c r="D219" s="750"/>
      <c r="E219" s="750"/>
      <c r="F219" s="750"/>
      <c r="G219" s="750"/>
      <c r="H219" s="750"/>
      <c r="I219" s="750"/>
      <c r="J219" s="750"/>
      <c r="K219" s="750"/>
      <c r="L219" s="750"/>
      <c r="M219" s="750"/>
      <c r="N219" s="750"/>
      <c r="O219" s="750"/>
      <c r="P219" s="750"/>
      <c r="Q219" s="750"/>
      <c r="R219" s="750"/>
      <c r="S219" s="750"/>
      <c r="T219" s="750"/>
      <c r="U219" s="750"/>
      <c r="V219" s="750"/>
      <c r="W219" s="750"/>
      <c r="X219" s="750"/>
      <c r="Y219" s="750"/>
      <c r="Z219" s="750"/>
      <c r="AA219" s="750"/>
      <c r="AB219" s="750"/>
      <c r="AC219" s="750"/>
      <c r="AD219" s="749"/>
      <c r="AE219" s="750"/>
      <c r="AF219" s="750"/>
      <c r="AG219" s="750"/>
      <c r="AH219" s="750"/>
      <c r="AI219" s="750"/>
      <c r="AJ219" s="750"/>
      <c r="AK219" s="750"/>
      <c r="AL219" s="750"/>
      <c r="AM219" s="750"/>
      <c r="AN219" s="750"/>
      <c r="AO219" s="750"/>
      <c r="AP219" s="750"/>
      <c r="AQ219" s="750"/>
      <c r="AR219" s="750"/>
      <c r="AS219" s="750"/>
      <c r="AT219" s="750"/>
      <c r="AU219" s="750"/>
      <c r="AV219" s="750"/>
      <c r="AW219" s="750"/>
      <c r="AX219" s="750"/>
      <c r="AY219" s="750"/>
      <c r="AZ219" s="750"/>
      <c r="BA219" s="750"/>
      <c r="BB219" s="749"/>
      <c r="BC219" s="749"/>
      <c r="BD219" s="749"/>
      <c r="BE219" s="749"/>
    </row>
    <row r="220" s="750" customFormat="1" customHeight="1" spans="1:57">
      <c r="A220" s="749"/>
      <c r="B220" s="750"/>
      <c r="C220" s="750"/>
      <c r="D220" s="750"/>
      <c r="E220" s="750"/>
      <c r="F220" s="750"/>
      <c r="G220" s="750"/>
      <c r="H220" s="750"/>
      <c r="I220" s="750"/>
      <c r="J220" s="750"/>
      <c r="K220" s="750"/>
      <c r="L220" s="750"/>
      <c r="M220" s="750"/>
      <c r="N220" s="750"/>
      <c r="O220" s="750"/>
      <c r="P220" s="750"/>
      <c r="Q220" s="750"/>
      <c r="R220" s="750"/>
      <c r="S220" s="750"/>
      <c r="T220" s="750"/>
      <c r="U220" s="750"/>
      <c r="V220" s="750"/>
      <c r="W220" s="750"/>
      <c r="X220" s="750"/>
      <c r="Y220" s="750"/>
      <c r="Z220" s="750"/>
      <c r="AA220" s="750"/>
      <c r="AB220" s="750"/>
      <c r="AC220" s="750"/>
      <c r="AD220" s="749"/>
      <c r="AE220" s="750"/>
      <c r="AF220" s="750"/>
      <c r="AG220" s="750"/>
      <c r="AH220" s="750"/>
      <c r="AI220" s="750"/>
      <c r="AJ220" s="750"/>
      <c r="AK220" s="750"/>
      <c r="AL220" s="750"/>
      <c r="AM220" s="750"/>
      <c r="AN220" s="750"/>
      <c r="AO220" s="750"/>
      <c r="AP220" s="750"/>
      <c r="AQ220" s="750"/>
      <c r="AR220" s="750"/>
      <c r="AS220" s="750"/>
      <c r="AT220" s="750"/>
      <c r="AU220" s="750"/>
      <c r="AV220" s="750"/>
      <c r="AW220" s="750"/>
      <c r="AX220" s="750"/>
      <c r="AY220" s="750"/>
      <c r="AZ220" s="750"/>
      <c r="BA220" s="750"/>
      <c r="BB220" s="749"/>
      <c r="BC220" s="749"/>
      <c r="BD220" s="749"/>
      <c r="BE220" s="749"/>
    </row>
    <row r="221" s="750" customFormat="1" customHeight="1" spans="1:57">
      <c r="A221" s="749"/>
      <c r="B221" s="750"/>
      <c r="C221" s="750"/>
      <c r="D221" s="750"/>
      <c r="E221" s="750"/>
      <c r="F221" s="750"/>
      <c r="G221" s="750"/>
      <c r="H221" s="750"/>
      <c r="I221" s="750"/>
      <c r="J221" s="750"/>
      <c r="K221" s="750"/>
      <c r="L221" s="750"/>
      <c r="M221" s="750"/>
      <c r="N221" s="750"/>
      <c r="O221" s="750"/>
      <c r="P221" s="750"/>
      <c r="Q221" s="750"/>
      <c r="R221" s="750"/>
      <c r="S221" s="750"/>
      <c r="T221" s="750"/>
      <c r="U221" s="750"/>
      <c r="V221" s="750"/>
      <c r="W221" s="750"/>
      <c r="X221" s="750"/>
      <c r="Y221" s="750"/>
      <c r="Z221" s="750"/>
      <c r="AA221" s="750"/>
      <c r="AB221" s="750"/>
      <c r="AC221" s="750"/>
      <c r="AD221" s="749"/>
      <c r="AE221" s="750"/>
      <c r="AF221" s="750"/>
      <c r="AG221" s="750"/>
      <c r="AH221" s="750"/>
      <c r="AI221" s="750"/>
      <c r="AJ221" s="750"/>
      <c r="AK221" s="750"/>
      <c r="AL221" s="750"/>
      <c r="AM221" s="750"/>
      <c r="AN221" s="750"/>
      <c r="AO221" s="750"/>
      <c r="AP221" s="750"/>
      <c r="AQ221" s="750"/>
      <c r="AR221" s="750"/>
      <c r="AS221" s="750"/>
      <c r="AT221" s="750"/>
      <c r="AU221" s="750"/>
      <c r="AV221" s="750"/>
      <c r="AW221" s="750"/>
      <c r="AX221" s="750"/>
      <c r="AY221" s="750"/>
      <c r="AZ221" s="750"/>
      <c r="BA221" s="750"/>
      <c r="BB221" s="749"/>
      <c r="BC221" s="749"/>
      <c r="BD221" s="749"/>
      <c r="BE221" s="749"/>
    </row>
    <row r="222" s="750" customFormat="1" customHeight="1" spans="1:57">
      <c r="A222" s="749"/>
      <c r="B222" s="750"/>
      <c r="C222" s="750"/>
      <c r="D222" s="750"/>
      <c r="E222" s="750"/>
      <c r="F222" s="750"/>
      <c r="G222" s="750"/>
      <c r="H222" s="750"/>
      <c r="I222" s="750"/>
      <c r="J222" s="750"/>
      <c r="K222" s="750"/>
      <c r="L222" s="750"/>
      <c r="M222" s="750"/>
      <c r="N222" s="750"/>
      <c r="O222" s="750"/>
      <c r="P222" s="750"/>
      <c r="Q222" s="750"/>
      <c r="R222" s="750"/>
      <c r="S222" s="750"/>
      <c r="T222" s="750"/>
      <c r="U222" s="750"/>
      <c r="V222" s="750"/>
      <c r="W222" s="750"/>
      <c r="X222" s="750"/>
      <c r="Y222" s="750"/>
      <c r="Z222" s="750"/>
      <c r="AA222" s="750"/>
      <c r="AB222" s="750"/>
      <c r="AC222" s="750"/>
      <c r="AD222" s="749"/>
      <c r="AE222" s="750"/>
      <c r="AF222" s="750"/>
      <c r="AG222" s="750"/>
      <c r="AH222" s="750"/>
      <c r="AI222" s="750"/>
      <c r="AJ222" s="750"/>
      <c r="AK222" s="750"/>
      <c r="AL222" s="750"/>
      <c r="AM222" s="750"/>
      <c r="AN222" s="750"/>
      <c r="AO222" s="750"/>
      <c r="AP222" s="750"/>
      <c r="AQ222" s="750"/>
      <c r="AR222" s="750"/>
      <c r="AS222" s="750"/>
      <c r="AT222" s="750"/>
      <c r="AU222" s="750"/>
      <c r="AV222" s="750"/>
      <c r="AW222" s="750"/>
      <c r="AX222" s="750"/>
      <c r="AY222" s="750"/>
      <c r="AZ222" s="750"/>
      <c r="BA222" s="750"/>
      <c r="BB222" s="749"/>
      <c r="BC222" s="749"/>
      <c r="BD222" s="749"/>
      <c r="BE222" s="749"/>
    </row>
    <row r="223" s="750" customFormat="1" customHeight="1" spans="1:57">
      <c r="A223" s="749"/>
      <c r="B223" s="750"/>
      <c r="C223" s="750"/>
      <c r="D223" s="750"/>
      <c r="E223" s="750"/>
      <c r="F223" s="750"/>
      <c r="G223" s="750"/>
      <c r="H223" s="750"/>
      <c r="I223" s="750"/>
      <c r="J223" s="750"/>
      <c r="K223" s="750"/>
      <c r="L223" s="750"/>
      <c r="M223" s="750"/>
      <c r="N223" s="750"/>
      <c r="O223" s="750"/>
      <c r="P223" s="750"/>
      <c r="Q223" s="750"/>
      <c r="R223" s="750"/>
      <c r="S223" s="750"/>
      <c r="T223" s="750"/>
      <c r="U223" s="750"/>
      <c r="V223" s="750"/>
      <c r="W223" s="750"/>
      <c r="X223" s="750"/>
      <c r="Y223" s="750"/>
      <c r="Z223" s="750"/>
      <c r="AA223" s="750"/>
      <c r="AB223" s="750"/>
      <c r="AC223" s="750"/>
      <c r="AD223" s="749"/>
      <c r="AE223" s="750"/>
      <c r="AF223" s="750"/>
      <c r="AG223" s="750"/>
      <c r="AH223" s="750"/>
      <c r="AI223" s="750"/>
      <c r="AJ223" s="750"/>
      <c r="AK223" s="750"/>
      <c r="AL223" s="750"/>
      <c r="AM223" s="750"/>
      <c r="AN223" s="750"/>
      <c r="AO223" s="750"/>
      <c r="AP223" s="750"/>
      <c r="AQ223" s="750"/>
      <c r="AR223" s="750"/>
      <c r="AS223" s="750"/>
      <c r="AT223" s="750"/>
      <c r="AU223" s="750"/>
      <c r="AV223" s="750"/>
      <c r="AW223" s="750"/>
      <c r="AX223" s="750"/>
      <c r="AY223" s="750"/>
      <c r="AZ223" s="750"/>
      <c r="BA223" s="750"/>
      <c r="BB223" s="749"/>
      <c r="BC223" s="749"/>
      <c r="BD223" s="749"/>
      <c r="BE223" s="749"/>
    </row>
    <row r="224" s="750" customFormat="1" customHeight="1" spans="1:57">
      <c r="A224" s="749"/>
      <c r="B224" s="750"/>
      <c r="C224" s="750"/>
      <c r="D224" s="750"/>
      <c r="E224" s="750"/>
      <c r="F224" s="750"/>
      <c r="G224" s="750"/>
      <c r="H224" s="750"/>
      <c r="I224" s="750"/>
      <c r="J224" s="750"/>
      <c r="K224" s="750"/>
      <c r="L224" s="750"/>
      <c r="M224" s="750"/>
      <c r="N224" s="750"/>
      <c r="O224" s="750"/>
      <c r="P224" s="750"/>
      <c r="Q224" s="750"/>
      <c r="R224" s="750"/>
      <c r="S224" s="750"/>
      <c r="T224" s="750"/>
      <c r="U224" s="750"/>
      <c r="V224" s="750"/>
      <c r="W224" s="750"/>
      <c r="X224" s="750"/>
      <c r="Y224" s="750"/>
      <c r="Z224" s="750"/>
      <c r="AA224" s="750"/>
      <c r="AB224" s="750"/>
      <c r="AC224" s="750"/>
      <c r="AD224" s="749"/>
      <c r="AE224" s="750"/>
      <c r="AF224" s="750"/>
      <c r="AG224" s="750"/>
      <c r="AH224" s="750"/>
      <c r="AI224" s="750"/>
      <c r="AJ224" s="750"/>
      <c r="AK224" s="750"/>
      <c r="AL224" s="750"/>
      <c r="AM224" s="750"/>
      <c r="AN224" s="750"/>
      <c r="AO224" s="750"/>
      <c r="AP224" s="750"/>
      <c r="AQ224" s="750"/>
      <c r="AR224" s="750"/>
      <c r="AS224" s="750"/>
      <c r="AT224" s="750"/>
      <c r="AU224" s="750"/>
      <c r="AV224" s="750"/>
      <c r="AW224" s="750"/>
      <c r="AX224" s="750"/>
      <c r="AY224" s="750"/>
      <c r="AZ224" s="750"/>
      <c r="BA224" s="750"/>
      <c r="BB224" s="749"/>
      <c r="BC224" s="749"/>
      <c r="BD224" s="749"/>
      <c r="BE224" s="749"/>
    </row>
    <row r="225" s="750" customFormat="1" customHeight="1" spans="1:57">
      <c r="A225" s="749"/>
      <c r="B225" s="750"/>
      <c r="C225" s="750"/>
      <c r="D225" s="750"/>
      <c r="E225" s="750"/>
      <c r="F225" s="750"/>
      <c r="G225" s="750"/>
      <c r="H225" s="750"/>
      <c r="I225" s="750"/>
      <c r="J225" s="750"/>
      <c r="K225" s="750"/>
      <c r="L225" s="750"/>
      <c r="M225" s="750"/>
      <c r="N225" s="750"/>
      <c r="O225" s="750"/>
      <c r="P225" s="750"/>
      <c r="Q225" s="750"/>
      <c r="R225" s="750"/>
      <c r="S225" s="750"/>
      <c r="T225" s="750"/>
      <c r="U225" s="750"/>
      <c r="V225" s="750"/>
      <c r="W225" s="750"/>
      <c r="X225" s="750"/>
      <c r="Y225" s="750"/>
      <c r="Z225" s="750"/>
      <c r="AA225" s="750"/>
      <c r="AB225" s="750"/>
      <c r="AC225" s="750"/>
      <c r="AD225" s="749"/>
      <c r="AE225" s="750"/>
      <c r="AF225" s="750"/>
      <c r="AG225" s="750"/>
      <c r="AH225" s="750"/>
      <c r="AI225" s="750"/>
      <c r="AJ225" s="750"/>
      <c r="AK225" s="750"/>
      <c r="AL225" s="750"/>
      <c r="AM225" s="750"/>
      <c r="AN225" s="750"/>
      <c r="AO225" s="750"/>
      <c r="AP225" s="750"/>
      <c r="AQ225" s="750"/>
      <c r="AR225" s="750"/>
      <c r="AS225" s="750"/>
      <c r="AT225" s="750"/>
      <c r="AU225" s="750"/>
      <c r="AV225" s="750"/>
      <c r="AW225" s="750"/>
      <c r="AX225" s="750"/>
      <c r="AY225" s="750"/>
      <c r="AZ225" s="750"/>
      <c r="BA225" s="750"/>
      <c r="BB225" s="749"/>
      <c r="BC225" s="749"/>
      <c r="BD225" s="749"/>
      <c r="BE225" s="749"/>
    </row>
    <row r="226" s="750" customFormat="1" customHeight="1" spans="1:57">
      <c r="A226" s="749"/>
      <c r="B226" s="750"/>
      <c r="C226" s="750"/>
      <c r="D226" s="750"/>
      <c r="E226" s="750"/>
      <c r="F226" s="750"/>
      <c r="G226" s="750"/>
      <c r="H226" s="750"/>
      <c r="I226" s="750"/>
      <c r="J226" s="750"/>
      <c r="K226" s="750"/>
      <c r="L226" s="750"/>
      <c r="M226" s="750"/>
      <c r="N226" s="750"/>
      <c r="O226" s="750"/>
      <c r="P226" s="750"/>
      <c r="Q226" s="750"/>
      <c r="R226" s="750"/>
      <c r="S226" s="750"/>
      <c r="T226" s="750"/>
      <c r="U226" s="750"/>
      <c r="V226" s="750"/>
      <c r="W226" s="750"/>
      <c r="X226" s="750"/>
      <c r="Y226" s="750"/>
      <c r="Z226" s="750"/>
      <c r="AA226" s="750"/>
      <c r="AB226" s="750"/>
      <c r="AC226" s="750"/>
      <c r="AD226" s="749"/>
      <c r="AE226" s="750"/>
      <c r="AF226" s="750"/>
      <c r="AG226" s="750"/>
      <c r="AH226" s="750"/>
      <c r="AI226" s="750"/>
      <c r="AJ226" s="750"/>
      <c r="AK226" s="750"/>
      <c r="AL226" s="750"/>
      <c r="AM226" s="750"/>
      <c r="AN226" s="750"/>
      <c r="AO226" s="750"/>
      <c r="AP226" s="750"/>
      <c r="AQ226" s="750"/>
      <c r="AR226" s="750"/>
      <c r="AS226" s="750"/>
      <c r="AT226" s="750"/>
      <c r="AU226" s="750"/>
      <c r="AV226" s="750"/>
      <c r="AW226" s="750"/>
      <c r="AX226" s="750"/>
      <c r="AY226" s="750"/>
      <c r="AZ226" s="750"/>
      <c r="BA226" s="750"/>
      <c r="BB226" s="749"/>
      <c r="BC226" s="749"/>
      <c r="BD226" s="749"/>
      <c r="BE226" s="749"/>
    </row>
    <row r="227" s="750" customFormat="1" customHeight="1" spans="1:57">
      <c r="A227" s="749"/>
      <c r="B227" s="750"/>
      <c r="C227" s="750"/>
      <c r="D227" s="750"/>
      <c r="E227" s="750"/>
      <c r="F227" s="750"/>
      <c r="G227" s="750"/>
      <c r="H227" s="750"/>
      <c r="I227" s="750"/>
      <c r="J227" s="750"/>
      <c r="K227" s="750"/>
      <c r="L227" s="750"/>
      <c r="M227" s="750"/>
      <c r="N227" s="750"/>
      <c r="O227" s="750"/>
      <c r="P227" s="750"/>
      <c r="Q227" s="750"/>
      <c r="R227" s="750"/>
      <c r="S227" s="750"/>
      <c r="T227" s="750"/>
      <c r="U227" s="750"/>
      <c r="V227" s="750"/>
      <c r="W227" s="750"/>
      <c r="X227" s="750"/>
      <c r="Y227" s="750"/>
      <c r="Z227" s="750"/>
      <c r="AA227" s="750"/>
      <c r="AB227" s="750"/>
      <c r="AC227" s="750"/>
      <c r="AD227" s="749"/>
      <c r="AE227" s="750"/>
      <c r="AF227" s="750"/>
      <c r="AG227" s="750"/>
      <c r="AH227" s="750"/>
      <c r="AI227" s="750"/>
      <c r="AJ227" s="750"/>
      <c r="AK227" s="750"/>
      <c r="AL227" s="750"/>
      <c r="AM227" s="750"/>
      <c r="AN227" s="750"/>
      <c r="AO227" s="750"/>
      <c r="AP227" s="750"/>
      <c r="AQ227" s="750"/>
      <c r="AR227" s="750"/>
      <c r="AS227" s="750"/>
      <c r="AT227" s="750"/>
      <c r="AU227" s="750"/>
      <c r="AV227" s="750"/>
      <c r="AW227" s="750"/>
      <c r="AX227" s="750"/>
      <c r="AY227" s="750"/>
      <c r="AZ227" s="750"/>
      <c r="BA227" s="750"/>
      <c r="BB227" s="749"/>
      <c r="BC227" s="749"/>
      <c r="BD227" s="749"/>
      <c r="BE227" s="749"/>
    </row>
    <row r="228" s="750" customFormat="1" customHeight="1" spans="1:57">
      <c r="A228" s="749"/>
      <c r="B228" s="750"/>
      <c r="C228" s="750"/>
      <c r="D228" s="750"/>
      <c r="E228" s="750"/>
      <c r="F228" s="750"/>
      <c r="G228" s="750"/>
      <c r="H228" s="750"/>
      <c r="I228" s="750"/>
      <c r="J228" s="750"/>
      <c r="K228" s="750"/>
      <c r="L228" s="750"/>
      <c r="M228" s="750"/>
      <c r="N228" s="750"/>
      <c r="O228" s="750"/>
      <c r="P228" s="750"/>
      <c r="Q228" s="750"/>
      <c r="R228" s="750"/>
      <c r="S228" s="750"/>
      <c r="T228" s="750"/>
      <c r="U228" s="750"/>
      <c r="V228" s="750"/>
      <c r="W228" s="750"/>
      <c r="X228" s="750"/>
      <c r="Y228" s="750"/>
      <c r="Z228" s="750"/>
      <c r="AA228" s="750"/>
      <c r="AB228" s="750"/>
      <c r="AC228" s="750"/>
      <c r="AD228" s="749"/>
      <c r="AE228" s="750"/>
      <c r="AF228" s="750"/>
      <c r="AG228" s="750"/>
      <c r="AH228" s="750"/>
      <c r="AI228" s="750"/>
      <c r="AJ228" s="750"/>
      <c r="AK228" s="750"/>
      <c r="AL228" s="750"/>
      <c r="AM228" s="750"/>
      <c r="AN228" s="750"/>
      <c r="AO228" s="750"/>
      <c r="AP228" s="750"/>
      <c r="AQ228" s="750"/>
      <c r="AR228" s="750"/>
      <c r="AS228" s="750"/>
      <c r="AT228" s="750"/>
      <c r="AU228" s="750"/>
      <c r="AV228" s="750"/>
      <c r="AW228" s="750"/>
      <c r="AX228" s="750"/>
      <c r="AY228" s="750"/>
      <c r="AZ228" s="750"/>
      <c r="BA228" s="750"/>
      <c r="BB228" s="749"/>
      <c r="BC228" s="749"/>
      <c r="BD228" s="749"/>
      <c r="BE228" s="749"/>
    </row>
    <row r="229" s="750" customFormat="1" customHeight="1" spans="1:57">
      <c r="A229" s="749"/>
      <c r="B229" s="750"/>
      <c r="C229" s="750"/>
      <c r="D229" s="750"/>
      <c r="E229" s="750"/>
      <c r="F229" s="750"/>
      <c r="G229" s="750"/>
      <c r="H229" s="750"/>
      <c r="I229" s="750"/>
      <c r="J229" s="750"/>
      <c r="K229" s="750"/>
      <c r="L229" s="750"/>
      <c r="M229" s="750"/>
      <c r="N229" s="750"/>
      <c r="O229" s="750"/>
      <c r="P229" s="750"/>
      <c r="Q229" s="750"/>
      <c r="R229" s="750"/>
      <c r="S229" s="750"/>
      <c r="T229" s="750"/>
      <c r="U229" s="750"/>
      <c r="V229" s="750"/>
      <c r="W229" s="750"/>
      <c r="X229" s="750"/>
      <c r="Y229" s="750"/>
      <c r="Z229" s="750"/>
      <c r="AA229" s="750"/>
      <c r="AB229" s="750"/>
      <c r="AC229" s="750"/>
      <c r="AD229" s="749"/>
      <c r="AE229" s="750"/>
      <c r="AF229" s="750"/>
      <c r="AG229" s="750"/>
      <c r="AH229" s="750"/>
      <c r="AI229" s="750"/>
      <c r="AJ229" s="750"/>
      <c r="AK229" s="750"/>
      <c r="AL229" s="750"/>
      <c r="AM229" s="750"/>
      <c r="AN229" s="750"/>
      <c r="AO229" s="750"/>
      <c r="AP229" s="750"/>
      <c r="AQ229" s="750"/>
      <c r="AR229" s="750"/>
      <c r="AS229" s="750"/>
      <c r="AT229" s="750"/>
      <c r="AU229" s="750"/>
      <c r="AV229" s="750"/>
      <c r="AW229" s="750"/>
      <c r="AX229" s="750"/>
      <c r="AY229" s="750"/>
      <c r="AZ229" s="750"/>
      <c r="BA229" s="750"/>
      <c r="BB229" s="749"/>
      <c r="BC229" s="749"/>
      <c r="BD229" s="749"/>
      <c r="BE229" s="749"/>
    </row>
    <row r="230" s="750" customFormat="1" customHeight="1" spans="1:57">
      <c r="A230" s="749"/>
      <c r="B230" s="750"/>
      <c r="C230" s="750"/>
      <c r="D230" s="750"/>
      <c r="E230" s="750"/>
      <c r="F230" s="750"/>
      <c r="G230" s="750"/>
      <c r="H230" s="750"/>
      <c r="I230" s="750"/>
      <c r="J230" s="750"/>
      <c r="K230" s="750"/>
      <c r="L230" s="750"/>
      <c r="M230" s="750"/>
      <c r="N230" s="750"/>
      <c r="O230" s="750"/>
      <c r="P230" s="750"/>
      <c r="Q230" s="750"/>
      <c r="R230" s="750"/>
      <c r="S230" s="750"/>
      <c r="T230" s="750"/>
      <c r="U230" s="750"/>
      <c r="V230" s="750"/>
      <c r="W230" s="750"/>
      <c r="X230" s="750"/>
      <c r="Y230" s="750"/>
      <c r="Z230" s="750"/>
      <c r="AA230" s="750"/>
      <c r="AB230" s="750"/>
      <c r="AC230" s="750"/>
      <c r="AD230" s="749"/>
      <c r="AE230" s="750"/>
      <c r="AF230" s="750"/>
      <c r="AG230" s="750"/>
      <c r="AH230" s="750"/>
      <c r="AI230" s="750"/>
      <c r="AJ230" s="750"/>
      <c r="AK230" s="750"/>
      <c r="AL230" s="750"/>
      <c r="AM230" s="750"/>
      <c r="AN230" s="750"/>
      <c r="AO230" s="750"/>
      <c r="AP230" s="750"/>
      <c r="AQ230" s="750"/>
      <c r="AR230" s="750"/>
      <c r="AS230" s="750"/>
      <c r="AT230" s="750"/>
      <c r="AU230" s="750"/>
      <c r="AV230" s="750"/>
      <c r="AW230" s="750"/>
      <c r="AX230" s="750"/>
      <c r="AY230" s="750"/>
      <c r="AZ230" s="750"/>
      <c r="BA230" s="750"/>
      <c r="BB230" s="749"/>
      <c r="BC230" s="749"/>
      <c r="BD230" s="749"/>
      <c r="BE230" s="749"/>
    </row>
    <row r="231" s="750" customFormat="1" customHeight="1" spans="1:57">
      <c r="A231" s="749"/>
      <c r="B231" s="750"/>
      <c r="C231" s="750"/>
      <c r="D231" s="750"/>
      <c r="E231" s="750"/>
      <c r="F231" s="750"/>
      <c r="G231" s="750"/>
      <c r="H231" s="750"/>
      <c r="I231" s="750"/>
      <c r="J231" s="750"/>
      <c r="K231" s="750"/>
      <c r="L231" s="750"/>
      <c r="M231" s="750"/>
      <c r="N231" s="750"/>
      <c r="O231" s="750"/>
      <c r="P231" s="750"/>
      <c r="Q231" s="750"/>
      <c r="R231" s="750"/>
      <c r="S231" s="750"/>
      <c r="T231" s="750"/>
      <c r="U231" s="750"/>
      <c r="V231" s="750"/>
      <c r="W231" s="750"/>
      <c r="X231" s="750"/>
      <c r="Y231" s="750"/>
      <c r="Z231" s="750"/>
      <c r="AA231" s="750"/>
      <c r="AB231" s="750"/>
      <c r="AC231" s="750"/>
      <c r="AD231" s="749"/>
      <c r="AE231" s="750"/>
      <c r="AF231" s="750"/>
      <c r="AG231" s="750"/>
      <c r="AH231" s="750"/>
      <c r="AI231" s="750"/>
      <c r="AJ231" s="750"/>
      <c r="AK231" s="750"/>
      <c r="AL231" s="750"/>
      <c r="AM231" s="750"/>
      <c r="AN231" s="750"/>
      <c r="AO231" s="750"/>
      <c r="AP231" s="750"/>
      <c r="AQ231" s="750"/>
      <c r="AR231" s="750"/>
      <c r="AS231" s="750"/>
      <c r="AT231" s="750"/>
      <c r="AU231" s="750"/>
      <c r="AV231" s="750"/>
      <c r="AW231" s="750"/>
      <c r="AX231" s="750"/>
      <c r="AY231" s="750"/>
      <c r="AZ231" s="750"/>
      <c r="BA231" s="750"/>
      <c r="BB231" s="749"/>
      <c r="BC231" s="749"/>
      <c r="BD231" s="749"/>
      <c r="BE231" s="749"/>
    </row>
    <row r="232" s="750" customFormat="1" customHeight="1" spans="1:57">
      <c r="A232" s="749"/>
      <c r="B232" s="750"/>
      <c r="C232" s="750"/>
      <c r="D232" s="750"/>
      <c r="E232" s="750"/>
      <c r="F232" s="750"/>
      <c r="G232" s="750"/>
      <c r="H232" s="750"/>
      <c r="I232" s="750"/>
      <c r="J232" s="750"/>
      <c r="K232" s="750"/>
      <c r="L232" s="750"/>
      <c r="M232" s="750"/>
      <c r="N232" s="750"/>
      <c r="O232" s="750"/>
      <c r="P232" s="750"/>
      <c r="Q232" s="750"/>
      <c r="R232" s="750"/>
      <c r="S232" s="750"/>
      <c r="T232" s="750"/>
      <c r="U232" s="750"/>
      <c r="V232" s="750"/>
      <c r="W232" s="750"/>
      <c r="X232" s="750"/>
      <c r="Y232" s="750"/>
      <c r="Z232" s="750"/>
      <c r="AA232" s="750"/>
      <c r="AB232" s="750"/>
      <c r="AC232" s="750"/>
      <c r="AD232" s="749"/>
      <c r="AE232" s="750"/>
      <c r="AF232" s="750"/>
      <c r="AG232" s="750"/>
      <c r="AH232" s="750"/>
      <c r="AI232" s="750"/>
      <c r="AJ232" s="750"/>
      <c r="AK232" s="750"/>
      <c r="AL232" s="750"/>
      <c r="AM232" s="750"/>
      <c r="AN232" s="750"/>
      <c r="AO232" s="750"/>
      <c r="AP232" s="750"/>
      <c r="AQ232" s="750"/>
      <c r="AR232" s="750"/>
      <c r="AS232" s="750"/>
      <c r="AT232" s="750"/>
      <c r="AU232" s="750"/>
      <c r="AV232" s="750"/>
      <c r="AW232" s="750"/>
      <c r="AX232" s="750"/>
      <c r="AY232" s="750"/>
      <c r="AZ232" s="750"/>
      <c r="BA232" s="750"/>
      <c r="BB232" s="749"/>
      <c r="BC232" s="749"/>
      <c r="BD232" s="749"/>
      <c r="BE232" s="749"/>
    </row>
    <row r="233" s="750" customFormat="1" customHeight="1" spans="1:57">
      <c r="A233" s="749"/>
      <c r="B233" s="750"/>
      <c r="C233" s="750"/>
      <c r="D233" s="750"/>
      <c r="E233" s="750"/>
      <c r="F233" s="750"/>
      <c r="G233" s="750"/>
      <c r="H233" s="750"/>
      <c r="I233" s="750"/>
      <c r="J233" s="750"/>
      <c r="K233" s="750"/>
      <c r="L233" s="750"/>
      <c r="M233" s="750"/>
      <c r="N233" s="750"/>
      <c r="O233" s="750"/>
      <c r="P233" s="750"/>
      <c r="Q233" s="750"/>
      <c r="R233" s="750"/>
      <c r="S233" s="750"/>
      <c r="T233" s="750"/>
      <c r="U233" s="750"/>
      <c r="V233" s="750"/>
      <c r="W233" s="750"/>
      <c r="X233" s="750"/>
      <c r="Y233" s="750"/>
      <c r="Z233" s="750"/>
      <c r="AA233" s="750"/>
      <c r="AB233" s="750"/>
      <c r="AC233" s="750"/>
      <c r="AD233" s="749"/>
      <c r="AE233" s="750"/>
      <c r="AF233" s="750"/>
      <c r="AG233" s="750"/>
      <c r="AH233" s="750"/>
      <c r="AI233" s="750"/>
      <c r="AJ233" s="750"/>
      <c r="AK233" s="750"/>
      <c r="AL233" s="750"/>
      <c r="AM233" s="750"/>
      <c r="AN233" s="750"/>
      <c r="AO233" s="750"/>
      <c r="AP233" s="750"/>
      <c r="AQ233" s="750"/>
      <c r="AR233" s="750"/>
      <c r="AS233" s="750"/>
      <c r="AT233" s="750"/>
      <c r="AU233" s="750"/>
      <c r="AV233" s="750"/>
      <c r="AW233" s="750"/>
      <c r="AX233" s="750"/>
      <c r="AY233" s="750"/>
      <c r="AZ233" s="750"/>
      <c r="BA233" s="750"/>
      <c r="BB233" s="749"/>
      <c r="BC233" s="749"/>
      <c r="BD233" s="749"/>
      <c r="BE233" s="749"/>
    </row>
    <row r="234" s="750" customFormat="1" customHeight="1" spans="1:57">
      <c r="A234" s="749"/>
      <c r="B234" s="750"/>
      <c r="C234" s="750"/>
      <c r="D234" s="750"/>
      <c r="E234" s="750"/>
      <c r="F234" s="750"/>
      <c r="G234" s="750"/>
      <c r="H234" s="750"/>
      <c r="I234" s="750"/>
      <c r="J234" s="750"/>
      <c r="K234" s="750"/>
      <c r="L234" s="750"/>
      <c r="M234" s="750"/>
      <c r="N234" s="750"/>
      <c r="O234" s="750"/>
      <c r="P234" s="750"/>
      <c r="Q234" s="750"/>
      <c r="R234" s="750"/>
      <c r="S234" s="750"/>
      <c r="T234" s="750"/>
      <c r="U234" s="750"/>
      <c r="V234" s="750"/>
      <c r="W234" s="750"/>
      <c r="X234" s="750"/>
      <c r="Y234" s="750"/>
      <c r="Z234" s="750"/>
      <c r="AA234" s="750"/>
      <c r="AB234" s="750"/>
      <c r="AC234" s="750"/>
      <c r="AD234" s="749"/>
      <c r="AE234" s="750"/>
      <c r="AF234" s="750"/>
      <c r="AG234" s="750"/>
      <c r="AH234" s="750"/>
      <c r="AI234" s="750"/>
      <c r="AJ234" s="750"/>
      <c r="AK234" s="750"/>
      <c r="AL234" s="750"/>
      <c r="AM234" s="750"/>
      <c r="AN234" s="750"/>
      <c r="AO234" s="750"/>
      <c r="AP234" s="750"/>
      <c r="AQ234" s="750"/>
      <c r="AR234" s="750"/>
      <c r="AS234" s="750"/>
      <c r="AT234" s="750"/>
      <c r="AU234" s="750"/>
      <c r="AV234" s="750"/>
      <c r="AW234" s="750"/>
      <c r="AX234" s="750"/>
      <c r="AY234" s="750"/>
      <c r="AZ234" s="750"/>
      <c r="BA234" s="750"/>
      <c r="BB234" s="749"/>
      <c r="BC234" s="749"/>
      <c r="BD234" s="749"/>
      <c r="BE234" s="749"/>
    </row>
    <row r="235" s="750" customFormat="1" customHeight="1" spans="1:57">
      <c r="A235" s="749"/>
      <c r="B235" s="750"/>
      <c r="C235" s="750"/>
      <c r="D235" s="750"/>
      <c r="E235" s="750"/>
      <c r="F235" s="750"/>
      <c r="G235" s="750"/>
      <c r="H235" s="750"/>
      <c r="I235" s="750"/>
      <c r="J235" s="750"/>
      <c r="K235" s="750"/>
      <c r="L235" s="750"/>
      <c r="M235" s="750"/>
      <c r="N235" s="750"/>
      <c r="O235" s="750"/>
      <c r="P235" s="750"/>
      <c r="Q235" s="750"/>
      <c r="R235" s="750"/>
      <c r="S235" s="750"/>
      <c r="T235" s="750"/>
      <c r="U235" s="750"/>
      <c r="V235" s="750"/>
      <c r="W235" s="750"/>
      <c r="X235" s="750"/>
      <c r="Y235" s="750"/>
      <c r="Z235" s="750"/>
      <c r="AA235" s="750"/>
      <c r="AB235" s="750"/>
      <c r="AC235" s="750"/>
      <c r="AD235" s="749"/>
      <c r="AE235" s="750"/>
      <c r="AF235" s="750"/>
      <c r="AG235" s="750"/>
      <c r="AH235" s="750"/>
      <c r="AI235" s="750"/>
      <c r="AJ235" s="750"/>
      <c r="AK235" s="750"/>
      <c r="AL235" s="750"/>
      <c r="AM235" s="750"/>
      <c r="AN235" s="750"/>
      <c r="AO235" s="750"/>
      <c r="AP235" s="750"/>
      <c r="AQ235" s="750"/>
      <c r="AR235" s="750"/>
      <c r="AS235" s="750"/>
      <c r="AT235" s="750"/>
      <c r="AU235" s="750"/>
      <c r="AV235" s="750"/>
      <c r="AW235" s="750"/>
      <c r="AX235" s="750"/>
      <c r="AY235" s="750"/>
      <c r="AZ235" s="750"/>
      <c r="BA235" s="750"/>
      <c r="BB235" s="749"/>
      <c r="BC235" s="749"/>
      <c r="BD235" s="749"/>
      <c r="BE235" s="749"/>
    </row>
    <row r="236" s="750" customFormat="1" customHeight="1" spans="1:57">
      <c r="A236" s="749"/>
      <c r="B236" s="750"/>
      <c r="C236" s="750"/>
      <c r="D236" s="750"/>
      <c r="E236" s="750"/>
      <c r="F236" s="750"/>
      <c r="G236" s="750"/>
      <c r="H236" s="750"/>
      <c r="I236" s="750"/>
      <c r="J236" s="750"/>
      <c r="K236" s="750"/>
      <c r="L236" s="750"/>
      <c r="M236" s="750"/>
      <c r="N236" s="750"/>
      <c r="O236" s="750"/>
      <c r="P236" s="750"/>
      <c r="Q236" s="750"/>
      <c r="R236" s="750"/>
      <c r="S236" s="750"/>
      <c r="T236" s="750"/>
      <c r="U236" s="750"/>
      <c r="V236" s="750"/>
      <c r="W236" s="750"/>
      <c r="X236" s="750"/>
      <c r="Y236" s="750"/>
      <c r="Z236" s="750"/>
      <c r="AA236" s="750"/>
      <c r="AB236" s="750"/>
      <c r="AC236" s="750"/>
      <c r="AD236" s="749"/>
      <c r="AE236" s="750"/>
      <c r="AF236" s="750"/>
      <c r="AG236" s="750"/>
      <c r="AH236" s="750"/>
      <c r="AI236" s="750"/>
      <c r="AJ236" s="750"/>
      <c r="AK236" s="750"/>
      <c r="AL236" s="750"/>
      <c r="AM236" s="750"/>
      <c r="AN236" s="750"/>
      <c r="AO236" s="750"/>
      <c r="AP236" s="750"/>
      <c r="AQ236" s="750"/>
      <c r="AR236" s="750"/>
      <c r="AS236" s="750"/>
      <c r="AT236" s="750"/>
      <c r="AU236" s="750"/>
      <c r="AV236" s="750"/>
      <c r="AW236" s="750"/>
      <c r="AX236" s="750"/>
      <c r="AY236" s="750"/>
      <c r="AZ236" s="750"/>
      <c r="BA236" s="750"/>
      <c r="BB236" s="749"/>
      <c r="BC236" s="749"/>
      <c r="BD236" s="749"/>
      <c r="BE236" s="749"/>
    </row>
    <row r="237" s="750" customFormat="1" customHeight="1" spans="1:57">
      <c r="A237" s="749"/>
      <c r="B237" s="750"/>
      <c r="C237" s="750"/>
      <c r="D237" s="750"/>
      <c r="E237" s="750"/>
      <c r="F237" s="750"/>
      <c r="G237" s="750"/>
      <c r="H237" s="750"/>
      <c r="I237" s="750"/>
      <c r="J237" s="750"/>
      <c r="K237" s="750"/>
      <c r="L237" s="750"/>
      <c r="M237" s="750"/>
      <c r="N237" s="750"/>
      <c r="O237" s="750"/>
      <c r="P237" s="750"/>
      <c r="Q237" s="750"/>
      <c r="R237" s="750"/>
      <c r="S237" s="750"/>
      <c r="T237" s="750"/>
      <c r="U237" s="750"/>
      <c r="V237" s="750"/>
      <c r="W237" s="750"/>
      <c r="X237" s="750"/>
      <c r="Y237" s="750"/>
      <c r="Z237" s="750"/>
      <c r="AA237" s="750"/>
      <c r="AB237" s="750"/>
      <c r="AC237" s="750"/>
      <c r="AD237" s="749"/>
      <c r="AE237" s="750"/>
      <c r="AF237" s="750"/>
      <c r="AG237" s="750"/>
      <c r="AH237" s="750"/>
      <c r="AI237" s="750"/>
      <c r="AJ237" s="750"/>
      <c r="AK237" s="750"/>
      <c r="AL237" s="750"/>
      <c r="AM237" s="750"/>
      <c r="AN237" s="750"/>
      <c r="AO237" s="750"/>
      <c r="AP237" s="750"/>
      <c r="AQ237" s="750"/>
      <c r="AR237" s="750"/>
      <c r="AS237" s="750"/>
      <c r="AT237" s="750"/>
      <c r="AU237" s="750"/>
      <c r="AV237" s="750"/>
      <c r="AW237" s="750"/>
      <c r="AX237" s="750"/>
      <c r="AY237" s="750"/>
      <c r="AZ237" s="750"/>
      <c r="BA237" s="750"/>
      <c r="BB237" s="749"/>
      <c r="BC237" s="749"/>
      <c r="BD237" s="749"/>
      <c r="BE237" s="749"/>
    </row>
    <row r="238" s="750" customFormat="1" customHeight="1" spans="1:57">
      <c r="A238" s="749"/>
      <c r="B238" s="750"/>
      <c r="C238" s="750"/>
      <c r="D238" s="750"/>
      <c r="E238" s="750"/>
      <c r="F238" s="750"/>
      <c r="G238" s="750"/>
      <c r="H238" s="750"/>
      <c r="I238" s="750"/>
      <c r="J238" s="750"/>
      <c r="K238" s="750"/>
      <c r="L238" s="750"/>
      <c r="M238" s="750"/>
      <c r="N238" s="750"/>
      <c r="O238" s="750"/>
      <c r="P238" s="750"/>
      <c r="Q238" s="750"/>
      <c r="R238" s="750"/>
      <c r="S238" s="750"/>
      <c r="T238" s="750"/>
      <c r="U238" s="750"/>
      <c r="V238" s="750"/>
      <c r="W238" s="750"/>
      <c r="X238" s="750"/>
      <c r="Y238" s="750"/>
      <c r="Z238" s="750"/>
      <c r="AA238" s="750"/>
      <c r="AB238" s="750"/>
      <c r="AC238" s="750"/>
      <c r="AD238" s="749"/>
      <c r="AE238" s="750"/>
      <c r="AF238" s="750"/>
      <c r="AG238" s="750"/>
      <c r="AH238" s="750"/>
      <c r="AI238" s="750"/>
      <c r="AJ238" s="750"/>
      <c r="AK238" s="750"/>
      <c r="AL238" s="750"/>
      <c r="AM238" s="750"/>
      <c r="AN238" s="750"/>
      <c r="AO238" s="750"/>
      <c r="AP238" s="750"/>
      <c r="AQ238" s="750"/>
      <c r="AR238" s="750"/>
      <c r="AS238" s="750"/>
      <c r="AT238" s="750"/>
      <c r="AU238" s="750"/>
      <c r="AV238" s="750"/>
      <c r="AW238" s="750"/>
      <c r="AX238" s="750"/>
      <c r="AY238" s="750"/>
      <c r="AZ238" s="750"/>
      <c r="BA238" s="750"/>
      <c r="BB238" s="749"/>
      <c r="BC238" s="749"/>
      <c r="BD238" s="749"/>
      <c r="BE238" s="749"/>
    </row>
    <row r="239" s="750" customFormat="1" customHeight="1" spans="1:57">
      <c r="A239" s="749"/>
      <c r="B239" s="750"/>
      <c r="C239" s="750"/>
      <c r="D239" s="750"/>
      <c r="E239" s="750"/>
      <c r="F239" s="750"/>
      <c r="G239" s="750"/>
      <c r="H239" s="750"/>
      <c r="I239" s="750"/>
      <c r="J239" s="750"/>
      <c r="K239" s="750"/>
      <c r="L239" s="750"/>
      <c r="M239" s="750"/>
      <c r="N239" s="750"/>
      <c r="O239" s="750"/>
      <c r="P239" s="750"/>
      <c r="Q239" s="750"/>
      <c r="R239" s="750"/>
      <c r="S239" s="750"/>
      <c r="T239" s="750"/>
      <c r="U239" s="750"/>
      <c r="V239" s="750"/>
      <c r="W239" s="750"/>
      <c r="X239" s="750"/>
      <c r="Y239" s="750"/>
      <c r="Z239" s="750"/>
      <c r="AA239" s="750"/>
      <c r="AB239" s="750"/>
      <c r="AC239" s="750"/>
      <c r="AD239" s="749"/>
      <c r="AE239" s="750"/>
      <c r="AF239" s="750"/>
      <c r="AG239" s="750"/>
      <c r="AH239" s="750"/>
      <c r="AI239" s="750"/>
      <c r="AJ239" s="750"/>
      <c r="AK239" s="750"/>
      <c r="AL239" s="750"/>
      <c r="AM239" s="750"/>
      <c r="AN239" s="750"/>
      <c r="AO239" s="750"/>
      <c r="AP239" s="750"/>
      <c r="AQ239" s="750"/>
      <c r="AR239" s="750"/>
      <c r="AS239" s="750"/>
      <c r="AT239" s="750"/>
      <c r="AU239" s="750"/>
      <c r="AV239" s="750"/>
      <c r="AW239" s="750"/>
      <c r="AX239" s="750"/>
      <c r="AY239" s="750"/>
      <c r="AZ239" s="750"/>
      <c r="BA239" s="750"/>
      <c r="BB239" s="749"/>
      <c r="BC239" s="749"/>
      <c r="BD239" s="749"/>
      <c r="BE239" s="749"/>
    </row>
    <row r="240" s="750" customFormat="1" customHeight="1" spans="1:57">
      <c r="A240" s="749"/>
      <c r="B240" s="750"/>
      <c r="C240" s="750"/>
      <c r="D240" s="750"/>
      <c r="E240" s="750"/>
      <c r="F240" s="750"/>
      <c r="G240" s="750"/>
      <c r="H240" s="750"/>
      <c r="I240" s="750"/>
      <c r="J240" s="750"/>
      <c r="K240" s="750"/>
      <c r="L240" s="750"/>
      <c r="M240" s="750"/>
      <c r="N240" s="750"/>
      <c r="O240" s="750"/>
      <c r="P240" s="750"/>
      <c r="Q240" s="750"/>
      <c r="R240" s="750"/>
      <c r="S240" s="750"/>
      <c r="T240" s="750"/>
      <c r="U240" s="750"/>
      <c r="V240" s="750"/>
      <c r="W240" s="750"/>
      <c r="X240" s="750"/>
      <c r="Y240" s="750"/>
      <c r="Z240" s="750"/>
      <c r="AA240" s="750"/>
      <c r="AB240" s="750"/>
      <c r="AC240" s="750"/>
      <c r="AD240" s="749"/>
      <c r="AE240" s="750"/>
      <c r="AF240" s="750"/>
      <c r="AG240" s="750"/>
      <c r="AH240" s="750"/>
      <c r="AI240" s="750"/>
      <c r="AJ240" s="750"/>
      <c r="AK240" s="750"/>
      <c r="AL240" s="750"/>
      <c r="AM240" s="750"/>
      <c r="AN240" s="750"/>
      <c r="AO240" s="750"/>
      <c r="AP240" s="750"/>
      <c r="AQ240" s="750"/>
      <c r="AR240" s="750"/>
      <c r="AS240" s="750"/>
      <c r="AT240" s="750"/>
      <c r="AU240" s="750"/>
      <c r="AV240" s="750"/>
      <c r="AW240" s="750"/>
      <c r="AX240" s="750"/>
      <c r="AY240" s="750"/>
      <c r="AZ240" s="750"/>
      <c r="BA240" s="750"/>
      <c r="BB240" s="749"/>
      <c r="BC240" s="749"/>
      <c r="BD240" s="749"/>
      <c r="BE240" s="749"/>
    </row>
    <row r="241" s="750" customFormat="1" customHeight="1" spans="1:57">
      <c r="A241" s="749"/>
      <c r="B241" s="750"/>
      <c r="C241" s="750"/>
      <c r="D241" s="750"/>
      <c r="E241" s="750"/>
      <c r="F241" s="750"/>
      <c r="G241" s="750"/>
      <c r="H241" s="750"/>
      <c r="I241" s="750"/>
      <c r="J241" s="750"/>
      <c r="K241" s="750"/>
      <c r="L241" s="750"/>
      <c r="M241" s="750"/>
      <c r="N241" s="750"/>
      <c r="O241" s="750"/>
      <c r="P241" s="750"/>
      <c r="Q241" s="750"/>
      <c r="R241" s="750"/>
      <c r="S241" s="750"/>
      <c r="T241" s="750"/>
      <c r="U241" s="750"/>
      <c r="V241" s="750"/>
      <c r="W241" s="750"/>
      <c r="X241" s="750"/>
      <c r="Y241" s="750"/>
      <c r="Z241" s="750"/>
      <c r="AA241" s="750"/>
      <c r="AB241" s="750"/>
      <c r="AC241" s="750"/>
      <c r="AD241" s="749"/>
      <c r="AE241" s="750"/>
      <c r="AF241" s="750"/>
      <c r="AG241" s="750"/>
      <c r="AH241" s="750"/>
      <c r="AI241" s="750"/>
      <c r="AJ241" s="750"/>
      <c r="AK241" s="750"/>
      <c r="AL241" s="750"/>
      <c r="AM241" s="750"/>
      <c r="AN241" s="750"/>
      <c r="AO241" s="750"/>
      <c r="AP241" s="750"/>
      <c r="AQ241" s="750"/>
      <c r="AR241" s="750"/>
      <c r="AS241" s="750"/>
      <c r="AT241" s="750"/>
      <c r="AU241" s="750"/>
      <c r="AV241" s="750"/>
      <c r="AW241" s="750"/>
      <c r="AX241" s="750"/>
      <c r="AY241" s="750"/>
      <c r="AZ241" s="750"/>
      <c r="BA241" s="750"/>
      <c r="BB241" s="749"/>
      <c r="BC241" s="749"/>
      <c r="BD241" s="749"/>
      <c r="BE241" s="749"/>
    </row>
    <row r="242" s="750" customFormat="1" customHeight="1" spans="1:57">
      <c r="A242" s="749"/>
      <c r="B242" s="750"/>
      <c r="C242" s="750"/>
      <c r="D242" s="750"/>
      <c r="E242" s="750"/>
      <c r="F242" s="750"/>
      <c r="G242" s="750"/>
      <c r="H242" s="750"/>
      <c r="I242" s="750"/>
      <c r="J242" s="750"/>
      <c r="K242" s="750"/>
      <c r="L242" s="750"/>
      <c r="M242" s="750"/>
      <c r="N242" s="750"/>
      <c r="O242" s="750"/>
      <c r="P242" s="750"/>
      <c r="Q242" s="750"/>
      <c r="R242" s="750"/>
      <c r="S242" s="750"/>
      <c r="T242" s="750"/>
      <c r="U242" s="750"/>
      <c r="V242" s="750"/>
      <c r="W242" s="750"/>
      <c r="X242" s="750"/>
      <c r="Y242" s="750"/>
      <c r="Z242" s="750"/>
      <c r="AA242" s="750"/>
      <c r="AB242" s="750"/>
      <c r="AC242" s="750"/>
      <c r="AD242" s="749"/>
      <c r="AE242" s="750"/>
      <c r="AF242" s="750"/>
      <c r="AG242" s="750"/>
      <c r="AH242" s="750"/>
      <c r="AI242" s="750"/>
      <c r="AJ242" s="750"/>
      <c r="AK242" s="750"/>
      <c r="AL242" s="750"/>
      <c r="AM242" s="750"/>
      <c r="AN242" s="750"/>
      <c r="AO242" s="750"/>
      <c r="AP242" s="750"/>
      <c r="AQ242" s="750"/>
      <c r="AR242" s="750"/>
      <c r="AS242" s="750"/>
      <c r="AT242" s="750"/>
      <c r="AU242" s="750"/>
      <c r="AV242" s="750"/>
      <c r="AW242" s="750"/>
      <c r="AX242" s="750"/>
      <c r="AY242" s="750"/>
      <c r="AZ242" s="750"/>
      <c r="BA242" s="750"/>
      <c r="BB242" s="749"/>
      <c r="BC242" s="749"/>
      <c r="BD242" s="749"/>
      <c r="BE242" s="749"/>
    </row>
    <row r="243" s="750" customFormat="1" customHeight="1" spans="1:57">
      <c r="A243" s="749"/>
      <c r="B243" s="750"/>
      <c r="C243" s="750"/>
      <c r="D243" s="750"/>
      <c r="E243" s="750"/>
      <c r="F243" s="750"/>
      <c r="G243" s="750"/>
      <c r="H243" s="750"/>
      <c r="I243" s="750"/>
      <c r="J243" s="750"/>
      <c r="K243" s="750"/>
      <c r="L243" s="750"/>
      <c r="M243" s="750"/>
      <c r="N243" s="750"/>
      <c r="O243" s="750"/>
      <c r="P243" s="750"/>
      <c r="Q243" s="750"/>
      <c r="R243" s="750"/>
      <c r="S243" s="750"/>
      <c r="T243" s="750"/>
      <c r="U243" s="750"/>
      <c r="V243" s="750"/>
      <c r="W243" s="750"/>
      <c r="X243" s="750"/>
      <c r="Y243" s="750"/>
      <c r="Z243" s="750"/>
      <c r="AA243" s="750"/>
      <c r="AB243" s="750"/>
      <c r="AC243" s="750"/>
      <c r="AD243" s="749"/>
      <c r="AE243" s="750"/>
      <c r="AF243" s="750"/>
      <c r="AG243" s="750"/>
      <c r="AH243" s="750"/>
      <c r="AI243" s="750"/>
      <c r="AJ243" s="750"/>
      <c r="AK243" s="750"/>
      <c r="AL243" s="750"/>
      <c r="AM243" s="750"/>
      <c r="AN243" s="750"/>
      <c r="AO243" s="750"/>
      <c r="AP243" s="750"/>
      <c r="AQ243" s="750"/>
      <c r="AR243" s="750"/>
      <c r="AS243" s="750"/>
      <c r="AT243" s="750"/>
      <c r="AU243" s="750"/>
      <c r="AV243" s="750"/>
      <c r="AW243" s="750"/>
      <c r="AX243" s="750"/>
      <c r="AY243" s="750"/>
      <c r="AZ243" s="750"/>
      <c r="BA243" s="750"/>
      <c r="BB243" s="749"/>
      <c r="BC243" s="749"/>
      <c r="BD243" s="749"/>
      <c r="BE243" s="749"/>
    </row>
    <row r="244" s="750" customFormat="1" customHeight="1" spans="1:57">
      <c r="A244" s="749"/>
      <c r="B244" s="750"/>
      <c r="C244" s="750"/>
      <c r="D244" s="750"/>
      <c r="E244" s="750"/>
      <c r="F244" s="750"/>
      <c r="G244" s="750"/>
      <c r="H244" s="750"/>
      <c r="I244" s="750"/>
      <c r="J244" s="750"/>
      <c r="K244" s="750"/>
      <c r="L244" s="750"/>
      <c r="M244" s="750"/>
      <c r="N244" s="750"/>
      <c r="O244" s="750"/>
      <c r="P244" s="750"/>
      <c r="Q244" s="750"/>
      <c r="R244" s="750"/>
      <c r="S244" s="750"/>
      <c r="T244" s="750"/>
      <c r="U244" s="750"/>
      <c r="V244" s="750"/>
      <c r="W244" s="750"/>
      <c r="X244" s="750"/>
      <c r="Y244" s="750"/>
      <c r="Z244" s="750"/>
      <c r="AA244" s="750"/>
      <c r="AB244" s="750"/>
      <c r="AC244" s="750"/>
      <c r="AD244" s="749"/>
      <c r="AE244" s="750"/>
      <c r="AF244" s="750"/>
      <c r="AG244" s="750"/>
      <c r="AH244" s="750"/>
      <c r="AI244" s="750"/>
      <c r="AJ244" s="750"/>
      <c r="AK244" s="750"/>
      <c r="AL244" s="750"/>
      <c r="AM244" s="750"/>
      <c r="AN244" s="750"/>
      <c r="AO244" s="750"/>
      <c r="AP244" s="750"/>
      <c r="AQ244" s="750"/>
      <c r="AR244" s="750"/>
      <c r="AS244" s="750"/>
      <c r="AT244" s="750"/>
      <c r="AU244" s="750"/>
      <c r="AV244" s="750"/>
      <c r="AW244" s="750"/>
      <c r="AX244" s="750"/>
      <c r="AY244" s="750"/>
      <c r="AZ244" s="750"/>
      <c r="BA244" s="750"/>
      <c r="BB244" s="749"/>
      <c r="BC244" s="749"/>
      <c r="BD244" s="749"/>
      <c r="BE244" s="749"/>
    </row>
    <row r="245" s="750" customFormat="1" customHeight="1" spans="1:57">
      <c r="A245" s="749"/>
      <c r="B245" s="750"/>
      <c r="C245" s="750"/>
      <c r="D245" s="750"/>
      <c r="E245" s="750"/>
      <c r="F245" s="750"/>
      <c r="G245" s="750"/>
      <c r="H245" s="750"/>
      <c r="I245" s="750"/>
      <c r="J245" s="750"/>
      <c r="K245" s="750"/>
      <c r="L245" s="750"/>
      <c r="M245" s="750"/>
      <c r="N245" s="750"/>
      <c r="O245" s="750"/>
      <c r="P245" s="750"/>
      <c r="Q245" s="750"/>
      <c r="R245" s="750"/>
      <c r="S245" s="750"/>
      <c r="T245" s="750"/>
      <c r="U245" s="750"/>
      <c r="V245" s="750"/>
      <c r="W245" s="750"/>
      <c r="X245" s="750"/>
      <c r="Y245" s="750"/>
      <c r="Z245" s="750"/>
      <c r="AA245" s="750"/>
      <c r="AB245" s="750"/>
      <c r="AC245" s="750"/>
      <c r="AD245" s="749"/>
      <c r="AE245" s="750"/>
      <c r="AF245" s="750"/>
      <c r="AG245" s="750"/>
      <c r="AH245" s="750"/>
      <c r="AI245" s="750"/>
      <c r="AJ245" s="750"/>
      <c r="AK245" s="750"/>
      <c r="AL245" s="750"/>
      <c r="AM245" s="750"/>
      <c r="AN245" s="750"/>
      <c r="AO245" s="750"/>
      <c r="AP245" s="750"/>
      <c r="AQ245" s="750"/>
      <c r="AR245" s="750"/>
      <c r="AS245" s="750"/>
      <c r="AT245" s="750"/>
      <c r="AU245" s="750"/>
      <c r="AV245" s="750"/>
      <c r="AW245" s="750"/>
      <c r="AX245" s="750"/>
      <c r="AY245" s="750"/>
      <c r="AZ245" s="750"/>
      <c r="BA245" s="750"/>
      <c r="BB245" s="749"/>
      <c r="BC245" s="749"/>
      <c r="BD245" s="749"/>
      <c r="BE245" s="749"/>
    </row>
    <row r="246" s="750" customFormat="1" customHeight="1" spans="1:57">
      <c r="A246" s="749"/>
      <c r="B246" s="750"/>
      <c r="C246" s="750"/>
      <c r="D246" s="750"/>
      <c r="E246" s="750"/>
      <c r="F246" s="750"/>
      <c r="G246" s="750"/>
      <c r="H246" s="750"/>
      <c r="I246" s="750"/>
      <c r="J246" s="750"/>
      <c r="K246" s="750"/>
      <c r="L246" s="750"/>
      <c r="M246" s="750"/>
      <c r="N246" s="750"/>
      <c r="O246" s="750"/>
      <c r="P246" s="750"/>
      <c r="Q246" s="750"/>
      <c r="R246" s="750"/>
      <c r="S246" s="750"/>
      <c r="T246" s="750"/>
      <c r="U246" s="750"/>
      <c r="V246" s="750"/>
      <c r="W246" s="750"/>
      <c r="X246" s="750"/>
      <c r="Y246" s="750"/>
      <c r="Z246" s="750"/>
      <c r="AA246" s="750"/>
      <c r="AB246" s="750"/>
      <c r="AC246" s="750"/>
      <c r="AD246" s="749"/>
      <c r="AE246" s="750"/>
      <c r="AF246" s="750"/>
      <c r="AG246" s="750"/>
      <c r="AH246" s="750"/>
      <c r="AI246" s="750"/>
      <c r="AJ246" s="750"/>
      <c r="AK246" s="750"/>
      <c r="AL246" s="750"/>
      <c r="AM246" s="750"/>
      <c r="AN246" s="750"/>
      <c r="AO246" s="750"/>
      <c r="AP246" s="750"/>
      <c r="AQ246" s="750"/>
      <c r="AR246" s="750"/>
      <c r="AS246" s="750"/>
      <c r="AT246" s="750"/>
      <c r="AU246" s="750"/>
      <c r="AV246" s="750"/>
      <c r="AW246" s="750"/>
      <c r="AX246" s="750"/>
      <c r="AY246" s="750"/>
      <c r="AZ246" s="750"/>
      <c r="BA246" s="750"/>
      <c r="BB246" s="749"/>
      <c r="BC246" s="749"/>
      <c r="BD246" s="749"/>
      <c r="BE246" s="749"/>
    </row>
    <row r="247" s="750" customFormat="1" customHeight="1" spans="1:57">
      <c r="A247" s="749"/>
      <c r="B247" s="750"/>
      <c r="C247" s="750"/>
      <c r="D247" s="750"/>
      <c r="E247" s="750"/>
      <c r="F247" s="750"/>
      <c r="G247" s="750"/>
      <c r="H247" s="750"/>
      <c r="I247" s="750"/>
      <c r="J247" s="750"/>
      <c r="K247" s="750"/>
      <c r="L247" s="750"/>
      <c r="M247" s="750"/>
      <c r="N247" s="750"/>
      <c r="O247" s="750"/>
      <c r="P247" s="750"/>
      <c r="Q247" s="750"/>
      <c r="R247" s="750"/>
      <c r="S247" s="750"/>
      <c r="T247" s="750"/>
      <c r="U247" s="750"/>
      <c r="V247" s="750"/>
      <c r="W247" s="750"/>
      <c r="X247" s="750"/>
      <c r="Y247" s="750"/>
      <c r="Z247" s="750"/>
      <c r="AA247" s="750"/>
      <c r="AB247" s="750"/>
      <c r="AC247" s="750"/>
      <c r="AD247" s="749"/>
      <c r="AE247" s="750"/>
      <c r="AF247" s="750"/>
      <c r="AG247" s="750"/>
      <c r="AH247" s="750"/>
      <c r="AI247" s="750"/>
      <c r="AJ247" s="750"/>
      <c r="AK247" s="750"/>
      <c r="AL247" s="750"/>
      <c r="AM247" s="750"/>
      <c r="AN247" s="750"/>
      <c r="AO247" s="750"/>
      <c r="AP247" s="750"/>
      <c r="AQ247" s="750"/>
      <c r="AR247" s="750"/>
      <c r="AS247" s="750"/>
      <c r="AT247" s="750"/>
      <c r="AU247" s="750"/>
      <c r="AV247" s="750"/>
      <c r="AW247" s="750"/>
      <c r="AX247" s="750"/>
      <c r="AY247" s="750"/>
      <c r="AZ247" s="750"/>
      <c r="BA247" s="750"/>
      <c r="BB247" s="749"/>
      <c r="BC247" s="749"/>
      <c r="BD247" s="749"/>
      <c r="BE247" s="749"/>
    </row>
    <row r="248" s="750" customFormat="1" customHeight="1" spans="1:57">
      <c r="A248" s="749"/>
      <c r="B248" s="750"/>
      <c r="C248" s="750"/>
      <c r="D248" s="750"/>
      <c r="E248" s="750"/>
      <c r="F248" s="750"/>
      <c r="G248" s="750"/>
      <c r="H248" s="750"/>
      <c r="I248" s="750"/>
      <c r="J248" s="750"/>
      <c r="K248" s="750"/>
      <c r="L248" s="750"/>
      <c r="M248" s="750"/>
      <c r="N248" s="750"/>
      <c r="O248" s="750"/>
      <c r="P248" s="750"/>
      <c r="Q248" s="750"/>
      <c r="R248" s="750"/>
      <c r="S248" s="750"/>
      <c r="T248" s="750"/>
      <c r="U248" s="750"/>
      <c r="V248" s="750"/>
      <c r="W248" s="750"/>
      <c r="X248" s="750"/>
      <c r="Y248" s="750"/>
      <c r="Z248" s="750"/>
      <c r="AA248" s="750"/>
      <c r="AB248" s="750"/>
      <c r="AC248" s="750"/>
      <c r="AD248" s="749"/>
      <c r="AE248" s="750"/>
      <c r="AF248" s="750"/>
      <c r="AG248" s="750"/>
      <c r="AH248" s="750"/>
      <c r="AI248" s="750"/>
      <c r="AJ248" s="750"/>
      <c r="AK248" s="750"/>
      <c r="AL248" s="750"/>
      <c r="AM248" s="750"/>
      <c r="AN248" s="750"/>
      <c r="AO248" s="750"/>
      <c r="AP248" s="750"/>
      <c r="AQ248" s="750"/>
      <c r="AR248" s="750"/>
      <c r="AS248" s="750"/>
      <c r="AT248" s="750"/>
      <c r="AU248" s="750"/>
      <c r="AV248" s="750"/>
      <c r="AW248" s="750"/>
      <c r="AX248" s="750"/>
      <c r="AY248" s="750"/>
      <c r="AZ248" s="750"/>
      <c r="BA248" s="750"/>
      <c r="BB248" s="749"/>
      <c r="BC248" s="749"/>
      <c r="BD248" s="749"/>
      <c r="BE248" s="749"/>
    </row>
    <row r="249" s="750" customFormat="1" customHeight="1" spans="1:57">
      <c r="A249" s="749"/>
      <c r="B249" s="750"/>
      <c r="C249" s="750"/>
      <c r="D249" s="750"/>
      <c r="E249" s="750"/>
      <c r="F249" s="750"/>
      <c r="G249" s="750"/>
      <c r="H249" s="750"/>
      <c r="I249" s="750"/>
      <c r="J249" s="750"/>
      <c r="K249" s="750"/>
      <c r="L249" s="750"/>
      <c r="M249" s="750"/>
      <c r="N249" s="750"/>
      <c r="O249" s="750"/>
      <c r="P249" s="750"/>
      <c r="Q249" s="750"/>
      <c r="R249" s="750"/>
      <c r="S249" s="750"/>
      <c r="T249" s="750"/>
      <c r="U249" s="750"/>
      <c r="V249" s="750"/>
      <c r="W249" s="750"/>
      <c r="X249" s="750"/>
      <c r="Y249" s="750"/>
      <c r="Z249" s="750"/>
      <c r="AA249" s="750"/>
      <c r="AB249" s="750"/>
      <c r="AC249" s="750"/>
      <c r="AD249" s="749"/>
      <c r="AE249" s="750"/>
      <c r="AF249" s="750"/>
      <c r="AG249" s="750"/>
      <c r="AH249" s="750"/>
      <c r="AI249" s="750"/>
      <c r="AJ249" s="750"/>
      <c r="AK249" s="750"/>
      <c r="AL249" s="750"/>
      <c r="AM249" s="750"/>
      <c r="AN249" s="750"/>
      <c r="AO249" s="750"/>
      <c r="AP249" s="750"/>
      <c r="AQ249" s="750"/>
      <c r="AR249" s="750"/>
      <c r="AS249" s="750"/>
      <c r="AT249" s="750"/>
      <c r="AU249" s="750"/>
      <c r="AV249" s="750"/>
      <c r="AW249" s="750"/>
      <c r="AX249" s="750"/>
      <c r="AY249" s="750"/>
      <c r="AZ249" s="750"/>
      <c r="BA249" s="750"/>
      <c r="BB249" s="749"/>
      <c r="BC249" s="749"/>
      <c r="BD249" s="749"/>
      <c r="BE249" s="749"/>
    </row>
    <row r="250" s="750" customFormat="1" customHeight="1" spans="1:57">
      <c r="A250" s="749"/>
      <c r="B250" s="750"/>
      <c r="C250" s="750"/>
      <c r="D250" s="750"/>
      <c r="E250" s="750"/>
      <c r="F250" s="750"/>
      <c r="G250" s="750"/>
      <c r="H250" s="750"/>
      <c r="I250" s="750"/>
      <c r="J250" s="750"/>
      <c r="K250" s="750"/>
      <c r="L250" s="750"/>
      <c r="M250" s="750"/>
      <c r="N250" s="750"/>
      <c r="O250" s="750"/>
      <c r="P250" s="750"/>
      <c r="Q250" s="750"/>
      <c r="R250" s="750"/>
      <c r="S250" s="750"/>
      <c r="T250" s="750"/>
      <c r="U250" s="750"/>
      <c r="V250" s="750"/>
      <c r="W250" s="750"/>
      <c r="X250" s="750"/>
      <c r="Y250" s="750"/>
      <c r="Z250" s="750"/>
      <c r="AA250" s="750"/>
      <c r="AB250" s="750"/>
      <c r="AC250" s="750"/>
      <c r="AD250" s="749"/>
      <c r="AE250" s="750"/>
      <c r="AF250" s="750"/>
      <c r="AG250" s="750"/>
      <c r="AH250" s="750"/>
      <c r="AI250" s="750"/>
      <c r="AJ250" s="750"/>
      <c r="AK250" s="750"/>
      <c r="AL250" s="750"/>
      <c r="AM250" s="750"/>
      <c r="AN250" s="750"/>
      <c r="AO250" s="750"/>
      <c r="AP250" s="750"/>
      <c r="AQ250" s="750"/>
      <c r="AR250" s="750"/>
      <c r="AS250" s="750"/>
      <c r="AT250" s="750"/>
      <c r="AU250" s="750"/>
      <c r="AV250" s="750"/>
      <c r="AW250" s="750"/>
      <c r="AX250" s="750"/>
      <c r="AY250" s="750"/>
      <c r="AZ250" s="750"/>
      <c r="BA250" s="750"/>
      <c r="BB250" s="749"/>
      <c r="BC250" s="749"/>
      <c r="BD250" s="749"/>
      <c r="BE250" s="749"/>
    </row>
  </sheetData>
  <protectedRanges>
    <protectedRange sqref="X3:AC10" name="角色肖像"/>
    <protectedRange sqref="D3 D4 D5 H5 D6 D7 D8 D9 H9 H10 D10" name="基础档案"/>
    <protectedRange sqref="L14:AC14" name="主要特质"/>
    <protectedRange sqref="D14:G14 C15:E18 D19:I20" name="临床诊断分析"/>
    <protectedRange sqref="H26 H28:H33 P37:R42 H35:H42 O26 O28:O42 V26 V28:V35 V37:V42 AC26 AC28:AC30 AC32:AC39 AC41:AC42 AB41 W28:Y30 B26 I26 P26 W26 B35 B39 I31 I38 P31 W32 W36 U37:U42" name="技能表"/>
    <protectedRange sqref="E45:F46 E50:F51 E54 E57 J45:U49 W46 J50:AC53 J54:S56 U54:AC56 J57:AC60" name="信誉系统"/>
    <protectedRange sqref="C66 C72 C78 C84 C88 C92 O66 O75:AC94" name="档案资料"/>
    <protectedRange sqref="AX8:AZ9 AH24:AH26 AM24:AM26 AM29:AN32 AI27 AL27" name="战斗属性"/>
    <protectedRange sqref="AH33:AM34 AH35:AI38 AL35:AM36 AH41 AP33:BA35 AP36:BA36 AP40:BA40" name="武器"/>
    <protectedRange sqref="AF51:AG60 AO50:AP57 AO59:BA60" name="消耗品 投掷物 召唤物"/>
    <protectedRange sqref="AV83" name="特质查询"/>
    <protectedRange sqref="AE66:BA80" name="模组经历表"/>
    <protectedRange sqref="AH44 AH45 AH47 AP44:BA45" name="防具"/>
    <protectedRange sqref="AK4:AL4 AJ7:AN7 AI4:AJ4" name="成长表"/>
    <protectedRange sqref="S4:S10 U4:U10" name="综合体检测试"/>
  </protectedRanges>
  <mergeCells count="565">
    <mergeCell ref="B2:I2"/>
    <mergeCell ref="L2:U2"/>
    <mergeCell ref="X2:AC2"/>
    <mergeCell ref="AH2:AJ2"/>
    <mergeCell ref="B3:C3"/>
    <mergeCell ref="D3:I3"/>
    <mergeCell ref="L3:P3"/>
    <mergeCell ref="B4:C4"/>
    <mergeCell ref="D4:I4"/>
    <mergeCell ref="L4:P4"/>
    <mergeCell ref="B5:C5"/>
    <mergeCell ref="D5:E5"/>
    <mergeCell ref="F5:G5"/>
    <mergeCell ref="H5:I5"/>
    <mergeCell ref="L5:P5"/>
    <mergeCell ref="B6:C6"/>
    <mergeCell ref="D6:I6"/>
    <mergeCell ref="L6:P6"/>
    <mergeCell ref="B7:C7"/>
    <mergeCell ref="D7:I7"/>
    <mergeCell ref="L7:P7"/>
    <mergeCell ref="B8:C8"/>
    <mergeCell ref="D8:I8"/>
    <mergeCell ref="L8:P8"/>
    <mergeCell ref="AV8:AW8"/>
    <mergeCell ref="AX8:AZ8"/>
    <mergeCell ref="B9:C9"/>
    <mergeCell ref="D9:E9"/>
    <mergeCell ref="F9:G9"/>
    <mergeCell ref="H9:I9"/>
    <mergeCell ref="L9:P9"/>
    <mergeCell ref="AR9:AT9"/>
    <mergeCell ref="AV9:AW9"/>
    <mergeCell ref="AX9:AZ9"/>
    <mergeCell ref="B10:C10"/>
    <mergeCell ref="D10:E10"/>
    <mergeCell ref="F10:G10"/>
    <mergeCell ref="H10:I10"/>
    <mergeCell ref="L10:P10"/>
    <mergeCell ref="AR10:AT10"/>
    <mergeCell ref="AV10:AW10"/>
    <mergeCell ref="AX10:AZ10"/>
    <mergeCell ref="B11:C11"/>
    <mergeCell ref="D11:E11"/>
    <mergeCell ref="F11:G11"/>
    <mergeCell ref="H11:I11"/>
    <mergeCell ref="B12:I12"/>
    <mergeCell ref="L12:AC12"/>
    <mergeCell ref="B13:C13"/>
    <mergeCell ref="D13:E13"/>
    <mergeCell ref="F13:G13"/>
    <mergeCell ref="H13:I13"/>
    <mergeCell ref="L13:Q13"/>
    <mergeCell ref="R13:W13"/>
    <mergeCell ref="X13:AC13"/>
    <mergeCell ref="B14:C14"/>
    <mergeCell ref="D14:E14"/>
    <mergeCell ref="F14:G14"/>
    <mergeCell ref="H14:I14"/>
    <mergeCell ref="L14:Q14"/>
    <mergeCell ref="R14:W14"/>
    <mergeCell ref="X14:AC14"/>
    <mergeCell ref="C15:E15"/>
    <mergeCell ref="G15:I15"/>
    <mergeCell ref="C16:E16"/>
    <mergeCell ref="G16:I16"/>
    <mergeCell ref="C17:E17"/>
    <mergeCell ref="G17:I17"/>
    <mergeCell ref="C18:E18"/>
    <mergeCell ref="G18:I18"/>
    <mergeCell ref="AP18:AT18"/>
    <mergeCell ref="AU18:BA18"/>
    <mergeCell ref="D19:I19"/>
    <mergeCell ref="D20:I20"/>
    <mergeCell ref="X21:AC21"/>
    <mergeCell ref="B24:D24"/>
    <mergeCell ref="AF24:AG24"/>
    <mergeCell ref="C25:E25"/>
    <mergeCell ref="F25:H25"/>
    <mergeCell ref="J25:L25"/>
    <mergeCell ref="M25:O25"/>
    <mergeCell ref="Q25:S25"/>
    <mergeCell ref="T25:V25"/>
    <mergeCell ref="X25:Z25"/>
    <mergeCell ref="AA25:AC25"/>
    <mergeCell ref="AF25:AG25"/>
    <mergeCell ref="C26:D26"/>
    <mergeCell ref="J26:K26"/>
    <mergeCell ref="Q26:R26"/>
    <mergeCell ref="X26:Y26"/>
    <mergeCell ref="AF26:AG26"/>
    <mergeCell ref="C27:D27"/>
    <mergeCell ref="J27:K27"/>
    <mergeCell ref="Q27:R27"/>
    <mergeCell ref="X27:Y27"/>
    <mergeCell ref="AF27:AG27"/>
    <mergeCell ref="C28:D28"/>
    <mergeCell ref="J28:K28"/>
    <mergeCell ref="Q28:R28"/>
    <mergeCell ref="W28:Y28"/>
    <mergeCell ref="C29:D29"/>
    <mergeCell ref="J29:K29"/>
    <mergeCell ref="Q29:R29"/>
    <mergeCell ref="W29:Y29"/>
    <mergeCell ref="AG29:AH29"/>
    <mergeCell ref="AI29:AJ29"/>
    <mergeCell ref="AK29:AL29"/>
    <mergeCell ref="AM29:AN29"/>
    <mergeCell ref="C30:D30"/>
    <mergeCell ref="J30:K30"/>
    <mergeCell ref="Q30:R30"/>
    <mergeCell ref="W30:Y30"/>
    <mergeCell ref="AG30:AH30"/>
    <mergeCell ref="AI30:AJ30"/>
    <mergeCell ref="AK30:AL30"/>
    <mergeCell ref="AM30:AN30"/>
    <mergeCell ref="C31:D31"/>
    <mergeCell ref="J31:K31"/>
    <mergeCell ref="Q31:R31"/>
    <mergeCell ref="W31:Z31"/>
    <mergeCell ref="AA31:AC31"/>
    <mergeCell ref="AG31:AH31"/>
    <mergeCell ref="AI31:AJ31"/>
    <mergeCell ref="AK31:AL31"/>
    <mergeCell ref="AM31:AN31"/>
    <mergeCell ref="C32:D32"/>
    <mergeCell ref="J32:K32"/>
    <mergeCell ref="Q32:R32"/>
    <mergeCell ref="X32:Y32"/>
    <mergeCell ref="AG32:AH32"/>
    <mergeCell ref="AI32:AJ32"/>
    <mergeCell ref="AK32:AL32"/>
    <mergeCell ref="AM32:AN32"/>
    <mergeCell ref="C33:D33"/>
    <mergeCell ref="J33:K33"/>
    <mergeCell ref="Q33:R33"/>
    <mergeCell ref="X33:Y33"/>
    <mergeCell ref="AF33:AG33"/>
    <mergeCell ref="AH33:AM33"/>
    <mergeCell ref="AP33:AU33"/>
    <mergeCell ref="AV33:BA33"/>
    <mergeCell ref="B34:E34"/>
    <mergeCell ref="F34:H34"/>
    <mergeCell ref="J34:K34"/>
    <mergeCell ref="Q34:R34"/>
    <mergeCell ref="X34:Y34"/>
    <mergeCell ref="AF34:AG34"/>
    <mergeCell ref="AH34:AM34"/>
    <mergeCell ref="AP34:AU34"/>
    <mergeCell ref="AV34:BA34"/>
    <mergeCell ref="C35:D35"/>
    <mergeCell ref="J35:K35"/>
    <mergeCell ref="Q35:R35"/>
    <mergeCell ref="X35:Y35"/>
    <mergeCell ref="AF35:AG35"/>
    <mergeCell ref="AH35:AI35"/>
    <mergeCell ref="AJ35:AK35"/>
    <mergeCell ref="AL35:AM35"/>
    <mergeCell ref="AP35:AU35"/>
    <mergeCell ref="AV35:BA35"/>
    <mergeCell ref="C36:D36"/>
    <mergeCell ref="J36:K36"/>
    <mergeCell ref="P36:V36"/>
    <mergeCell ref="X36:Y36"/>
    <mergeCell ref="AF36:AG36"/>
    <mergeCell ref="AH36:AI36"/>
    <mergeCell ref="AJ36:AK36"/>
    <mergeCell ref="AL36:AM36"/>
    <mergeCell ref="AP36:AS36"/>
    <mergeCell ref="AT36:AW36"/>
    <mergeCell ref="AX36:BA36"/>
    <mergeCell ref="C37:D37"/>
    <mergeCell ref="J37:K37"/>
    <mergeCell ref="P37:R37"/>
    <mergeCell ref="X37:Y37"/>
    <mergeCell ref="AF37:AG37"/>
    <mergeCell ref="AH37:AI37"/>
    <mergeCell ref="AJ37:AK37"/>
    <mergeCell ref="AL37:AM37"/>
    <mergeCell ref="C38:D38"/>
    <mergeCell ref="J38:K38"/>
    <mergeCell ref="P38:R38"/>
    <mergeCell ref="X38:Y38"/>
    <mergeCell ref="AF38:AG38"/>
    <mergeCell ref="AH38:AI38"/>
    <mergeCell ref="AJ38:AK38"/>
    <mergeCell ref="AL38:AM38"/>
    <mergeCell ref="C39:D39"/>
    <mergeCell ref="J39:K39"/>
    <mergeCell ref="P39:R39"/>
    <mergeCell ref="X39:Y39"/>
    <mergeCell ref="AF39:AG39"/>
    <mergeCell ref="AH39:AI39"/>
    <mergeCell ref="AJ39:AK39"/>
    <mergeCell ref="AL39:AM39"/>
    <mergeCell ref="C40:D40"/>
    <mergeCell ref="J40:K40"/>
    <mergeCell ref="P40:R40"/>
    <mergeCell ref="W40:AC40"/>
    <mergeCell ref="AF40:AG40"/>
    <mergeCell ref="AH40:AI40"/>
    <mergeCell ref="AJ40:AK40"/>
    <mergeCell ref="AL40:AM40"/>
    <mergeCell ref="AP40:AS40"/>
    <mergeCell ref="AT40:AW40"/>
    <mergeCell ref="AX40:BA40"/>
    <mergeCell ref="C41:D41"/>
    <mergeCell ref="J41:K41"/>
    <mergeCell ref="P41:R41"/>
    <mergeCell ref="X41:Y41"/>
    <mergeCell ref="C42:D42"/>
    <mergeCell ref="J42:K42"/>
    <mergeCell ref="P42:R42"/>
    <mergeCell ref="X42:Y42"/>
    <mergeCell ref="B44:AC44"/>
    <mergeCell ref="AF44:AG44"/>
    <mergeCell ref="AH44:AM44"/>
    <mergeCell ref="C45:D45"/>
    <mergeCell ref="E45:F45"/>
    <mergeCell ref="H45:I45"/>
    <mergeCell ref="J45:K45"/>
    <mergeCell ref="L45:M45"/>
    <mergeCell ref="N45:O45"/>
    <mergeCell ref="P45:Q45"/>
    <mergeCell ref="R45:S45"/>
    <mergeCell ref="T45:U45"/>
    <mergeCell ref="V45:W45"/>
    <mergeCell ref="X45:AC45"/>
    <mergeCell ref="AF45:AG45"/>
    <mergeCell ref="AH45:AI45"/>
    <mergeCell ref="AJ45:AK45"/>
    <mergeCell ref="AL45:AM45"/>
    <mergeCell ref="C46:D46"/>
    <mergeCell ref="E46:F46"/>
    <mergeCell ref="AF46:AG46"/>
    <mergeCell ref="AH46:AI46"/>
    <mergeCell ref="AJ46:AK46"/>
    <mergeCell ref="AL46:AM46"/>
    <mergeCell ref="C47:D47"/>
    <mergeCell ref="E47:F47"/>
    <mergeCell ref="C48:D48"/>
    <mergeCell ref="E48:F48"/>
    <mergeCell ref="C49:D49"/>
    <mergeCell ref="E49:F49"/>
    <mergeCell ref="C50:D50"/>
    <mergeCell ref="E50:F50"/>
    <mergeCell ref="H50:I50"/>
    <mergeCell ref="J50:K50"/>
    <mergeCell ref="L50:M50"/>
    <mergeCell ref="N50:O50"/>
    <mergeCell ref="P50:Q50"/>
    <mergeCell ref="R50:S50"/>
    <mergeCell ref="T50:U50"/>
    <mergeCell ref="V50:W50"/>
    <mergeCell ref="X50:Y50"/>
    <mergeCell ref="Z50:AA50"/>
    <mergeCell ref="AB50:AC50"/>
    <mergeCell ref="AF50:AG50"/>
    <mergeCell ref="AH50:AM50"/>
    <mergeCell ref="C51:D51"/>
    <mergeCell ref="E51:F51"/>
    <mergeCell ref="C52:D52"/>
    <mergeCell ref="E52:F52"/>
    <mergeCell ref="C53:D53"/>
    <mergeCell ref="E53:F53"/>
    <mergeCell ref="C54:D54"/>
    <mergeCell ref="E54:F54"/>
    <mergeCell ref="H54:I54"/>
    <mergeCell ref="J54:K54"/>
    <mergeCell ref="L54:M54"/>
    <mergeCell ref="N54:O54"/>
    <mergeCell ref="P54:Q54"/>
    <mergeCell ref="R54:S54"/>
    <mergeCell ref="U54:W54"/>
    <mergeCell ref="X54:Z54"/>
    <mergeCell ref="AA54:AC54"/>
    <mergeCell ref="C55:D55"/>
    <mergeCell ref="E55:F55"/>
    <mergeCell ref="H55:I55"/>
    <mergeCell ref="J55:K55"/>
    <mergeCell ref="L55:M55"/>
    <mergeCell ref="N55:O55"/>
    <mergeCell ref="P55:Q55"/>
    <mergeCell ref="R55:S55"/>
    <mergeCell ref="U55:W55"/>
    <mergeCell ref="X55:Z55"/>
    <mergeCell ref="AA55:AC55"/>
    <mergeCell ref="C56:D56"/>
    <mergeCell ref="E56:F56"/>
    <mergeCell ref="H56:I56"/>
    <mergeCell ref="J56:K56"/>
    <mergeCell ref="L56:M56"/>
    <mergeCell ref="N56:O56"/>
    <mergeCell ref="P56:Q56"/>
    <mergeCell ref="R56:S56"/>
    <mergeCell ref="U56:W56"/>
    <mergeCell ref="X56:Z56"/>
    <mergeCell ref="AA56:AC56"/>
    <mergeCell ref="C57:D57"/>
    <mergeCell ref="E57:F57"/>
    <mergeCell ref="H57:I57"/>
    <mergeCell ref="J57:M57"/>
    <mergeCell ref="N57:Q57"/>
    <mergeCell ref="R57:U57"/>
    <mergeCell ref="V57:Y57"/>
    <mergeCell ref="Z57:AC57"/>
    <mergeCell ref="C58:D58"/>
    <mergeCell ref="E58:F58"/>
    <mergeCell ref="H58:I58"/>
    <mergeCell ref="J58:M58"/>
    <mergeCell ref="N58:Q58"/>
    <mergeCell ref="R58:U58"/>
    <mergeCell ref="V58:Y58"/>
    <mergeCell ref="Z58:AC58"/>
    <mergeCell ref="AO58:AP58"/>
    <mergeCell ref="AQ58:AR58"/>
    <mergeCell ref="AS58:AT58"/>
    <mergeCell ref="AU58:AV58"/>
    <mergeCell ref="AW58:AX58"/>
    <mergeCell ref="AY58:BA58"/>
    <mergeCell ref="C59:D59"/>
    <mergeCell ref="E59:F59"/>
    <mergeCell ref="C60:D60"/>
    <mergeCell ref="E60:F60"/>
    <mergeCell ref="AX63:AY63"/>
    <mergeCell ref="AZ63:BA63"/>
    <mergeCell ref="AV64:AW64"/>
    <mergeCell ref="AX64:AY64"/>
    <mergeCell ref="AZ64:BA64"/>
    <mergeCell ref="C65:N65"/>
    <mergeCell ref="O65:T65"/>
    <mergeCell ref="U65:AC65"/>
    <mergeCell ref="AE65:AF65"/>
    <mergeCell ref="AG65:AK65"/>
    <mergeCell ref="AL65:AO65"/>
    <mergeCell ref="AP65:AQ65"/>
    <mergeCell ref="AR65:AV65"/>
    <mergeCell ref="AW65:BA65"/>
    <mergeCell ref="C71:N71"/>
    <mergeCell ref="O73:U73"/>
    <mergeCell ref="V73:W73"/>
    <mergeCell ref="X73:Y73"/>
    <mergeCell ref="Z73:AA73"/>
    <mergeCell ref="AB73:AC73"/>
    <mergeCell ref="O74:P74"/>
    <mergeCell ref="Q74:AA74"/>
    <mergeCell ref="AB74:AC74"/>
    <mergeCell ref="C77:N77"/>
    <mergeCell ref="C83:N83"/>
    <mergeCell ref="AS83:AU83"/>
    <mergeCell ref="AV83:AY83"/>
    <mergeCell ref="C87:N87"/>
    <mergeCell ref="C91:N91"/>
    <mergeCell ref="B15:B18"/>
    <mergeCell ref="B45:B49"/>
    <mergeCell ref="B50:B53"/>
    <mergeCell ref="B54:B56"/>
    <mergeCell ref="B57:B60"/>
    <mergeCell ref="B65:B82"/>
    <mergeCell ref="B83:B94"/>
    <mergeCell ref="F15:F18"/>
    <mergeCell ref="G45:G49"/>
    <mergeCell ref="G50:G53"/>
    <mergeCell ref="G54:G56"/>
    <mergeCell ref="G57:G60"/>
    <mergeCell ref="T54:T56"/>
    <mergeCell ref="V7:V9"/>
    <mergeCell ref="V46:V49"/>
    <mergeCell ref="AE2:AE7"/>
    <mergeCell ref="AE33:AE43"/>
    <mergeCell ref="AE44:AE49"/>
    <mergeCell ref="AE50:AE60"/>
    <mergeCell ref="AE82:AE94"/>
    <mergeCell ref="AF2:AF4"/>
    <mergeCell ref="AF5:AF7"/>
    <mergeCell ref="AF82:AF85"/>
    <mergeCell ref="AF86:AF90"/>
    <mergeCell ref="AF91:AF94"/>
    <mergeCell ref="AG2:AG3"/>
    <mergeCell ref="AG5:AG6"/>
    <mergeCell ref="AL2:AL3"/>
    <mergeCell ref="AN36:AN43"/>
    <mergeCell ref="AN44:AN49"/>
    <mergeCell ref="AN50:AN57"/>
    <mergeCell ref="AN58:AN60"/>
    <mergeCell ref="AO13:AO17"/>
    <mergeCell ref="AO18:AO32"/>
    <mergeCell ref="AO37:AO39"/>
    <mergeCell ref="AO41:AO43"/>
    <mergeCell ref="AO44:AO45"/>
    <mergeCell ref="AO46:AO49"/>
    <mergeCell ref="AR82:AR94"/>
    <mergeCell ref="AV13:AV17"/>
    <mergeCell ref="AF14:AG16"/>
    <mergeCell ref="AL14:AM16"/>
    <mergeCell ref="AP8:AQ10"/>
    <mergeCell ref="O91:P92"/>
    <mergeCell ref="AB91:AC92"/>
    <mergeCell ref="O93:P94"/>
    <mergeCell ref="AB93:AC94"/>
    <mergeCell ref="AB83:AC84"/>
    <mergeCell ref="O85:P86"/>
    <mergeCell ref="AB85:AC86"/>
    <mergeCell ref="O87:P88"/>
    <mergeCell ref="AB87:AC88"/>
    <mergeCell ref="O89:P90"/>
    <mergeCell ref="AB89:AC90"/>
    <mergeCell ref="AL63:AU64"/>
    <mergeCell ref="O75:P76"/>
    <mergeCell ref="AB75:AC76"/>
    <mergeCell ref="O77:P78"/>
    <mergeCell ref="AB77:AC78"/>
    <mergeCell ref="O79:P80"/>
    <mergeCell ref="AB79:AC80"/>
    <mergeCell ref="H59:I60"/>
    <mergeCell ref="AF59:AG60"/>
    <mergeCell ref="J59:M60"/>
    <mergeCell ref="N59:Q60"/>
    <mergeCell ref="R59:U60"/>
    <mergeCell ref="V59:Y60"/>
    <mergeCell ref="Z59:AC60"/>
    <mergeCell ref="H46:I49"/>
    <mergeCell ref="J46:K49"/>
    <mergeCell ref="L46:M49"/>
    <mergeCell ref="N46:O49"/>
    <mergeCell ref="P46:Q49"/>
    <mergeCell ref="R46:S49"/>
    <mergeCell ref="T46:U49"/>
    <mergeCell ref="H51:I53"/>
    <mergeCell ref="J51:K53"/>
    <mergeCell ref="L51:M53"/>
    <mergeCell ref="N51:O53"/>
    <mergeCell ref="P51:Q53"/>
    <mergeCell ref="R51:S53"/>
    <mergeCell ref="T51:U53"/>
    <mergeCell ref="V51:W53"/>
    <mergeCell ref="X51:Y53"/>
    <mergeCell ref="Z51:AA53"/>
    <mergeCell ref="AB51:AC53"/>
    <mergeCell ref="AG9:AJ11"/>
    <mergeCell ref="AK10:AN11"/>
    <mergeCell ref="AE9:AF11"/>
    <mergeCell ref="B19:C20"/>
    <mergeCell ref="O81:P82"/>
    <mergeCell ref="AB81:AC82"/>
    <mergeCell ref="O83:P84"/>
    <mergeCell ref="AO59:AP60"/>
    <mergeCell ref="AQ59:AR60"/>
    <mergeCell ref="AS59:AT60"/>
    <mergeCell ref="AU59:AV60"/>
    <mergeCell ref="AW59:AX60"/>
    <mergeCell ref="AF51:AG52"/>
    <mergeCell ref="AF47:AG49"/>
    <mergeCell ref="AF41:AG43"/>
    <mergeCell ref="AW13:BA17"/>
    <mergeCell ref="AP23:AQ24"/>
    <mergeCell ref="AP25:AQ26"/>
    <mergeCell ref="AP27:AQ28"/>
    <mergeCell ref="AP29:AQ30"/>
    <mergeCell ref="AP31:AQ32"/>
    <mergeCell ref="AE29:AF32"/>
    <mergeCell ref="AE66:AF68"/>
    <mergeCell ref="AE69:AF71"/>
    <mergeCell ref="AE72:AF74"/>
    <mergeCell ref="AE75:AF77"/>
    <mergeCell ref="AE78:AF80"/>
    <mergeCell ref="AG66:AK68"/>
    <mergeCell ref="AL66:AO68"/>
    <mergeCell ref="AG69:AK71"/>
    <mergeCell ref="AL69:AO71"/>
    <mergeCell ref="AG72:AK74"/>
    <mergeCell ref="AL72:AO74"/>
    <mergeCell ref="AG75:AK77"/>
    <mergeCell ref="AL75:AO77"/>
    <mergeCell ref="AG78:AK80"/>
    <mergeCell ref="AL78:AO80"/>
    <mergeCell ref="AP66:AQ68"/>
    <mergeCell ref="AR66:AV68"/>
    <mergeCell ref="AW66:BA68"/>
    <mergeCell ref="AP69:AQ71"/>
    <mergeCell ref="AR69:AV71"/>
    <mergeCell ref="AW69:BA71"/>
    <mergeCell ref="AP72:AQ74"/>
    <mergeCell ref="AR72:AV74"/>
    <mergeCell ref="AW72:BA74"/>
    <mergeCell ref="AP75:AQ77"/>
    <mergeCell ref="AR75:AV77"/>
    <mergeCell ref="AW75:BA77"/>
    <mergeCell ref="AP78:AQ80"/>
    <mergeCell ref="AR78:AV80"/>
    <mergeCell ref="AW78:BA80"/>
    <mergeCell ref="AO50:AP51"/>
    <mergeCell ref="AP37:AS39"/>
    <mergeCell ref="AT37:AW39"/>
    <mergeCell ref="AX37:BA39"/>
    <mergeCell ref="AP41:AS43"/>
    <mergeCell ref="AT41:AW43"/>
    <mergeCell ref="AX41:BA43"/>
    <mergeCell ref="AN33:AO35"/>
    <mergeCell ref="AP19:AQ22"/>
    <mergeCell ref="AO52:AP53"/>
    <mergeCell ref="AO54:AP55"/>
    <mergeCell ref="AO56:AP57"/>
    <mergeCell ref="AF53:AG54"/>
    <mergeCell ref="AF55:AG56"/>
    <mergeCell ref="AF57:AG58"/>
    <mergeCell ref="C92:N94"/>
    <mergeCell ref="AS84:BA93"/>
    <mergeCell ref="AS4:AU6"/>
    <mergeCell ref="AP13:AU17"/>
    <mergeCell ref="C66:N70"/>
    <mergeCell ref="C72:N76"/>
    <mergeCell ref="C84:N86"/>
    <mergeCell ref="C88:N90"/>
    <mergeCell ref="Q91:AA92"/>
    <mergeCell ref="Q93:AA94"/>
    <mergeCell ref="Q85:AA86"/>
    <mergeCell ref="Q87:AA88"/>
    <mergeCell ref="Q89:AA90"/>
    <mergeCell ref="Q75:AA76"/>
    <mergeCell ref="Q77:AA78"/>
    <mergeCell ref="Q79:AA80"/>
    <mergeCell ref="B63:AC64"/>
    <mergeCell ref="L15:Q20"/>
    <mergeCell ref="R15:W20"/>
    <mergeCell ref="X15:AC20"/>
    <mergeCell ref="B22:AC23"/>
    <mergeCell ref="AF19:AM21"/>
    <mergeCell ref="U66:AC72"/>
    <mergeCell ref="Q81:AA82"/>
    <mergeCell ref="Q83:AA84"/>
    <mergeCell ref="C78:N82"/>
    <mergeCell ref="W46:AC49"/>
    <mergeCell ref="O66:T72"/>
    <mergeCell ref="AG82:AQ85"/>
    <mergeCell ref="AG86:AQ90"/>
    <mergeCell ref="AG91:AQ94"/>
    <mergeCell ref="AY59:BA60"/>
    <mergeCell ref="AH47:AM49"/>
    <mergeCell ref="AH41:AM43"/>
    <mergeCell ref="AR23:AZ24"/>
    <mergeCell ref="AR25:AZ26"/>
    <mergeCell ref="AR27:AZ28"/>
    <mergeCell ref="AR29:AZ30"/>
    <mergeCell ref="AR31:AZ32"/>
    <mergeCell ref="AI14:AK16"/>
    <mergeCell ref="AH51:AM52"/>
    <mergeCell ref="AP44:AR45"/>
    <mergeCell ref="AS44:AU45"/>
    <mergeCell ref="AV44:AX45"/>
    <mergeCell ref="AY44:BA45"/>
    <mergeCell ref="AP46:AR49"/>
    <mergeCell ref="AS46:AU49"/>
    <mergeCell ref="AV46:AX49"/>
    <mergeCell ref="AY46:BA49"/>
    <mergeCell ref="AR19:AZ22"/>
    <mergeCell ref="AQ50:BA51"/>
    <mergeCell ref="X3:AC10"/>
    <mergeCell ref="AQ52:BA53"/>
    <mergeCell ref="AQ54:BA55"/>
    <mergeCell ref="AQ56:BA57"/>
    <mergeCell ref="AH53:AM54"/>
    <mergeCell ref="AH55:AM56"/>
    <mergeCell ref="AH57:AM58"/>
    <mergeCell ref="AH59:AM60"/>
  </mergeCells>
  <conditionalFormatting sqref="AF36:AG36">
    <cfRule type="expression" dxfId="0" priority="44">
      <formula>$AH$36="近战"</formula>
    </cfRule>
    <cfRule type="expression" dxfId="1" priority="45">
      <formula>$AH$36="远程"</formula>
    </cfRule>
  </conditionalFormatting>
  <conditionalFormatting sqref="AJ36:AK36">
    <cfRule type="expression" dxfId="0" priority="47">
      <formula>$AL$36="物理"</formula>
    </cfRule>
    <cfRule type="expression" dxfId="2" priority="48">
      <formula>$AL$36="法术"</formula>
    </cfRule>
  </conditionalFormatting>
  <conditionalFormatting sqref="AF37:AG37">
    <cfRule type="expression" dxfId="2" priority="30">
      <formula>$AH$37="适应性"</formula>
    </cfRule>
    <cfRule type="expression" dxfId="3" priority="31">
      <formula>$AH$37="经验智慧"</formula>
    </cfRule>
    <cfRule type="expression" dxfId="1" priority="39">
      <formula>$AH$37="反应机动"</formula>
    </cfRule>
    <cfRule type="expression" dxfId="0" priority="43">
      <formula>$AH$37="物理强度"</formula>
    </cfRule>
  </conditionalFormatting>
  <conditionalFormatting sqref="AJ37:AK37">
    <cfRule type="expression" dxfId="2" priority="29">
      <formula>$AH$37="适应性"</formula>
    </cfRule>
    <cfRule type="expression" dxfId="3" priority="33">
      <formula>$AH$37="经验智慧"</formula>
    </cfRule>
    <cfRule type="expression" dxfId="1" priority="38">
      <formula>$AH$37="反应机动"</formula>
    </cfRule>
    <cfRule type="expression" dxfId="0" priority="40">
      <formula>$AH$37="物理强度"</formula>
    </cfRule>
  </conditionalFormatting>
  <conditionalFormatting sqref="AF38:AG38">
    <cfRule type="expression" dxfId="3" priority="34">
      <formula>$AH$37="经验智慧"</formula>
    </cfRule>
    <cfRule type="expression" dxfId="1" priority="37">
      <formula>$AH$37="反应机动"</formula>
    </cfRule>
    <cfRule type="expression" dxfId="0" priority="42">
      <formula>$AH$37="物理强度"</formula>
    </cfRule>
  </conditionalFormatting>
  <conditionalFormatting sqref="AJ38:AK38">
    <cfRule type="expression" dxfId="3" priority="32">
      <formula>$AH$37="经验智慧"</formula>
    </cfRule>
    <cfRule type="expression" dxfId="1" priority="36">
      <formula>$AH$37="反应机动"</formula>
    </cfRule>
    <cfRule type="expression" dxfId="0" priority="41">
      <formula>$AH$37="物理强度"</formula>
    </cfRule>
  </conditionalFormatting>
  <conditionalFormatting sqref="J50:AC50">
    <cfRule type="cellIs" dxfId="4" priority="51" operator="lessThan">
      <formula>0</formula>
    </cfRule>
  </conditionalFormatting>
  <conditionalFormatting sqref="J51">
    <cfRule type="cellIs" dxfId="4" priority="69" operator="lessThan">
      <formula>0</formula>
    </cfRule>
  </conditionalFormatting>
  <conditionalFormatting sqref="L51">
    <cfRule type="cellIs" dxfId="4" priority="68" operator="lessThan">
      <formula>0</formula>
    </cfRule>
  </conditionalFormatting>
  <conditionalFormatting sqref="N51">
    <cfRule type="cellIs" dxfId="4" priority="67" operator="lessThan">
      <formula>0</formula>
    </cfRule>
  </conditionalFormatting>
  <conditionalFormatting sqref="P51">
    <cfRule type="cellIs" dxfId="4" priority="66" operator="lessThan">
      <formula>0</formula>
    </cfRule>
  </conditionalFormatting>
  <conditionalFormatting sqref="R51">
    <cfRule type="cellIs" dxfId="4" priority="65" operator="lessThan">
      <formula>0</formula>
    </cfRule>
  </conditionalFormatting>
  <conditionalFormatting sqref="T51">
    <cfRule type="cellIs" dxfId="4" priority="64" operator="lessThan">
      <formula>0</formula>
    </cfRule>
  </conditionalFormatting>
  <conditionalFormatting sqref="V51">
    <cfRule type="cellIs" dxfId="4" priority="62" operator="lessThan">
      <formula>0</formula>
    </cfRule>
  </conditionalFormatting>
  <conditionalFormatting sqref="X51">
    <cfRule type="cellIs" dxfId="4" priority="60" operator="lessThan">
      <formula>0</formula>
    </cfRule>
  </conditionalFormatting>
  <conditionalFormatting sqref="Z51">
    <cfRule type="cellIs" dxfId="4" priority="58" operator="lessThan">
      <formula>0</formula>
    </cfRule>
  </conditionalFormatting>
  <conditionalFormatting sqref="AB51">
    <cfRule type="cellIs" dxfId="4" priority="56" operator="lessThan">
      <formula>0</formula>
    </cfRule>
  </conditionalFormatting>
  <conditionalFormatting sqref="AF38:AG38 AJ38:AK38">
    <cfRule type="expression" dxfId="2" priority="28">
      <formula>$AH$37="适应性"</formula>
    </cfRule>
  </conditionalFormatting>
  <conditionalFormatting sqref="J45:U49">
    <cfRule type="cellIs" dxfId="4" priority="70" operator="lessThan">
      <formula>0</formula>
    </cfRule>
  </conditionalFormatting>
  <dataValidations count="30">
    <dataValidation type="list" allowBlank="1" showErrorMessage="1" errorTitle="错误提示" error="请输入下拉列表中的值" sqref="D5:E5" errorStyle="information">
      <formula1>下拉列表!$V$72:$V$74</formula1>
    </dataValidation>
    <dataValidation type="list" allowBlank="1" showInputMessage="1" showErrorMessage="1" sqref="D8:I8 L14:Q14">
      <formula1>主要特质表!$A$3:$A$35</formula1>
    </dataValidation>
    <dataValidation type="list" allowBlank="1" showInputMessage="1" showErrorMessage="1" sqref="D9:E9">
      <formula1>职业图标!$A$8:$H$8</formula1>
    </dataValidation>
    <dataValidation type="list" allowBlank="1" showInputMessage="1" showErrorMessage="1" sqref="H9:I9">
      <formula1>下拉列表!$W$84:$AF$84</formula1>
    </dataValidation>
    <dataValidation allowBlank="1" showInputMessage="1" showErrorMessage="1" sqref="AR10:AT10 AL45:AM45"/>
    <dataValidation allowBlank="1" showErrorMessage="1" errorTitle="错误提示" error="请输入下拉列表中的一个值" sqref="K13:AC13 AF82" errorStyle="information"/>
    <dataValidation type="whole" operator="between" allowBlank="1" showErrorMessage="1" errorTitle="错误提示" error="请输入一个整数：数字介于 0 至 100 之间" sqref="E14:G14" errorStyle="information">
      <formula1>0</formula1>
      <formula2>100</formula2>
    </dataValidation>
    <dataValidation allowBlank="1" showErrorMessage="1" errorTitle="错误提示" error="请输入一个整数：数字介于 0 至 100 之间" sqref="H14:I14" errorStyle="information"/>
    <dataValidation type="list" allowBlank="1" showInputMessage="1" showErrorMessage="1" sqref="R14:W14">
      <formula1>主要特质表!$E$3:$E$56</formula1>
    </dataValidation>
    <dataValidation type="list" allowBlank="1" showInputMessage="1" showErrorMessage="1" sqref="X14:AC14">
      <formula1>主要特质表!$I$3:$I$14</formula1>
    </dataValidation>
    <dataValidation type="list" allowBlank="1" showInputMessage="1" showErrorMessage="1" sqref="D19:F19">
      <formula1>感染系统!$B$20:$B$21</formula1>
    </dataValidation>
    <dataValidation type="list" allowBlank="1" showInputMessage="1" showErrorMessage="1" sqref="D20:I20">
      <formula1>感染系统!$B$22:$B$23</formula1>
    </dataValidation>
    <dataValidation type="list" allowBlank="1" showInputMessage="1" showErrorMessage="1" sqref="B26 I26 P26 W26">
      <formula1>下拉列表!$V$89:$V$90</formula1>
    </dataValidation>
    <dataValidation allowBlank="1" showInputMessage="1" showErrorMessage="1" errorTitle="提示" error="精零加点上限为（4-基础值）&#10;精一加点上限为（7-基础值）&#10;精二加点上限为（10-基础值）" sqref="H26" errorStyle="warning"/>
    <dataValidation allowBlank="1" showErrorMessage="1" errorTitle="错误提示" error="请输入下拉列表中的值" sqref="X27:Y27" errorStyle="information"/>
    <dataValidation type="list" allowBlank="1" showInputMessage="1" showErrorMessage="1" sqref="I31 P31 W32 B35 W36 I38 B39">
      <formula1>下拉列表!$V$86:$V$87</formula1>
    </dataValidation>
    <dataValidation type="list" allowBlank="1" showErrorMessage="1" errorTitle="错误提示" error="请输入下拉列表中的值" sqref="AL35:AM35" errorStyle="information">
      <formula1>下拉列表!$V$33:$V$36</formula1>
    </dataValidation>
    <dataValidation type="list" allowBlank="1" showInputMessage="1" showErrorMessage="1" sqref="AH36:AI36">
      <formula1>"近战,远程"</formula1>
    </dataValidation>
    <dataValidation type="list" allowBlank="1" showInputMessage="1" showErrorMessage="1" sqref="AL36:AM36">
      <formula1>"物理,法术"</formula1>
    </dataValidation>
    <dataValidation type="list" allowBlank="1" showInputMessage="1" sqref="AP36:BA36 AP40:BA40">
      <formula1>配件及消耗品!$A$2:$A$38</formula1>
    </dataValidation>
    <dataValidation type="list" allowBlank="1" showErrorMessage="1" errorTitle="错误提示" error="请输入下拉列表中的值" sqref="AH37:AI37" errorStyle="information">
      <formula1>下拉列表!$V$3:$V$6</formula1>
    </dataValidation>
    <dataValidation type="list" allowBlank="1" showErrorMessage="1" errorTitle="错误提示" error="请输入下拉列表中的值" sqref="AH38:AI38" errorStyle="information">
      <formula1>下拉列表!$W$7:$AC$7</formula1>
    </dataValidation>
    <dataValidation type="list" allowBlank="1" showInputMessage="1" showErrorMessage="1" sqref="AH45:AI45">
      <formula1>下拉列表!$V$37:$V$40</formula1>
    </dataValidation>
    <dataValidation type="whole" operator="lessThanOrEqual" allowBlank="1" showInputMessage="1" showErrorMessage="1" errorTitle="提示" error="精零加点上限为4&#10;精一加点上限为7&#10;精二加点上限为10&#10;如果点了无视加点上限的特质，请忽略本条提示" sqref="H28:H33 H36:H38 H40:H42 O28:O30 O32:O37 O39:O42 V28:V30 V32:V35 AC27:AC30 AC33:AC35 AC37:AC39 AC41:AC42" errorStyle="warning">
      <formula1>下拉列表!$V$203</formula1>
    </dataValidation>
    <dataValidation type="list" allowBlank="1" showInputMessage="1" sqref="AO50:AP56">
      <formula1>配件及消耗品!$E$13:$E$21</formula1>
    </dataValidation>
    <dataValidation type="list" allowBlank="1" showInputMessage="1" sqref="AF51:AG59" errorStyle="warning">
      <formula1>配件及消耗品!$E$2:$E$11</formula1>
    </dataValidation>
    <dataValidation type="list" allowBlank="1" showInputMessage="1" showErrorMessage="1" sqref="C15:E18">
      <formula1>感染系统!$H$2:$H$17</formula1>
    </dataValidation>
    <dataValidation type="list" allowBlank="1" showErrorMessage="1" errorTitle="错误提示" error="请输入下拉列表中的值" sqref="W28:Y30" errorStyle="information">
      <formula1>下拉列表!$V$15:$V$31</formula1>
    </dataValidation>
    <dataValidation type="list" allowBlank="1" showInputMessage="1" sqref="AP44:BA45">
      <formula1>配件及消耗品!$A$39:$A$49</formula1>
    </dataValidation>
    <dataValidation type="list" allowBlank="1" showErrorMessage="1" errorTitle="错误提示" error="请输入下拉列表中的值" sqref="AL14:AM16" errorStyle="information">
      <formula1>下拉列表!$V$45:$V$47</formula1>
    </dataValidation>
  </dataValidations>
  <pageMargins left="0.0388888888888889" right="0.0388888888888889" top="0.0388888888888889" bottom="0" header="0.298611111111111" footer="0.298611111111111"/>
  <pageSetup paperSize="9" orientation="portrait"/>
  <headerFooter/>
  <ignoredErrors>
    <ignoredError sqref="O27 AL14" unlocked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5"/>
  </sheetPr>
  <dimension ref="B1:X296"/>
  <sheetViews>
    <sheetView showGridLines="0" zoomScale="80" zoomScaleNormal="80" workbookViewId="0">
      <selection activeCell="A1" sqref="A1"/>
    </sheetView>
  </sheetViews>
  <sheetFormatPr defaultColWidth="9" defaultRowHeight="14.4"/>
  <cols>
    <col min="1" max="1" width="3.85185185185185" style="515" customWidth="1"/>
    <col min="2" max="2" width="9.31481481481481" style="255" customWidth="1"/>
    <col min="3" max="3" width="8.87037037037037" style="44" customWidth="1"/>
    <col min="4" max="4" width="21.8148148148148" style="44" customWidth="1"/>
    <col min="5" max="6" width="47.5925925925926" style="44" customWidth="1"/>
    <col min="7" max="7" width="8.75" style="44" customWidth="1"/>
    <col min="8" max="8" width="11.3611111111111" style="255" customWidth="1"/>
    <col min="9" max="9" width="7.26851851851852" style="44" customWidth="1"/>
    <col min="10" max="10" width="12" style="44" customWidth="1"/>
    <col min="11" max="11" width="5.78703703703704" style="44" customWidth="1"/>
    <col min="12" max="13" width="8.66666666666667" style="44" customWidth="1"/>
    <col min="14" max="14" width="9" style="44"/>
    <col min="15" max="30" width="15" style="44" customWidth="1"/>
    <col min="31" max="16384" width="9" style="44"/>
  </cols>
  <sheetData>
    <row r="1" ht="31.95" spans="2:23">
      <c r="B1" s="516" t="s">
        <v>245</v>
      </c>
      <c r="C1" s="516"/>
      <c r="D1" s="516"/>
      <c r="E1" s="516"/>
      <c r="F1" s="517" t="s">
        <v>246</v>
      </c>
      <c r="N1"/>
      <c r="O1" s="255" t="s">
        <v>247</v>
      </c>
      <c r="Q1"/>
      <c r="R1"/>
      <c r="S1"/>
      <c r="T1"/>
      <c r="U1"/>
    </row>
    <row r="2" ht="17.7" spans="2:23">
      <c r="B2" s="518" t="s">
        <v>248</v>
      </c>
      <c r="C2" s="519" t="s">
        <v>249</v>
      </c>
      <c r="D2" s="520"/>
      <c r="E2" s="521" t="s">
        <v>250</v>
      </c>
      <c r="F2" s="522" t="s">
        <v>251</v>
      </c>
      <c r="G2" s="522" t="s">
        <v>252</v>
      </c>
      <c r="H2" s="521" t="s">
        <v>253</v>
      </c>
      <c r="I2" s="523">
        <f>SUM(I3,I103,I253)-SUM(I53,I153)</f>
        <v>0</v>
      </c>
      <c r="J2" s="524" t="s">
        <v>254</v>
      </c>
      <c r="K2" s="525">
        <v>40</v>
      </c>
      <c r="L2" s="526" t="s">
        <v>255</v>
      </c>
      <c r="M2" s="526"/>
      <c r="O2" s="527" t="s">
        <v>12</v>
      </c>
      <c r="P2" s="528" t="s">
        <v>256</v>
      </c>
      <c r="Q2" s="528" t="s">
        <v>85</v>
      </c>
      <c r="R2" s="528" t="s">
        <v>83</v>
      </c>
      <c r="S2" s="528" t="s">
        <v>113</v>
      </c>
      <c r="T2" s="529" t="s">
        <v>84</v>
      </c>
      <c r="U2" s="528" t="s">
        <v>86</v>
      </c>
      <c r="V2" s="530" t="s">
        <v>128</v>
      </c>
      <c r="W2" s="531"/>
    </row>
    <row r="3" ht="16.95" spans="2:23">
      <c r="B3" s="532" t="s">
        <v>257</v>
      </c>
      <c r="C3" s="533"/>
      <c r="D3" s="533"/>
      <c r="E3" s="534"/>
      <c r="F3" s="534"/>
      <c r="G3" s="534"/>
      <c r="H3" s="535" t="s">
        <v>253</v>
      </c>
      <c r="I3" s="536">
        <f>SUM(G3:G32)</f>
        <v>0</v>
      </c>
      <c r="J3" s="524" t="s">
        <v>16</v>
      </c>
      <c r="K3" s="525">
        <f>INT((主卡!AX10-1)/5)*25</f>
        <v>0</v>
      </c>
      <c r="L3" s="526"/>
      <c r="M3" s="526"/>
      <c r="O3" s="537" t="s">
        <v>258</v>
      </c>
      <c r="P3" s="538"/>
      <c r="Q3" s="538"/>
      <c r="R3" s="538"/>
      <c r="S3" s="538"/>
      <c r="T3" s="538"/>
      <c r="U3" s="538"/>
      <c r="V3" s="538"/>
      <c r="W3" s="539"/>
    </row>
    <row r="4" ht="15.15" spans="2:23">
      <c r="B4" s="540"/>
      <c r="C4" s="541" t="s">
        <v>259</v>
      </c>
      <c r="D4" s="542"/>
      <c r="E4" s="534"/>
      <c r="F4" s="534"/>
      <c r="G4" s="534"/>
      <c r="H4" s="543"/>
      <c r="I4" s="544"/>
      <c r="J4" s="524" t="s">
        <v>260</v>
      </c>
      <c r="K4" s="525">
        <f>-SUM(主要特质表!B37,主要特质表!F57,主要特质表!J16)</f>
        <v>0</v>
      </c>
      <c r="L4" s="526"/>
      <c r="M4" s="526"/>
      <c r="O4" s="545" t="s">
        <v>261</v>
      </c>
      <c r="P4" s="546" cm="1">
        <f t="array" ref="P4">SUM(参数!B2:B105*参数!C2:C105)</f>
        <v>0</v>
      </c>
      <c r="Q4" s="546" cm="1">
        <f t="array" ref="Q4">SUM(参数!B2:B105*参数!D2:D105)</f>
        <v>0</v>
      </c>
      <c r="R4" s="546" cm="1">
        <f t="array" ref="R4">SUM(参数!B2:B105*参数!E2:E105)</f>
        <v>0</v>
      </c>
      <c r="S4" s="546" cm="1">
        <f t="array" ref="S4">SUM(参数!B2:B105*参数!F2:F105)</f>
        <v>0</v>
      </c>
      <c r="T4" s="546" cm="1">
        <f t="array" ref="T4">SUM(参数!B2:B105*参数!G2:G105)</f>
        <v>0</v>
      </c>
      <c r="U4" s="546" cm="1">
        <f t="array" ref="U4">SUM(参数!B2:B105*参数!H2:H105)</f>
        <v>0</v>
      </c>
      <c r="V4" s="547" cm="1">
        <f t="array" ref="V4">SUM(参数!B2:B105*参数!I2:I105)</f>
        <v>0</v>
      </c>
      <c r="W4" s="531"/>
    </row>
    <row r="5" ht="15.15" hidden="1" outlineLevel="1" spans="2:23">
      <c r="B5" s="540"/>
      <c r="C5" s="548" t="s">
        <v>259</v>
      </c>
      <c r="D5" s="549"/>
      <c r="E5" s="534"/>
      <c r="F5" s="534"/>
      <c r="G5" s="534"/>
      <c r="H5" s="543"/>
      <c r="I5" s="544"/>
      <c r="J5" s="524"/>
      <c r="K5" s="525"/>
      <c r="L5" s="526"/>
      <c r="M5" s="526"/>
      <c r="O5" s="550"/>
      <c r="P5" s="551"/>
      <c r="Q5" s="551"/>
      <c r="R5" s="551"/>
      <c r="S5" s="551"/>
      <c r="T5" s="551"/>
      <c r="U5" s="551"/>
      <c r="V5" s="552"/>
      <c r="W5" s="531"/>
    </row>
    <row r="6" ht="15.15" hidden="1" outlineLevel="1" spans="2:23">
      <c r="B6" s="540"/>
      <c r="C6" s="548" t="s">
        <v>259</v>
      </c>
      <c r="D6" s="549"/>
      <c r="E6" s="534"/>
      <c r="F6" s="534"/>
      <c r="G6" s="534"/>
      <c r="H6" s="543"/>
      <c r="I6" s="544"/>
      <c r="J6" s="524"/>
      <c r="K6" s="525"/>
      <c r="L6" s="526"/>
      <c r="M6" s="526"/>
      <c r="O6" s="553" t="s">
        <v>262</v>
      </c>
      <c r="P6" s="554" t="s">
        <v>82</v>
      </c>
      <c r="Q6" s="554" t="s">
        <v>87</v>
      </c>
      <c r="R6" s="554" t="s">
        <v>90</v>
      </c>
      <c r="S6" s="554" t="s">
        <v>263</v>
      </c>
      <c r="T6" s="554" t="s">
        <v>100</v>
      </c>
      <c r="U6" s="554" t="s">
        <v>119</v>
      </c>
      <c r="V6" s="555"/>
      <c r="W6" s="531"/>
    </row>
    <row r="7" ht="15.15" hidden="1" outlineLevel="1" spans="2:23">
      <c r="B7" s="540"/>
      <c r="C7" s="548" t="s">
        <v>259</v>
      </c>
      <c r="D7" s="549"/>
      <c r="E7" s="534"/>
      <c r="F7" s="534"/>
      <c r="G7" s="534"/>
      <c r="H7" s="543"/>
      <c r="I7" s="544"/>
      <c r="J7" s="524"/>
      <c r="K7" s="525"/>
      <c r="L7" s="526"/>
      <c r="M7" s="526"/>
      <c r="O7" s="556"/>
      <c r="P7" s="557"/>
      <c r="Q7" s="557"/>
      <c r="R7" s="557"/>
      <c r="S7" s="557"/>
      <c r="T7" s="557"/>
      <c r="U7" s="557"/>
      <c r="V7" s="558"/>
      <c r="W7" s="531"/>
    </row>
    <row r="8" ht="15.15" collapsed="1" spans="2:23">
      <c r="B8" s="540"/>
      <c r="C8" s="533"/>
      <c r="D8" s="533"/>
      <c r="E8" s="534"/>
      <c r="F8" s="534"/>
      <c r="G8" s="534"/>
      <c r="H8" s="543"/>
      <c r="I8" s="544"/>
      <c r="J8" s="524"/>
      <c r="K8" s="525"/>
      <c r="L8" s="526"/>
      <c r="M8" s="526"/>
      <c r="O8" s="556"/>
      <c r="P8" s="557"/>
      <c r="Q8" s="557"/>
      <c r="R8" s="557"/>
      <c r="S8" s="557"/>
      <c r="T8" s="557"/>
      <c r="U8" s="557"/>
      <c r="V8" s="558"/>
      <c r="W8" s="559"/>
    </row>
    <row r="9" ht="15.15" spans="2:23">
      <c r="B9" s="540"/>
      <c r="C9" s="548" t="s">
        <v>259</v>
      </c>
      <c r="D9" s="549"/>
      <c r="E9" s="534"/>
      <c r="F9" s="534"/>
      <c r="G9" s="534"/>
      <c r="H9" s="543"/>
      <c r="I9" s="544"/>
      <c r="J9" s="524" t="s">
        <v>264</v>
      </c>
      <c r="K9" s="525">
        <f>I3+I103</f>
        <v>0</v>
      </c>
      <c r="L9" s="526"/>
      <c r="M9" s="526"/>
      <c r="O9" s="560" t="s">
        <v>258</v>
      </c>
      <c r="P9" s="561"/>
      <c r="Q9" s="561"/>
      <c r="R9" s="561"/>
      <c r="S9" s="561"/>
      <c r="T9" s="561"/>
      <c r="U9" s="561"/>
      <c r="V9" s="562"/>
      <c r="W9" s="559"/>
    </row>
    <row r="10" ht="15.15" hidden="1" outlineLevel="1" spans="2:23">
      <c r="B10" s="540"/>
      <c r="C10" s="548" t="s">
        <v>259</v>
      </c>
      <c r="D10" s="549"/>
      <c r="E10" s="534"/>
      <c r="F10" s="534"/>
      <c r="G10" s="534"/>
      <c r="H10" s="543"/>
      <c r="I10" s="544"/>
      <c r="J10" s="524"/>
      <c r="K10" s="525"/>
      <c r="L10" s="526"/>
      <c r="M10" s="526"/>
      <c r="O10" s="560"/>
      <c r="P10" s="561"/>
      <c r="Q10" s="561"/>
      <c r="R10" s="561"/>
      <c r="S10" s="561"/>
      <c r="T10" s="561"/>
      <c r="U10" s="561"/>
      <c r="V10" s="562"/>
      <c r="W10" s="531"/>
    </row>
    <row r="11" ht="15.15" hidden="1" outlineLevel="1" spans="2:23">
      <c r="B11" s="540"/>
      <c r="C11" s="548" t="s">
        <v>259</v>
      </c>
      <c r="D11" s="549"/>
      <c r="E11" s="534"/>
      <c r="F11" s="534"/>
      <c r="G11" s="534"/>
      <c r="H11" s="543"/>
      <c r="I11" s="544"/>
      <c r="J11" s="524"/>
      <c r="K11" s="525"/>
      <c r="L11" s="526"/>
      <c r="M11" s="526"/>
      <c r="O11" s="560"/>
      <c r="P11" s="561"/>
      <c r="Q11" s="561"/>
      <c r="R11" s="561"/>
      <c r="S11" s="561"/>
      <c r="T11" s="561"/>
      <c r="U11" s="561"/>
      <c r="V11" s="562"/>
      <c r="W11" s="531"/>
    </row>
    <row r="12" ht="15.15" hidden="1" outlineLevel="1" spans="2:23">
      <c r="B12" s="540"/>
      <c r="C12" s="548" t="s">
        <v>259</v>
      </c>
      <c r="D12" s="549"/>
      <c r="E12" s="534"/>
      <c r="F12" s="534"/>
      <c r="G12" s="534"/>
      <c r="H12" s="543"/>
      <c r="I12" s="544"/>
      <c r="J12" s="524"/>
      <c r="K12" s="525"/>
      <c r="L12" s="526"/>
      <c r="M12" s="526"/>
      <c r="O12" s="560"/>
      <c r="P12" s="561"/>
      <c r="Q12" s="561"/>
      <c r="R12" s="561"/>
      <c r="S12" s="561"/>
      <c r="T12" s="561"/>
      <c r="U12" s="561"/>
      <c r="V12" s="562"/>
      <c r="W12" s="531"/>
    </row>
    <row r="13" ht="15.15" collapsed="1" spans="2:23">
      <c r="B13" s="540"/>
      <c r="C13" s="533"/>
      <c r="D13" s="533"/>
      <c r="E13" s="534"/>
      <c r="F13" s="534"/>
      <c r="G13" s="534"/>
      <c r="H13" s="543"/>
      <c r="I13" s="544"/>
      <c r="J13" s="524" t="s">
        <v>265</v>
      </c>
      <c r="K13" s="525">
        <f>I53+I153</f>
        <v>0</v>
      </c>
      <c r="L13" s="526"/>
      <c r="M13" s="526"/>
      <c r="O13" s="560" t="s">
        <v>261</v>
      </c>
      <c r="P13" s="561"/>
      <c r="Q13" s="561"/>
      <c r="R13" s="561"/>
      <c r="S13" s="561"/>
      <c r="T13" s="561"/>
      <c r="U13" s="561"/>
      <c r="V13" s="562"/>
      <c r="W13" s="531"/>
    </row>
    <row r="14" ht="15.15" hidden="1" outlineLevel="1" spans="2:23">
      <c r="B14" s="540"/>
      <c r="C14" s="548" t="s">
        <v>259</v>
      </c>
      <c r="D14" s="549"/>
      <c r="E14" s="534"/>
      <c r="F14" s="534"/>
      <c r="G14" s="534"/>
      <c r="H14" s="543"/>
      <c r="I14" s="544"/>
      <c r="J14" s="524"/>
      <c r="K14" s="525"/>
      <c r="L14" s="526"/>
      <c r="M14" s="526"/>
      <c r="O14" s="560"/>
      <c r="P14" s="561"/>
      <c r="Q14" s="561"/>
      <c r="R14" s="561"/>
      <c r="S14" s="561"/>
      <c r="T14" s="561"/>
      <c r="U14" s="561"/>
      <c r="V14" s="562"/>
      <c r="W14" s="531"/>
    </row>
    <row r="15" ht="15.15" hidden="1" outlineLevel="1" spans="2:23">
      <c r="B15" s="540"/>
      <c r="C15" s="548" t="s">
        <v>259</v>
      </c>
      <c r="D15" s="549"/>
      <c r="E15" s="534"/>
      <c r="F15" s="534"/>
      <c r="G15" s="534"/>
      <c r="H15" s="543"/>
      <c r="I15" s="544"/>
      <c r="J15" s="524"/>
      <c r="K15" s="525"/>
      <c r="L15" s="526"/>
      <c r="M15" s="526"/>
      <c r="O15" s="560"/>
      <c r="P15" s="561"/>
      <c r="Q15" s="561"/>
      <c r="R15" s="561"/>
      <c r="S15" s="561"/>
      <c r="T15" s="561"/>
      <c r="U15" s="561"/>
      <c r="V15" s="562"/>
      <c r="W15" s="531"/>
    </row>
    <row r="16" ht="15.15" hidden="1" outlineLevel="1" spans="2:23">
      <c r="B16" s="540"/>
      <c r="C16" s="548" t="s">
        <v>259</v>
      </c>
      <c r="D16" s="549"/>
      <c r="E16" s="534"/>
      <c r="F16" s="534"/>
      <c r="G16" s="534"/>
      <c r="H16" s="543"/>
      <c r="I16" s="544"/>
      <c r="J16" s="524"/>
      <c r="K16" s="525"/>
      <c r="L16" s="526"/>
      <c r="M16" s="526"/>
      <c r="O16" s="550"/>
      <c r="P16" s="551"/>
      <c r="Q16" s="551"/>
      <c r="R16" s="551"/>
      <c r="S16" s="551"/>
      <c r="T16" s="551"/>
      <c r="U16" s="551"/>
      <c r="V16" s="552"/>
      <c r="W16" s="531"/>
    </row>
    <row r="17" ht="15.15" collapsed="1" spans="2:23">
      <c r="B17" s="540"/>
      <c r="C17" s="548" t="s">
        <v>259</v>
      </c>
      <c r="D17" s="549"/>
      <c r="E17" s="534"/>
      <c r="F17" s="534"/>
      <c r="G17" s="534"/>
      <c r="H17" s="543"/>
      <c r="I17" s="544"/>
      <c r="J17" s="524" t="s">
        <v>266</v>
      </c>
      <c r="K17" s="525">
        <f>K2+K3+K4-SUM(I3:I182,I253)</f>
        <v>40</v>
      </c>
      <c r="L17" s="526"/>
      <c r="M17" s="526"/>
      <c r="O17" s="553" t="s">
        <v>267</v>
      </c>
      <c r="P17" s="554"/>
      <c r="Q17" s="554"/>
      <c r="R17" s="554"/>
      <c r="S17" s="554"/>
      <c r="T17" s="554"/>
      <c r="U17" s="554"/>
      <c r="V17" s="555"/>
      <c r="W17" s="531"/>
    </row>
    <row r="18" ht="15.15" hidden="1" outlineLevel="1" spans="2:23">
      <c r="B18" s="540"/>
      <c r="C18" s="533"/>
      <c r="D18" s="533"/>
      <c r="E18" s="534"/>
      <c r="F18" s="534"/>
      <c r="G18" s="534"/>
      <c r="H18" s="543"/>
      <c r="I18" s="544"/>
      <c r="J18" s="524"/>
      <c r="K18" s="525"/>
      <c r="L18" s="526"/>
      <c r="M18" s="526"/>
      <c r="O18" s="556"/>
      <c r="P18" s="557"/>
      <c r="Q18" s="557"/>
      <c r="R18" s="557"/>
      <c r="S18" s="557"/>
      <c r="T18" s="557"/>
      <c r="U18" s="557"/>
      <c r="V18" s="558"/>
      <c r="W18" s="531"/>
    </row>
    <row r="19" ht="15.15" hidden="1" outlineLevel="2" spans="2:23">
      <c r="B19" s="540"/>
      <c r="C19" s="548" t="s">
        <v>259</v>
      </c>
      <c r="D19" s="549"/>
      <c r="E19" s="534"/>
      <c r="F19" s="534"/>
      <c r="G19" s="534"/>
      <c r="H19" s="543"/>
      <c r="I19" s="544"/>
      <c r="J19" s="524"/>
      <c r="K19" s="525"/>
      <c r="L19" s="526"/>
      <c r="M19" s="526"/>
      <c r="O19" s="556"/>
      <c r="P19" s="557"/>
      <c r="Q19" s="557"/>
      <c r="R19" s="557"/>
      <c r="S19" s="557"/>
      <c r="T19" s="557"/>
      <c r="U19" s="557"/>
      <c r="V19" s="558"/>
      <c r="W19" s="531"/>
    </row>
    <row r="20" ht="15.15" hidden="1" outlineLevel="2" spans="2:23">
      <c r="B20" s="540"/>
      <c r="C20" s="548" t="s">
        <v>259</v>
      </c>
      <c r="D20" s="549"/>
      <c r="E20" s="534"/>
      <c r="F20" s="534"/>
      <c r="G20" s="534"/>
      <c r="H20" s="543"/>
      <c r="I20" s="544"/>
      <c r="J20" s="524"/>
      <c r="K20" s="525"/>
      <c r="L20" s="526"/>
      <c r="M20" s="526"/>
      <c r="O20" s="556"/>
      <c r="P20" s="557"/>
      <c r="Q20" s="557"/>
      <c r="R20" s="557"/>
      <c r="S20" s="557"/>
      <c r="T20" s="557"/>
      <c r="U20" s="557"/>
      <c r="V20" s="558"/>
      <c r="W20" s="531"/>
    </row>
    <row r="21" ht="15.15" hidden="1" outlineLevel="2" spans="2:23">
      <c r="B21" s="540"/>
      <c r="C21" s="548" t="s">
        <v>259</v>
      </c>
      <c r="D21" s="549"/>
      <c r="E21" s="534"/>
      <c r="F21" s="534"/>
      <c r="G21" s="534"/>
      <c r="H21" s="543"/>
      <c r="I21" s="544"/>
      <c r="J21" s="524"/>
      <c r="K21" s="525"/>
      <c r="L21" s="526"/>
      <c r="M21" s="526"/>
      <c r="O21" s="556"/>
      <c r="P21" s="557"/>
      <c r="Q21" s="557"/>
      <c r="R21" s="557"/>
      <c r="S21" s="557"/>
      <c r="T21" s="557"/>
      <c r="U21" s="557"/>
      <c r="V21" s="558"/>
      <c r="W21" s="531"/>
    </row>
    <row r="22" ht="15.15" hidden="1" outlineLevel="1" collapsed="1" spans="2:23">
      <c r="B22" s="540"/>
      <c r="C22" s="548" t="s">
        <v>259</v>
      </c>
      <c r="D22" s="549"/>
      <c r="E22" s="534"/>
      <c r="F22" s="534"/>
      <c r="G22" s="534"/>
      <c r="H22" s="543"/>
      <c r="I22" s="544"/>
      <c r="J22" s="524"/>
      <c r="K22" s="525"/>
      <c r="L22" s="526"/>
      <c r="M22" s="526"/>
      <c r="O22" s="556"/>
      <c r="P22" s="557"/>
      <c r="Q22" s="557"/>
      <c r="R22" s="557"/>
      <c r="S22" s="557"/>
      <c r="T22" s="557"/>
      <c r="U22" s="557"/>
      <c r="V22" s="558"/>
      <c r="W22" s="531"/>
    </row>
    <row r="23" ht="15.15" hidden="1" outlineLevel="1" spans="2:23">
      <c r="B23" s="540"/>
      <c r="C23" s="533"/>
      <c r="D23" s="533"/>
      <c r="E23" s="534"/>
      <c r="F23" s="534"/>
      <c r="G23" s="534"/>
      <c r="H23" s="543"/>
      <c r="I23" s="544"/>
      <c r="J23" s="524"/>
      <c r="K23" s="525"/>
      <c r="L23" s="526"/>
      <c r="M23" s="526"/>
      <c r="O23" s="556"/>
      <c r="P23" s="557"/>
      <c r="Q23" s="557"/>
      <c r="R23" s="557"/>
      <c r="S23" s="557"/>
      <c r="T23" s="557"/>
      <c r="U23" s="557"/>
      <c r="V23" s="558"/>
      <c r="W23" s="531"/>
    </row>
    <row r="24" ht="15.15" hidden="1" outlineLevel="2" spans="2:23">
      <c r="B24" s="540"/>
      <c r="C24" s="548" t="s">
        <v>259</v>
      </c>
      <c r="D24" s="549"/>
      <c r="E24" s="534"/>
      <c r="F24" s="534"/>
      <c r="G24" s="534"/>
      <c r="H24" s="543"/>
      <c r="I24" s="544"/>
      <c r="J24" s="524"/>
      <c r="K24" s="525"/>
      <c r="L24" s="526"/>
      <c r="M24" s="526"/>
      <c r="O24" s="556"/>
      <c r="P24" s="557"/>
      <c r="Q24" s="557"/>
      <c r="R24" s="557"/>
      <c r="S24" s="557"/>
      <c r="T24" s="557"/>
      <c r="U24" s="557"/>
      <c r="V24" s="558"/>
      <c r="W24" s="531"/>
    </row>
    <row r="25" ht="15.15" hidden="1" outlineLevel="2" spans="2:23">
      <c r="B25" s="540"/>
      <c r="C25" s="548" t="s">
        <v>259</v>
      </c>
      <c r="D25" s="549"/>
      <c r="E25" s="534"/>
      <c r="F25" s="534"/>
      <c r="G25" s="534"/>
      <c r="H25" s="543"/>
      <c r="I25" s="544"/>
      <c r="J25" s="524"/>
      <c r="K25" s="525"/>
      <c r="L25" s="526"/>
      <c r="M25" s="526"/>
      <c r="O25" s="560" t="s">
        <v>258</v>
      </c>
      <c r="P25" s="563"/>
      <c r="Q25" s="563"/>
      <c r="R25" s="563"/>
      <c r="S25" s="563"/>
      <c r="T25" s="563"/>
      <c r="U25" s="563"/>
      <c r="V25" s="564"/>
      <c r="W25" s="531"/>
    </row>
    <row r="26" ht="15.15" hidden="1" outlineLevel="2" spans="2:23">
      <c r="B26" s="540"/>
      <c r="C26" s="548" t="s">
        <v>259</v>
      </c>
      <c r="D26" s="549"/>
      <c r="E26" s="534"/>
      <c r="F26" s="534"/>
      <c r="G26" s="534"/>
      <c r="H26" s="543"/>
      <c r="I26" s="544"/>
      <c r="J26" s="524"/>
      <c r="K26" s="525"/>
      <c r="L26" s="526"/>
      <c r="M26" s="526"/>
      <c r="O26" s="560"/>
      <c r="P26" s="565"/>
      <c r="Q26" s="565"/>
      <c r="R26" s="565"/>
      <c r="S26" s="565"/>
      <c r="T26" s="565"/>
      <c r="U26" s="565"/>
      <c r="V26" s="566"/>
      <c r="W26" s="531"/>
    </row>
    <row r="27" ht="15.15" hidden="1" outlineLevel="1" collapsed="1" spans="2:23">
      <c r="B27" s="540"/>
      <c r="C27" s="548" t="s">
        <v>259</v>
      </c>
      <c r="D27" s="549"/>
      <c r="E27" s="534"/>
      <c r="F27" s="534"/>
      <c r="G27" s="534"/>
      <c r="H27" s="543"/>
      <c r="I27" s="544"/>
      <c r="J27" s="524"/>
      <c r="K27" s="525"/>
      <c r="L27" s="526"/>
      <c r="M27" s="526"/>
      <c r="O27" s="560"/>
      <c r="P27" s="565"/>
      <c r="Q27" s="565"/>
      <c r="R27" s="565"/>
      <c r="S27" s="565"/>
      <c r="T27" s="565"/>
      <c r="U27" s="565"/>
      <c r="V27" s="566"/>
      <c r="W27" s="531"/>
    </row>
    <row r="28" ht="15.15" hidden="1" outlineLevel="1" spans="2:23">
      <c r="B28" s="540"/>
      <c r="C28" s="533"/>
      <c r="D28" s="533"/>
      <c r="E28" s="534"/>
      <c r="F28" s="534"/>
      <c r="G28" s="534"/>
      <c r="H28" s="543"/>
      <c r="I28" s="544"/>
      <c r="J28" s="524"/>
      <c r="K28" s="525"/>
      <c r="L28" s="526"/>
      <c r="M28" s="526"/>
      <c r="O28" s="560"/>
      <c r="P28" s="565"/>
      <c r="Q28" s="565"/>
      <c r="R28" s="565"/>
      <c r="S28" s="565"/>
      <c r="T28" s="565"/>
      <c r="U28" s="565"/>
      <c r="V28" s="566"/>
      <c r="W28" s="531"/>
    </row>
    <row r="29" ht="15.15" hidden="1" outlineLevel="2" spans="2:23">
      <c r="B29" s="540"/>
      <c r="C29" s="548" t="s">
        <v>259</v>
      </c>
      <c r="D29" s="549"/>
      <c r="E29" s="534"/>
      <c r="F29" s="534"/>
      <c r="G29" s="534"/>
      <c r="H29" s="543"/>
      <c r="I29" s="544"/>
      <c r="J29" s="524"/>
      <c r="K29" s="525"/>
      <c r="L29" s="526"/>
      <c r="M29" s="526"/>
      <c r="O29" s="560"/>
      <c r="P29" s="565"/>
      <c r="Q29" s="565"/>
      <c r="R29" s="565"/>
      <c r="S29" s="565"/>
      <c r="T29" s="565"/>
      <c r="U29" s="565"/>
      <c r="V29" s="566"/>
      <c r="W29" s="531"/>
    </row>
    <row r="30" ht="15.15" hidden="1" outlineLevel="2" spans="2:23">
      <c r="B30" s="540"/>
      <c r="C30" s="548" t="s">
        <v>259</v>
      </c>
      <c r="D30" s="549"/>
      <c r="E30" s="534"/>
      <c r="F30" s="534"/>
      <c r="G30" s="534"/>
      <c r="H30" s="543"/>
      <c r="I30" s="544"/>
      <c r="J30" s="524"/>
      <c r="K30" s="525"/>
      <c r="L30" s="526"/>
      <c r="M30" s="526"/>
      <c r="O30" s="560"/>
      <c r="P30" s="565"/>
      <c r="Q30" s="565"/>
      <c r="R30" s="565"/>
      <c r="S30" s="565"/>
      <c r="T30" s="565"/>
      <c r="U30" s="565"/>
      <c r="V30" s="566"/>
      <c r="W30" s="531"/>
    </row>
    <row r="31" ht="15.15" hidden="1" outlineLevel="2" spans="2:23">
      <c r="B31" s="540"/>
      <c r="C31" s="548" t="s">
        <v>259</v>
      </c>
      <c r="D31" s="549"/>
      <c r="E31" s="534"/>
      <c r="F31" s="534"/>
      <c r="G31" s="534"/>
      <c r="H31" s="543"/>
      <c r="I31" s="544"/>
      <c r="J31" s="524"/>
      <c r="K31" s="525"/>
      <c r="L31" s="526"/>
      <c r="M31" s="526"/>
      <c r="O31" s="560"/>
      <c r="P31" s="565"/>
      <c r="Q31" s="565"/>
      <c r="R31" s="565"/>
      <c r="S31" s="565"/>
      <c r="T31" s="565"/>
      <c r="U31" s="565"/>
      <c r="V31" s="566"/>
      <c r="W31" s="531"/>
    </row>
    <row r="32" ht="15.15" hidden="1" outlineLevel="1" collapsed="1" spans="2:23">
      <c r="B32" s="540"/>
      <c r="C32" s="548" t="s">
        <v>259</v>
      </c>
      <c r="D32" s="549"/>
      <c r="E32" s="534"/>
      <c r="F32" s="534"/>
      <c r="G32" s="534"/>
      <c r="H32" s="543"/>
      <c r="I32" s="544"/>
      <c r="J32" s="524"/>
      <c r="K32" s="525"/>
      <c r="L32" s="526"/>
      <c r="M32" s="526"/>
      <c r="O32" s="560"/>
      <c r="P32" s="565"/>
      <c r="Q32" s="565"/>
      <c r="R32" s="565"/>
      <c r="S32" s="565"/>
      <c r="T32" s="565"/>
      <c r="U32" s="565"/>
      <c r="V32" s="566"/>
      <c r="W32" s="531"/>
    </row>
    <row r="33" ht="15.15" hidden="1" outlineLevel="1" spans="2:23">
      <c r="B33" s="540"/>
      <c r="C33" s="533"/>
      <c r="D33" s="533"/>
      <c r="E33" s="534"/>
      <c r="F33" s="534"/>
      <c r="G33" s="534"/>
      <c r="H33" s="543"/>
      <c r="I33" s="544"/>
      <c r="J33" s="524"/>
      <c r="K33" s="525"/>
      <c r="L33" s="526"/>
      <c r="M33" s="526"/>
      <c r="O33" s="560"/>
      <c r="P33" s="565"/>
      <c r="Q33" s="565"/>
      <c r="R33" s="565"/>
      <c r="S33" s="565"/>
      <c r="T33" s="565"/>
      <c r="U33" s="565"/>
      <c r="V33" s="566"/>
      <c r="W33" s="531"/>
    </row>
    <row r="34" ht="15.15" hidden="1" outlineLevel="2" spans="2:23">
      <c r="B34" s="540"/>
      <c r="C34" s="548" t="s">
        <v>259</v>
      </c>
      <c r="D34" s="549"/>
      <c r="E34" s="534"/>
      <c r="F34" s="534"/>
      <c r="G34" s="534"/>
      <c r="H34" s="543"/>
      <c r="I34" s="544"/>
      <c r="J34" s="524"/>
      <c r="K34" s="525"/>
      <c r="L34" s="526"/>
      <c r="M34" s="526"/>
      <c r="O34" s="560"/>
      <c r="P34" s="565"/>
      <c r="Q34" s="565"/>
      <c r="R34" s="565"/>
      <c r="S34" s="565"/>
      <c r="T34" s="565"/>
      <c r="U34" s="565"/>
      <c r="V34" s="566"/>
      <c r="W34" s="531"/>
    </row>
    <row r="35" ht="15.15" hidden="1" outlineLevel="2" spans="2:23">
      <c r="B35" s="540"/>
      <c r="C35" s="548" t="s">
        <v>259</v>
      </c>
      <c r="D35" s="549"/>
      <c r="E35" s="534"/>
      <c r="F35" s="534"/>
      <c r="G35" s="534"/>
      <c r="H35" s="543"/>
      <c r="I35" s="544"/>
      <c r="J35" s="524"/>
      <c r="K35" s="525"/>
      <c r="L35" s="526"/>
      <c r="M35" s="526"/>
      <c r="O35" s="560"/>
      <c r="P35" s="565"/>
      <c r="Q35" s="565"/>
      <c r="R35" s="565"/>
      <c r="S35" s="565"/>
      <c r="T35" s="565"/>
      <c r="U35" s="565"/>
      <c r="V35" s="566"/>
      <c r="W35" s="531"/>
    </row>
    <row r="36" ht="15.15" hidden="1" outlineLevel="2" spans="2:23">
      <c r="B36" s="540"/>
      <c r="C36" s="548" t="s">
        <v>259</v>
      </c>
      <c r="D36" s="549"/>
      <c r="E36" s="534"/>
      <c r="F36" s="534"/>
      <c r="G36" s="534"/>
      <c r="H36" s="543"/>
      <c r="I36" s="544"/>
      <c r="J36" s="524"/>
      <c r="K36" s="525"/>
      <c r="L36" s="526"/>
      <c r="M36" s="526"/>
      <c r="O36" s="560"/>
      <c r="P36" s="565"/>
      <c r="Q36" s="565"/>
      <c r="R36" s="565"/>
      <c r="S36" s="565"/>
      <c r="T36" s="565"/>
      <c r="U36" s="565"/>
      <c r="V36" s="566"/>
      <c r="W36" s="531"/>
    </row>
    <row r="37" ht="15.15" hidden="1" outlineLevel="1" collapsed="1" spans="2:23">
      <c r="B37" s="540"/>
      <c r="C37" s="548" t="s">
        <v>259</v>
      </c>
      <c r="D37" s="549"/>
      <c r="E37" s="534"/>
      <c r="F37" s="534"/>
      <c r="G37" s="534"/>
      <c r="H37" s="543"/>
      <c r="I37" s="544"/>
      <c r="J37" s="524"/>
      <c r="K37" s="525"/>
      <c r="L37" s="526"/>
      <c r="M37" s="526"/>
      <c r="O37" s="560"/>
      <c r="P37" s="565"/>
      <c r="Q37" s="565"/>
      <c r="R37" s="565"/>
      <c r="S37" s="565"/>
      <c r="T37" s="565"/>
      <c r="U37" s="565"/>
      <c r="V37" s="566"/>
      <c r="W37" s="531"/>
    </row>
    <row r="38" ht="15.15" hidden="1" outlineLevel="1" spans="2:23">
      <c r="B38" s="540"/>
      <c r="C38" s="533"/>
      <c r="D38" s="533"/>
      <c r="E38" s="534"/>
      <c r="F38" s="534"/>
      <c r="G38" s="534"/>
      <c r="H38" s="543"/>
      <c r="I38" s="544"/>
      <c r="J38" s="524"/>
      <c r="K38" s="525"/>
      <c r="L38" s="526"/>
      <c r="M38" s="526"/>
      <c r="O38" s="560"/>
      <c r="P38" s="565"/>
      <c r="Q38" s="565"/>
      <c r="R38" s="565"/>
      <c r="S38" s="565"/>
      <c r="T38" s="565"/>
      <c r="U38" s="565"/>
      <c r="V38" s="566"/>
      <c r="W38" s="531"/>
    </row>
    <row r="39" ht="15.15" hidden="1" outlineLevel="2" spans="2:23">
      <c r="B39" s="540"/>
      <c r="C39" s="548" t="s">
        <v>259</v>
      </c>
      <c r="D39" s="549"/>
      <c r="E39" s="534"/>
      <c r="F39" s="534"/>
      <c r="G39" s="534"/>
      <c r="H39" s="543"/>
      <c r="I39" s="544"/>
      <c r="J39" s="524"/>
      <c r="K39" s="525"/>
      <c r="L39" s="526"/>
      <c r="M39" s="526"/>
      <c r="O39" s="560"/>
      <c r="P39" s="565"/>
      <c r="Q39" s="565"/>
      <c r="R39" s="565"/>
      <c r="S39" s="565"/>
      <c r="T39" s="565"/>
      <c r="U39" s="565"/>
      <c r="V39" s="566"/>
      <c r="W39" s="531"/>
    </row>
    <row r="40" ht="15.15" hidden="1" outlineLevel="2" spans="2:23">
      <c r="B40" s="540"/>
      <c r="C40" s="548" t="s">
        <v>259</v>
      </c>
      <c r="D40" s="549"/>
      <c r="E40" s="534"/>
      <c r="F40" s="534"/>
      <c r="G40" s="534"/>
      <c r="H40" s="543"/>
      <c r="I40" s="544"/>
      <c r="J40" s="524"/>
      <c r="K40" s="525"/>
      <c r="L40" s="526"/>
      <c r="M40" s="526"/>
      <c r="O40" s="560"/>
      <c r="P40" s="565"/>
      <c r="Q40" s="565"/>
      <c r="R40" s="565"/>
      <c r="S40" s="565"/>
      <c r="T40" s="565"/>
      <c r="U40" s="565"/>
      <c r="V40" s="566"/>
      <c r="W40" s="531"/>
    </row>
    <row r="41" ht="15.15" hidden="1" outlineLevel="2" spans="2:23">
      <c r="B41" s="540"/>
      <c r="C41" s="548" t="s">
        <v>259</v>
      </c>
      <c r="D41" s="549"/>
      <c r="E41" s="534"/>
      <c r="F41" s="534"/>
      <c r="G41" s="534"/>
      <c r="H41" s="543"/>
      <c r="I41" s="544"/>
      <c r="J41" s="524"/>
      <c r="K41" s="525"/>
      <c r="L41" s="526"/>
      <c r="M41" s="526"/>
      <c r="O41" s="560"/>
      <c r="P41" s="565"/>
      <c r="Q41" s="565"/>
      <c r="R41" s="565"/>
      <c r="S41" s="565"/>
      <c r="T41" s="565"/>
      <c r="U41" s="565"/>
      <c r="V41" s="566"/>
      <c r="W41" s="531"/>
    </row>
    <row r="42" ht="15.15" hidden="1" outlineLevel="1" collapsed="1" spans="2:23">
      <c r="B42" s="540"/>
      <c r="C42" s="548" t="s">
        <v>259</v>
      </c>
      <c r="D42" s="549"/>
      <c r="E42" s="534"/>
      <c r="F42" s="534"/>
      <c r="G42" s="534"/>
      <c r="H42" s="543"/>
      <c r="I42" s="544"/>
      <c r="J42" s="524"/>
      <c r="K42" s="525"/>
      <c r="L42" s="526"/>
      <c r="M42" s="526"/>
      <c r="O42" s="560"/>
      <c r="P42" s="565"/>
      <c r="Q42" s="565"/>
      <c r="R42" s="565"/>
      <c r="S42" s="565"/>
      <c r="T42" s="565"/>
      <c r="U42" s="565"/>
      <c r="V42" s="566"/>
      <c r="W42" s="531"/>
    </row>
    <row r="43" ht="15.15" hidden="1" outlineLevel="1" spans="2:23">
      <c r="B43" s="540"/>
      <c r="C43" s="533"/>
      <c r="D43" s="533"/>
      <c r="E43" s="534"/>
      <c r="F43" s="534"/>
      <c r="G43" s="534"/>
      <c r="H43" s="543"/>
      <c r="I43" s="544"/>
      <c r="J43" s="524"/>
      <c r="K43" s="525"/>
      <c r="L43" s="526"/>
      <c r="M43" s="526"/>
      <c r="O43" s="560"/>
      <c r="P43" s="565"/>
      <c r="Q43" s="565"/>
      <c r="R43" s="565"/>
      <c r="S43" s="565"/>
      <c r="T43" s="565"/>
      <c r="U43" s="565"/>
      <c r="V43" s="566"/>
      <c r="W43" s="531"/>
    </row>
    <row r="44" ht="15.15" hidden="1" outlineLevel="2" spans="2:23">
      <c r="B44" s="540"/>
      <c r="C44" s="548" t="s">
        <v>259</v>
      </c>
      <c r="D44" s="549"/>
      <c r="E44" s="534"/>
      <c r="F44" s="534"/>
      <c r="G44" s="534"/>
      <c r="H44" s="543"/>
      <c r="I44" s="544"/>
      <c r="J44" s="524"/>
      <c r="K44" s="525"/>
      <c r="L44" s="526"/>
      <c r="M44" s="526"/>
      <c r="O44" s="560"/>
      <c r="P44" s="565"/>
      <c r="Q44" s="565"/>
      <c r="R44" s="565"/>
      <c r="S44" s="565"/>
      <c r="T44" s="565"/>
      <c r="U44" s="565"/>
      <c r="V44" s="566"/>
      <c r="W44" s="531"/>
    </row>
    <row r="45" ht="15.15" hidden="1" outlineLevel="2" spans="2:23">
      <c r="B45" s="540"/>
      <c r="C45" s="548" t="s">
        <v>259</v>
      </c>
      <c r="D45" s="549"/>
      <c r="E45" s="534"/>
      <c r="F45" s="534"/>
      <c r="G45" s="534"/>
      <c r="H45" s="543"/>
      <c r="I45" s="544"/>
      <c r="J45" s="524"/>
      <c r="K45" s="525"/>
      <c r="L45" s="526"/>
      <c r="M45" s="526"/>
      <c r="O45" s="560"/>
      <c r="P45" s="565"/>
      <c r="Q45" s="565"/>
      <c r="R45" s="565"/>
      <c r="S45" s="565"/>
      <c r="T45" s="565"/>
      <c r="U45" s="565"/>
      <c r="V45" s="566"/>
      <c r="W45" s="531"/>
    </row>
    <row r="46" ht="15.15" hidden="1" outlineLevel="2" spans="2:23">
      <c r="B46" s="540"/>
      <c r="C46" s="548" t="s">
        <v>259</v>
      </c>
      <c r="D46" s="549"/>
      <c r="E46" s="534"/>
      <c r="F46" s="534"/>
      <c r="G46" s="534"/>
      <c r="H46" s="543"/>
      <c r="I46" s="544"/>
      <c r="J46" s="524"/>
      <c r="K46" s="525"/>
      <c r="L46" s="526"/>
      <c r="M46" s="526"/>
      <c r="O46" s="560"/>
      <c r="P46" s="565"/>
      <c r="Q46" s="565"/>
      <c r="R46" s="565"/>
      <c r="S46" s="565"/>
      <c r="T46" s="565"/>
      <c r="U46" s="565"/>
      <c r="V46" s="566"/>
      <c r="W46" s="531"/>
    </row>
    <row r="47" ht="15.15" hidden="1" outlineLevel="1" collapsed="1" spans="2:23">
      <c r="B47" s="540"/>
      <c r="C47" s="548" t="s">
        <v>259</v>
      </c>
      <c r="D47" s="549"/>
      <c r="E47" s="534"/>
      <c r="F47" s="534"/>
      <c r="G47" s="534"/>
      <c r="H47" s="543"/>
      <c r="I47" s="544"/>
      <c r="J47" s="524"/>
      <c r="K47" s="525"/>
      <c r="L47" s="526"/>
      <c r="M47" s="526"/>
      <c r="O47" s="560"/>
      <c r="P47" s="565"/>
      <c r="Q47" s="565"/>
      <c r="R47" s="565"/>
      <c r="S47" s="565"/>
      <c r="T47" s="565"/>
      <c r="U47" s="565"/>
      <c r="V47" s="566"/>
      <c r="W47" s="531"/>
    </row>
    <row r="48" ht="21.15" hidden="1" outlineLevel="1" spans="2:23">
      <c r="B48" s="540"/>
      <c r="C48" s="533"/>
      <c r="D48" s="533"/>
      <c r="E48" s="534"/>
      <c r="F48" s="534"/>
      <c r="G48" s="534"/>
      <c r="H48" s="543"/>
      <c r="I48" s="544"/>
      <c r="J48" s="524"/>
      <c r="K48" s="525"/>
      <c r="L48" s="526"/>
      <c r="M48" s="526"/>
      <c r="O48" s="560"/>
      <c r="P48" s="565"/>
      <c r="Q48" s="565"/>
      <c r="R48" s="565"/>
      <c r="S48" s="565"/>
      <c r="T48" s="565"/>
      <c r="U48" s="565"/>
      <c r="V48" s="566"/>
      <c r="W48" s="531"/>
    </row>
    <row r="49" ht="21.15" hidden="1" outlineLevel="2" spans="2:24">
      <c r="B49" s="540"/>
      <c r="C49" s="548" t="s">
        <v>259</v>
      </c>
      <c r="D49" s="549"/>
      <c r="E49" s="534"/>
      <c r="F49" s="534"/>
      <c r="G49" s="534"/>
      <c r="H49" s="543"/>
      <c r="I49" s="544"/>
      <c r="J49" s="524"/>
      <c r="K49" s="525"/>
      <c r="L49" s="526"/>
      <c r="M49" s="526"/>
      <c r="O49" s="560"/>
      <c r="P49" s="565"/>
      <c r="Q49" s="565"/>
      <c r="R49" s="565"/>
      <c r="S49" s="565"/>
      <c r="T49" s="565"/>
      <c r="U49" s="565"/>
      <c r="V49" s="566"/>
      <c r="W49" s="531"/>
    </row>
    <row r="50" ht="21.15" hidden="1" outlineLevel="2" spans="2:24">
      <c r="B50" s="540"/>
      <c r="C50" s="548" t="s">
        <v>259</v>
      </c>
      <c r="D50" s="549"/>
      <c r="E50" s="534"/>
      <c r="F50" s="534"/>
      <c r="G50" s="534"/>
      <c r="H50" s="543"/>
      <c r="I50" s="544"/>
      <c r="J50" s="524"/>
      <c r="K50" s="525"/>
      <c r="L50" s="526"/>
      <c r="M50" s="526"/>
      <c r="O50" s="560"/>
      <c r="P50" s="565"/>
      <c r="Q50" s="565"/>
      <c r="R50" s="565"/>
      <c r="S50" s="565"/>
      <c r="T50" s="565"/>
      <c r="U50" s="565"/>
      <c r="V50" s="566"/>
      <c r="W50" s="531"/>
    </row>
    <row r="51" ht="21.15" hidden="1" outlineLevel="2" spans="2:24">
      <c r="B51" s="540"/>
      <c r="C51" s="548" t="s">
        <v>259</v>
      </c>
      <c r="D51" s="549"/>
      <c r="E51" s="534"/>
      <c r="F51" s="534"/>
      <c r="G51" s="534"/>
      <c r="H51" s="543"/>
      <c r="I51" s="544"/>
      <c r="J51" s="524"/>
      <c r="K51" s="525"/>
      <c r="L51" s="526"/>
      <c r="M51" s="526"/>
      <c r="O51" s="560"/>
      <c r="P51" s="565"/>
      <c r="Q51" s="565"/>
      <c r="R51" s="565"/>
      <c r="S51" s="565"/>
      <c r="T51" s="565"/>
      <c r="U51" s="565"/>
      <c r="V51" s="566"/>
      <c r="W51" s="531"/>
    </row>
    <row r="52" ht="21.15" hidden="1" outlineLevel="1" collapsed="1" spans="2:24">
      <c r="B52" s="540"/>
      <c r="C52" s="548" t="s">
        <v>259</v>
      </c>
      <c r="D52" s="549"/>
      <c r="E52" s="534"/>
      <c r="F52" s="534"/>
      <c r="G52" s="534"/>
      <c r="H52" s="543"/>
      <c r="I52" s="544"/>
      <c r="J52" s="524"/>
      <c r="K52" s="525"/>
      <c r="L52" s="526"/>
      <c r="M52" s="526"/>
      <c r="O52" s="560"/>
      <c r="P52" s="565"/>
      <c r="Q52" s="565"/>
      <c r="R52" s="565"/>
      <c r="S52" s="565"/>
      <c r="T52" s="565"/>
      <c r="U52" s="565"/>
      <c r="V52" s="566"/>
      <c r="W52" s="531"/>
    </row>
    <row r="53" ht="16.95" collapsed="1" spans="2:24">
      <c r="B53" s="567" t="s">
        <v>268</v>
      </c>
      <c r="C53" s="568"/>
      <c r="D53" s="569"/>
      <c r="E53" s="534"/>
      <c r="F53" s="534"/>
      <c r="G53" s="534"/>
      <c r="H53" s="570" t="s">
        <v>265</v>
      </c>
      <c r="I53" s="536">
        <f>SUM(G53:G82)</f>
        <v>0</v>
      </c>
      <c r="J53" s="571" t="s">
        <v>269</v>
      </c>
      <c r="K53" s="572"/>
      <c r="L53" s="572"/>
      <c r="M53" s="573"/>
      <c r="O53" s="574"/>
      <c r="P53" s="575"/>
      <c r="Q53" s="576"/>
      <c r="R53" s="576"/>
      <c r="S53" s="576"/>
      <c r="T53" s="576"/>
      <c r="U53" s="576"/>
      <c r="V53" s="577"/>
      <c r="W53" s="559"/>
    </row>
    <row r="54" ht="15.15" spans="2:24">
      <c r="B54" s="578"/>
      <c r="C54" s="579" t="s">
        <v>259</v>
      </c>
      <c r="D54" s="549"/>
      <c r="E54" s="534"/>
      <c r="F54" s="534"/>
      <c r="G54" s="534"/>
      <c r="H54" s="580"/>
      <c r="I54" s="544"/>
      <c r="J54" s="581"/>
      <c r="K54" s="582"/>
      <c r="L54" s="582"/>
      <c r="M54" s="583"/>
      <c r="O54" s="545" t="s">
        <v>261</v>
      </c>
      <c r="P54" s="546"/>
      <c r="Q54" s="546"/>
      <c r="R54" s="546"/>
      <c r="S54" s="546"/>
      <c r="T54" s="546"/>
      <c r="U54" s="584"/>
      <c r="V54" s="562"/>
      <c r="W54" s="585"/>
    </row>
    <row r="55" ht="15.15" hidden="1" outlineLevel="1" spans="2:24">
      <c r="B55" s="578"/>
      <c r="C55" s="579" t="s">
        <v>259</v>
      </c>
      <c r="D55" s="549"/>
      <c r="E55" s="534"/>
      <c r="F55" s="534"/>
      <c r="G55" s="534"/>
      <c r="H55" s="580"/>
      <c r="I55" s="544"/>
      <c r="J55" s="586"/>
      <c r="K55" s="587"/>
      <c r="L55" s="587"/>
      <c r="M55" s="588"/>
      <c r="O55" s="550"/>
      <c r="P55" s="551"/>
      <c r="Q55" s="551"/>
      <c r="R55" s="551"/>
      <c r="S55" s="551"/>
      <c r="T55" s="551"/>
      <c r="U55" s="589"/>
      <c r="V55" s="552"/>
      <c r="W55" s="531"/>
    </row>
    <row r="56" ht="15.15" hidden="1" outlineLevel="1" spans="2:24">
      <c r="B56" s="578"/>
      <c r="C56" s="579" t="s">
        <v>259</v>
      </c>
      <c r="D56" s="549"/>
      <c r="E56" s="534"/>
      <c r="F56" s="534"/>
      <c r="G56" s="534"/>
      <c r="H56" s="580"/>
      <c r="I56" s="544"/>
      <c r="J56" s="586"/>
      <c r="K56" s="587"/>
      <c r="L56" s="587"/>
      <c r="M56" s="588"/>
      <c r="O56" s="590" t="s">
        <v>270</v>
      </c>
      <c r="P56" s="591" t="s">
        <v>7</v>
      </c>
      <c r="Q56" s="591" t="s">
        <v>92</v>
      </c>
      <c r="R56" s="591" t="s">
        <v>97</v>
      </c>
      <c r="S56" s="591" t="s">
        <v>101</v>
      </c>
      <c r="T56" s="591" t="s">
        <v>107</v>
      </c>
      <c r="U56" s="591" t="s">
        <v>112</v>
      </c>
      <c r="V56" s="591" t="s">
        <v>116</v>
      </c>
      <c r="W56" s="592" t="s">
        <v>121</v>
      </c>
    </row>
    <row r="57" ht="15.15" hidden="1" outlineLevel="1" spans="2:24">
      <c r="B57" s="578"/>
      <c r="C57" s="579" t="s">
        <v>259</v>
      </c>
      <c r="D57" s="549"/>
      <c r="E57" s="534"/>
      <c r="F57" s="534"/>
      <c r="G57" s="534"/>
      <c r="H57" s="580"/>
      <c r="I57" s="544"/>
      <c r="J57" s="586"/>
      <c r="K57" s="587"/>
      <c r="L57" s="587"/>
      <c r="M57" s="588"/>
      <c r="O57" s="593"/>
      <c r="P57" s="594"/>
      <c r="Q57" s="594"/>
      <c r="R57" s="594"/>
      <c r="S57" s="594"/>
      <c r="T57" s="594"/>
      <c r="U57" s="594"/>
      <c r="V57" s="594"/>
      <c r="W57" s="595"/>
    </row>
    <row r="58" ht="15.15" collapsed="1" spans="2:24">
      <c r="B58" s="578"/>
      <c r="C58" s="568"/>
      <c r="D58" s="569"/>
      <c r="E58" s="534"/>
      <c r="F58" s="534"/>
      <c r="G58" s="534"/>
      <c r="H58" s="580"/>
      <c r="I58" s="544"/>
      <c r="J58" s="586"/>
      <c r="K58" s="587"/>
      <c r="L58" s="587"/>
      <c r="M58" s="588"/>
      <c r="O58" s="593"/>
      <c r="P58" s="594"/>
      <c r="Q58" s="594"/>
      <c r="R58" s="594"/>
      <c r="S58" s="594"/>
      <c r="T58" s="594"/>
      <c r="U58" s="594"/>
      <c r="V58" s="594"/>
      <c r="W58" s="595"/>
    </row>
    <row r="59" ht="15.15" spans="2:24">
      <c r="B59" s="578"/>
      <c r="C59" s="579" t="s">
        <v>259</v>
      </c>
      <c r="D59" s="549"/>
      <c r="E59" s="534"/>
      <c r="F59" s="534"/>
      <c r="G59" s="534"/>
      <c r="H59" s="580"/>
      <c r="I59" s="544"/>
      <c r="J59" s="586"/>
      <c r="K59" s="587"/>
      <c r="L59" s="587"/>
      <c r="M59" s="588"/>
      <c r="O59" s="596" t="s">
        <v>258</v>
      </c>
      <c r="P59" s="597"/>
      <c r="Q59" s="597"/>
      <c r="R59" s="597"/>
      <c r="S59" s="597"/>
      <c r="T59" s="597"/>
      <c r="U59" s="597"/>
      <c r="V59" s="597"/>
      <c r="W59" s="597"/>
      <c r="X59" s="598"/>
    </row>
    <row r="60" ht="15.15" hidden="1" outlineLevel="1" spans="2:24">
      <c r="B60" s="578"/>
      <c r="C60" s="579" t="s">
        <v>259</v>
      </c>
      <c r="D60" s="549"/>
      <c r="E60" s="534"/>
      <c r="F60" s="534"/>
      <c r="G60" s="534"/>
      <c r="H60" s="580"/>
      <c r="I60" s="544"/>
      <c r="J60" s="586"/>
      <c r="K60" s="587"/>
      <c r="L60" s="587"/>
      <c r="M60" s="588"/>
      <c r="O60" s="596"/>
      <c r="P60" s="597"/>
      <c r="Q60" s="597"/>
      <c r="R60" s="597"/>
      <c r="S60" s="597"/>
      <c r="T60" s="597"/>
      <c r="U60" s="597"/>
      <c r="V60" s="597"/>
      <c r="W60" s="597"/>
    </row>
    <row r="61" ht="15.15" hidden="1" outlineLevel="1" spans="2:24">
      <c r="B61" s="578"/>
      <c r="C61" s="579" t="s">
        <v>259</v>
      </c>
      <c r="D61" s="549"/>
      <c r="E61" s="534"/>
      <c r="F61" s="534"/>
      <c r="G61" s="534"/>
      <c r="H61" s="580"/>
      <c r="I61" s="544"/>
      <c r="J61" s="586"/>
      <c r="K61" s="587"/>
      <c r="L61" s="587"/>
      <c r="M61" s="588"/>
      <c r="O61" s="596"/>
      <c r="P61" s="597"/>
      <c r="Q61" s="597"/>
      <c r="R61" s="597"/>
      <c r="S61" s="597"/>
      <c r="T61" s="597"/>
      <c r="U61" s="597"/>
      <c r="V61" s="597"/>
      <c r="W61" s="597"/>
    </row>
    <row r="62" ht="15.15" hidden="1" outlineLevel="1" spans="2:24">
      <c r="B62" s="578"/>
      <c r="C62" s="579" t="s">
        <v>259</v>
      </c>
      <c r="D62" s="549"/>
      <c r="E62" s="534"/>
      <c r="F62" s="534"/>
      <c r="G62" s="534"/>
      <c r="H62" s="580"/>
      <c r="I62" s="544"/>
      <c r="J62" s="586"/>
      <c r="K62" s="587"/>
      <c r="L62" s="587"/>
      <c r="M62" s="588"/>
      <c r="O62" s="599"/>
      <c r="P62" s="600"/>
      <c r="Q62" s="600"/>
      <c r="R62" s="600"/>
      <c r="S62" s="600"/>
      <c r="T62" s="600"/>
      <c r="U62" s="600"/>
      <c r="V62" s="600"/>
      <c r="W62" s="600"/>
    </row>
    <row r="63" ht="15.15" collapsed="1" spans="2:24">
      <c r="B63" s="578"/>
      <c r="C63" s="568"/>
      <c r="D63" s="569"/>
      <c r="E63" s="534"/>
      <c r="F63" s="534"/>
      <c r="G63" s="534"/>
      <c r="H63" s="580"/>
      <c r="I63" s="544"/>
      <c r="J63" s="586"/>
      <c r="K63" s="587"/>
      <c r="L63" s="587"/>
      <c r="M63" s="588"/>
      <c r="O63" s="601" t="s">
        <v>261</v>
      </c>
      <c r="P63" s="602" cm="1">
        <f t="array" ref="P63">SUM(参数!B2:B105*参数!BC2:BC105)</f>
        <v>0</v>
      </c>
      <c r="Q63" s="602" cm="1">
        <f t="array" ref="Q63">SUM(参数!B2:B105*参数!BD2:BD105)</f>
        <v>0</v>
      </c>
      <c r="R63" s="602" cm="1">
        <f t="array" ref="R63">SUM(参数!B2:B105*参数!BE2:BE105)</f>
        <v>0</v>
      </c>
      <c r="S63" s="602" cm="1">
        <f t="array" ref="S63">SUM(参数!B2:B105*参数!BF2:BF105)</f>
        <v>0</v>
      </c>
      <c r="T63" s="602" cm="1">
        <f t="array" ref="T63">SUM(参数!B2:B105*参数!BG2:BG105)</f>
        <v>0</v>
      </c>
      <c r="U63" s="602" cm="1">
        <f t="array" ref="U63">SUM(参数!B2:B105*参数!BH2:BH105)</f>
        <v>0</v>
      </c>
      <c r="V63" s="603" cm="1">
        <f t="array" ref="V63">SUM(参数!B2:B105*参数!BI2:BI105)</f>
        <v>0</v>
      </c>
      <c r="W63" s="604" cm="1">
        <f t="array" ref="W63">SUM(参数!B2:B105*参数!BJ2:BJ105)</f>
        <v>0</v>
      </c>
    </row>
    <row r="64" ht="15.15" hidden="1" outlineLevel="1" spans="2:24">
      <c r="B64" s="578"/>
      <c r="C64" s="579" t="s">
        <v>259</v>
      </c>
      <c r="D64" s="549"/>
      <c r="E64" s="534"/>
      <c r="F64" s="534"/>
      <c r="G64" s="534"/>
      <c r="H64" s="580"/>
      <c r="I64" s="544"/>
      <c r="J64" s="586"/>
      <c r="K64" s="587"/>
      <c r="L64" s="587"/>
      <c r="M64" s="588"/>
      <c r="O64" s="596"/>
      <c r="P64" s="597"/>
      <c r="Q64" s="597"/>
      <c r="R64" s="597"/>
      <c r="S64" s="597"/>
      <c r="T64" s="597"/>
      <c r="U64" s="597"/>
      <c r="V64" s="605"/>
      <c r="W64" s="606"/>
    </row>
    <row r="65" ht="15.15" hidden="1" outlineLevel="1" spans="2:23">
      <c r="B65" s="578"/>
      <c r="C65" s="579" t="s">
        <v>259</v>
      </c>
      <c r="D65" s="549"/>
      <c r="E65" s="534"/>
      <c r="F65" s="534"/>
      <c r="G65" s="534"/>
      <c r="H65" s="580"/>
      <c r="I65" s="544"/>
      <c r="J65" s="586"/>
      <c r="K65" s="587"/>
      <c r="L65" s="587"/>
      <c r="M65" s="588"/>
      <c r="O65" s="596"/>
      <c r="P65" s="597"/>
      <c r="Q65" s="597"/>
      <c r="R65" s="597"/>
      <c r="S65" s="597"/>
      <c r="T65" s="597"/>
      <c r="U65" s="597"/>
      <c r="V65" s="597"/>
      <c r="W65" s="606"/>
    </row>
    <row r="66" ht="15.15" hidden="1" outlineLevel="1" spans="2:23">
      <c r="B66" s="578"/>
      <c r="C66" s="579" t="s">
        <v>259</v>
      </c>
      <c r="D66" s="549"/>
      <c r="E66" s="534"/>
      <c r="F66" s="607"/>
      <c r="G66" s="534"/>
      <c r="H66" s="580"/>
      <c r="I66" s="544"/>
      <c r="J66" s="586"/>
      <c r="K66" s="587"/>
      <c r="L66" s="587"/>
      <c r="M66" s="588"/>
      <c r="O66" s="608"/>
      <c r="P66" s="609"/>
      <c r="Q66" s="609"/>
      <c r="R66" s="609"/>
      <c r="S66" s="609"/>
      <c r="T66" s="609"/>
      <c r="U66" s="609"/>
      <c r="V66" s="609"/>
      <c r="W66" s="610"/>
    </row>
    <row r="67" ht="15.15" collapsed="1" spans="2:23">
      <c r="B67" s="578"/>
      <c r="C67" s="579" t="s">
        <v>259</v>
      </c>
      <c r="D67" s="549"/>
      <c r="E67" s="611"/>
      <c r="F67" s="612"/>
      <c r="G67" s="534"/>
      <c r="H67" s="580"/>
      <c r="I67" s="544"/>
      <c r="J67" s="586"/>
      <c r="K67" s="587"/>
      <c r="L67" s="587"/>
      <c r="M67" s="588"/>
      <c r="O67" s="613" t="s">
        <v>271</v>
      </c>
      <c r="P67" s="614" t="s">
        <v>30</v>
      </c>
      <c r="Q67" s="614" t="s">
        <v>139</v>
      </c>
      <c r="R67" s="614" t="s">
        <v>146</v>
      </c>
      <c r="S67" s="615" t="s">
        <v>153</v>
      </c>
      <c r="T67" s="616"/>
      <c r="U67" s="616"/>
      <c r="V67" s="616"/>
      <c r="W67" s="616"/>
    </row>
    <row r="68" ht="15.15" hidden="1" outlineLevel="1" spans="2:23">
      <c r="B68" s="578"/>
      <c r="C68" s="568"/>
      <c r="D68" s="569"/>
      <c r="E68" s="534"/>
      <c r="F68" s="617"/>
      <c r="G68" s="534"/>
      <c r="H68" s="580"/>
      <c r="I68" s="544"/>
      <c r="J68" s="586"/>
      <c r="K68" s="587"/>
      <c r="L68" s="587"/>
      <c r="M68" s="588"/>
      <c r="O68" s="618"/>
      <c r="P68" s="619"/>
      <c r="Q68" s="619"/>
      <c r="R68" s="619"/>
      <c r="S68" s="620"/>
      <c r="T68" s="531"/>
      <c r="U68" s="531"/>
      <c r="V68" s="531"/>
      <c r="W68" s="531"/>
    </row>
    <row r="69" ht="15.15" hidden="1" outlineLevel="2" spans="2:23">
      <c r="B69" s="578"/>
      <c r="C69" s="579" t="s">
        <v>259</v>
      </c>
      <c r="D69" s="549"/>
      <c r="E69" s="534"/>
      <c r="F69" s="534"/>
      <c r="G69" s="534"/>
      <c r="H69" s="580"/>
      <c r="I69" s="544"/>
      <c r="J69" s="586"/>
      <c r="K69" s="587"/>
      <c r="L69" s="587"/>
      <c r="M69" s="588"/>
      <c r="O69" s="618"/>
      <c r="P69" s="619"/>
      <c r="Q69" s="619"/>
      <c r="R69" s="619"/>
      <c r="S69" s="620"/>
      <c r="T69" s="531"/>
      <c r="U69" s="531"/>
      <c r="V69" s="531"/>
      <c r="W69" s="531"/>
    </row>
    <row r="70" ht="15.15" hidden="1" outlineLevel="2" spans="2:23">
      <c r="B70" s="578"/>
      <c r="C70" s="579" t="s">
        <v>259</v>
      </c>
      <c r="D70" s="549"/>
      <c r="E70" s="534"/>
      <c r="F70" s="534"/>
      <c r="G70" s="534"/>
      <c r="H70" s="580"/>
      <c r="I70" s="544"/>
      <c r="J70" s="586"/>
      <c r="K70" s="587"/>
      <c r="L70" s="587"/>
      <c r="M70" s="588"/>
      <c r="O70" s="618"/>
      <c r="P70" s="619"/>
      <c r="Q70" s="619"/>
      <c r="R70" s="619"/>
      <c r="S70" s="620"/>
      <c r="T70" s="531"/>
      <c r="U70" s="531"/>
      <c r="V70" s="531"/>
      <c r="W70" s="531"/>
    </row>
    <row r="71" ht="15.15" hidden="1" outlineLevel="2" spans="2:23">
      <c r="B71" s="578"/>
      <c r="C71" s="579" t="s">
        <v>259</v>
      </c>
      <c r="D71" s="549"/>
      <c r="E71" s="534"/>
      <c r="F71" s="534"/>
      <c r="G71" s="534"/>
      <c r="H71" s="580"/>
      <c r="I71" s="544"/>
      <c r="J71" s="586"/>
      <c r="K71" s="587"/>
      <c r="L71" s="587"/>
      <c r="M71" s="588"/>
      <c r="O71" s="618"/>
      <c r="P71" s="619"/>
      <c r="Q71" s="619"/>
      <c r="R71" s="619"/>
      <c r="S71" s="620"/>
      <c r="T71" s="531"/>
      <c r="U71" s="531"/>
      <c r="V71" s="531"/>
      <c r="W71" s="531"/>
    </row>
    <row r="72" ht="15.15" hidden="1" outlineLevel="1" collapsed="1" spans="2:23">
      <c r="B72" s="578"/>
      <c r="C72" s="579" t="s">
        <v>259</v>
      </c>
      <c r="D72" s="549"/>
      <c r="E72" s="534"/>
      <c r="F72" s="534"/>
      <c r="G72" s="534"/>
      <c r="H72" s="580"/>
      <c r="I72" s="544"/>
      <c r="J72" s="586"/>
      <c r="K72" s="587"/>
      <c r="L72" s="587"/>
      <c r="M72" s="588"/>
      <c r="O72" s="618"/>
      <c r="P72" s="619"/>
      <c r="Q72" s="619"/>
      <c r="R72" s="619"/>
      <c r="S72" s="620"/>
      <c r="T72" s="531"/>
      <c r="U72" s="531"/>
      <c r="V72" s="531"/>
      <c r="W72" s="531"/>
    </row>
    <row r="73" ht="15.15" hidden="1" outlineLevel="1" spans="2:23">
      <c r="B73" s="578"/>
      <c r="C73" s="568"/>
      <c r="D73" s="569"/>
      <c r="E73" s="534"/>
      <c r="F73" s="534"/>
      <c r="G73" s="534"/>
      <c r="H73" s="580"/>
      <c r="I73" s="544"/>
      <c r="J73" s="586"/>
      <c r="K73" s="587"/>
      <c r="L73" s="587"/>
      <c r="M73" s="588"/>
      <c r="O73" s="618"/>
      <c r="P73" s="619"/>
      <c r="Q73" s="619"/>
      <c r="R73" s="619"/>
      <c r="S73" s="620"/>
      <c r="T73" s="531"/>
      <c r="U73" s="531"/>
      <c r="V73" s="531"/>
      <c r="W73" s="531"/>
    </row>
    <row r="74" ht="15.15" hidden="1" outlineLevel="2" spans="2:23">
      <c r="B74" s="578"/>
      <c r="C74" s="579" t="s">
        <v>259</v>
      </c>
      <c r="D74" s="549"/>
      <c r="E74" s="534"/>
      <c r="F74" s="534"/>
      <c r="G74" s="534"/>
      <c r="H74" s="580"/>
      <c r="I74" s="544"/>
      <c r="J74" s="586"/>
      <c r="K74" s="587"/>
      <c r="L74" s="587"/>
      <c r="M74" s="588"/>
      <c r="O74" s="618"/>
      <c r="P74" s="619"/>
      <c r="Q74" s="619"/>
      <c r="R74" s="619"/>
      <c r="S74" s="620"/>
      <c r="T74" s="531"/>
      <c r="U74" s="531"/>
      <c r="V74" s="531"/>
      <c r="W74" s="531"/>
    </row>
    <row r="75" ht="15.15" hidden="1" outlineLevel="2" spans="2:23">
      <c r="B75" s="578"/>
      <c r="C75" s="579" t="s">
        <v>259</v>
      </c>
      <c r="D75" s="549"/>
      <c r="E75" s="534"/>
      <c r="F75" s="534"/>
      <c r="G75" s="534"/>
      <c r="H75" s="580"/>
      <c r="I75" s="544"/>
      <c r="J75" s="586"/>
      <c r="K75" s="587"/>
      <c r="L75" s="587"/>
      <c r="M75" s="588"/>
      <c r="O75" s="621" t="s">
        <v>258</v>
      </c>
      <c r="P75" s="622"/>
      <c r="Q75" s="622"/>
      <c r="R75" s="622"/>
      <c r="S75" s="622"/>
      <c r="T75" s="531"/>
      <c r="U75" s="531"/>
      <c r="V75" s="531"/>
      <c r="W75" s="531"/>
    </row>
    <row r="76" ht="15.15" hidden="1" outlineLevel="2" spans="2:23">
      <c r="B76" s="578"/>
      <c r="C76" s="579" t="s">
        <v>259</v>
      </c>
      <c r="D76" s="549"/>
      <c r="E76" s="534"/>
      <c r="F76" s="534"/>
      <c r="G76" s="534"/>
      <c r="H76" s="580"/>
      <c r="I76" s="544"/>
      <c r="J76" s="586"/>
      <c r="K76" s="587"/>
      <c r="L76" s="587"/>
      <c r="M76" s="588"/>
      <c r="O76" s="621"/>
      <c r="P76" s="623"/>
      <c r="Q76" s="623"/>
      <c r="R76" s="623"/>
      <c r="S76" s="623"/>
      <c r="T76" s="531"/>
      <c r="U76" s="531"/>
      <c r="V76" s="531"/>
      <c r="W76" s="531"/>
    </row>
    <row r="77" ht="15.15" hidden="1" outlineLevel="1" collapsed="1" spans="2:23">
      <c r="B77" s="578"/>
      <c r="C77" s="579" t="s">
        <v>259</v>
      </c>
      <c r="D77" s="549"/>
      <c r="E77" s="534"/>
      <c r="F77" s="534"/>
      <c r="G77" s="534"/>
      <c r="H77" s="580"/>
      <c r="I77" s="544"/>
      <c r="J77" s="586"/>
      <c r="K77" s="587"/>
      <c r="L77" s="587"/>
      <c r="M77" s="588"/>
      <c r="O77" s="621"/>
      <c r="P77" s="623"/>
      <c r="Q77" s="623"/>
      <c r="R77" s="623"/>
      <c r="S77" s="623"/>
      <c r="T77" s="531"/>
      <c r="U77" s="531"/>
      <c r="V77" s="531"/>
      <c r="W77" s="531"/>
    </row>
    <row r="78" ht="15.15" hidden="1" outlineLevel="1" spans="2:23">
      <c r="B78" s="578"/>
      <c r="C78" s="568"/>
      <c r="D78" s="569"/>
      <c r="E78" s="534"/>
      <c r="F78" s="534"/>
      <c r="G78" s="534"/>
      <c r="H78" s="580"/>
      <c r="I78" s="544"/>
      <c r="J78" s="586"/>
      <c r="K78" s="587"/>
      <c r="L78" s="587"/>
      <c r="M78" s="588"/>
      <c r="O78" s="621"/>
      <c r="P78" s="623"/>
      <c r="Q78" s="623"/>
      <c r="R78" s="623"/>
      <c r="S78" s="623"/>
      <c r="T78" s="531"/>
      <c r="U78" s="531"/>
      <c r="V78" s="531"/>
      <c r="W78" s="531"/>
    </row>
    <row r="79" ht="15.15" hidden="1" outlineLevel="2" spans="2:23">
      <c r="B79" s="578"/>
      <c r="C79" s="579" t="s">
        <v>259</v>
      </c>
      <c r="D79" s="549"/>
      <c r="E79" s="534"/>
      <c r="F79" s="534"/>
      <c r="G79" s="534"/>
      <c r="H79" s="580"/>
      <c r="I79" s="544"/>
      <c r="J79" s="586"/>
      <c r="K79" s="587"/>
      <c r="L79" s="587"/>
      <c r="M79" s="588"/>
      <c r="O79" s="621"/>
      <c r="P79" s="623"/>
      <c r="Q79" s="623"/>
      <c r="R79" s="623"/>
      <c r="S79" s="623"/>
      <c r="T79" s="531"/>
      <c r="U79" s="531"/>
      <c r="V79" s="531"/>
      <c r="W79" s="531"/>
    </row>
    <row r="80" ht="15.15" hidden="1" outlineLevel="2" spans="2:23">
      <c r="B80" s="578"/>
      <c r="C80" s="579" t="s">
        <v>259</v>
      </c>
      <c r="D80" s="549"/>
      <c r="E80" s="534"/>
      <c r="F80" s="534"/>
      <c r="G80" s="534"/>
      <c r="H80" s="580"/>
      <c r="I80" s="544"/>
      <c r="J80" s="586"/>
      <c r="K80" s="587"/>
      <c r="L80" s="587"/>
      <c r="M80" s="588"/>
      <c r="O80" s="621"/>
      <c r="P80" s="623"/>
      <c r="Q80" s="623"/>
      <c r="R80" s="623"/>
      <c r="S80" s="623"/>
      <c r="T80" s="531"/>
      <c r="U80" s="531"/>
      <c r="V80" s="531"/>
      <c r="W80" s="531"/>
    </row>
    <row r="81" ht="15.15" hidden="1" outlineLevel="2" spans="2:23">
      <c r="B81" s="578"/>
      <c r="C81" s="579" t="s">
        <v>259</v>
      </c>
      <c r="D81" s="549"/>
      <c r="E81" s="534"/>
      <c r="F81" s="534"/>
      <c r="G81" s="534"/>
      <c r="H81" s="580"/>
      <c r="I81" s="544"/>
      <c r="J81" s="586"/>
      <c r="K81" s="587"/>
      <c r="L81" s="587"/>
      <c r="M81" s="588"/>
      <c r="O81" s="621"/>
      <c r="P81" s="623"/>
      <c r="Q81" s="623"/>
      <c r="R81" s="623"/>
      <c r="S81" s="623"/>
      <c r="T81" s="531"/>
      <c r="U81" s="531"/>
      <c r="V81" s="531"/>
      <c r="W81" s="531"/>
    </row>
    <row r="82" ht="15.15" hidden="1" outlineLevel="1" collapsed="1" spans="2:23">
      <c r="B82" s="578"/>
      <c r="C82" s="579" t="s">
        <v>259</v>
      </c>
      <c r="D82" s="549"/>
      <c r="E82" s="534"/>
      <c r="F82" s="534"/>
      <c r="G82" s="534"/>
      <c r="H82" s="580"/>
      <c r="I82" s="544"/>
      <c r="J82" s="586"/>
      <c r="K82" s="587"/>
      <c r="L82" s="587"/>
      <c r="M82" s="588"/>
      <c r="O82" s="621"/>
      <c r="P82" s="623"/>
      <c r="Q82" s="623"/>
      <c r="R82" s="623"/>
      <c r="S82" s="623"/>
      <c r="T82" s="531"/>
      <c r="U82" s="531"/>
      <c r="V82" s="531"/>
      <c r="W82" s="531"/>
    </row>
    <row r="83" ht="15.15" hidden="1" outlineLevel="1" spans="2:23">
      <c r="B83" s="578"/>
      <c r="C83" s="568"/>
      <c r="D83" s="569"/>
      <c r="E83" s="534"/>
      <c r="F83" s="534"/>
      <c r="G83" s="534"/>
      <c r="H83" s="580"/>
      <c r="I83" s="544"/>
      <c r="J83" s="586"/>
      <c r="K83" s="587"/>
      <c r="L83" s="587"/>
      <c r="M83" s="588"/>
      <c r="O83" s="621"/>
      <c r="P83" s="623"/>
      <c r="Q83" s="623"/>
      <c r="R83" s="623"/>
      <c r="S83" s="623"/>
      <c r="T83" s="531"/>
      <c r="U83" s="531"/>
      <c r="V83" s="531"/>
      <c r="W83" s="531"/>
    </row>
    <row r="84" ht="15.15" hidden="1" outlineLevel="2" spans="2:23">
      <c r="B84" s="578"/>
      <c r="C84" s="579" t="s">
        <v>259</v>
      </c>
      <c r="D84" s="549"/>
      <c r="E84" s="534"/>
      <c r="F84" s="534"/>
      <c r="G84" s="534"/>
      <c r="H84" s="580"/>
      <c r="I84" s="544"/>
      <c r="J84" s="586"/>
      <c r="K84" s="587"/>
      <c r="L84" s="587"/>
      <c r="M84" s="588"/>
      <c r="O84" s="621"/>
      <c r="P84" s="623"/>
      <c r="Q84" s="623"/>
      <c r="R84" s="623"/>
      <c r="S84" s="623"/>
      <c r="T84" s="531"/>
      <c r="U84" s="531"/>
      <c r="V84" s="531"/>
      <c r="W84" s="531"/>
    </row>
    <row r="85" ht="15.15" hidden="1" outlineLevel="2" spans="2:23">
      <c r="B85" s="578"/>
      <c r="C85" s="579" t="s">
        <v>259</v>
      </c>
      <c r="D85" s="549"/>
      <c r="E85" s="534"/>
      <c r="F85" s="534"/>
      <c r="G85" s="534"/>
      <c r="H85" s="580"/>
      <c r="I85" s="544"/>
      <c r="J85" s="586"/>
      <c r="K85" s="587"/>
      <c r="L85" s="587"/>
      <c r="M85" s="588"/>
      <c r="O85" s="621"/>
      <c r="P85" s="623"/>
      <c r="Q85" s="623"/>
      <c r="R85" s="623"/>
      <c r="S85" s="623"/>
      <c r="T85" s="531"/>
      <c r="U85" s="531"/>
      <c r="V85" s="531"/>
      <c r="W85" s="531"/>
    </row>
    <row r="86" ht="15.15" hidden="1" outlineLevel="2" spans="2:23">
      <c r="B86" s="578"/>
      <c r="C86" s="579" t="s">
        <v>259</v>
      </c>
      <c r="D86" s="549"/>
      <c r="E86" s="534"/>
      <c r="F86" s="534"/>
      <c r="G86" s="534"/>
      <c r="H86" s="580"/>
      <c r="I86" s="544"/>
      <c r="J86" s="586"/>
      <c r="K86" s="587"/>
      <c r="L86" s="587"/>
      <c r="M86" s="588"/>
      <c r="O86" s="621"/>
      <c r="P86" s="623"/>
      <c r="Q86" s="623"/>
      <c r="R86" s="623"/>
      <c r="S86" s="623"/>
      <c r="T86" s="531"/>
      <c r="U86" s="531"/>
      <c r="V86" s="531"/>
      <c r="W86" s="531"/>
    </row>
    <row r="87" ht="15.15" hidden="1" outlineLevel="1" collapsed="1" spans="2:23">
      <c r="B87" s="578"/>
      <c r="C87" s="579" t="s">
        <v>259</v>
      </c>
      <c r="D87" s="549"/>
      <c r="E87" s="534"/>
      <c r="F87" s="534"/>
      <c r="G87" s="534"/>
      <c r="H87" s="580"/>
      <c r="I87" s="544"/>
      <c r="J87" s="586"/>
      <c r="K87" s="587"/>
      <c r="L87" s="587"/>
      <c r="M87" s="588"/>
      <c r="O87" s="621"/>
      <c r="P87" s="623"/>
      <c r="Q87" s="623"/>
      <c r="R87" s="623"/>
      <c r="S87" s="623"/>
      <c r="T87" s="531"/>
      <c r="U87" s="531"/>
      <c r="V87" s="531"/>
      <c r="W87" s="531"/>
    </row>
    <row r="88" ht="15.15" hidden="1" outlineLevel="1" spans="2:23">
      <c r="B88" s="578"/>
      <c r="C88" s="568"/>
      <c r="D88" s="569"/>
      <c r="E88" s="534"/>
      <c r="F88" s="534"/>
      <c r="G88" s="534"/>
      <c r="H88" s="580"/>
      <c r="I88" s="544"/>
      <c r="J88" s="586"/>
      <c r="K88" s="587"/>
      <c r="L88" s="587"/>
      <c r="M88" s="588"/>
      <c r="O88" s="621"/>
      <c r="P88" s="623"/>
      <c r="Q88" s="623"/>
      <c r="R88" s="623"/>
      <c r="S88" s="623"/>
      <c r="T88" s="531"/>
      <c r="U88" s="531"/>
      <c r="V88" s="531"/>
      <c r="W88" s="531"/>
    </row>
    <row r="89" ht="15.15" hidden="1" outlineLevel="2" spans="2:23">
      <c r="B89" s="578"/>
      <c r="C89" s="579" t="s">
        <v>259</v>
      </c>
      <c r="D89" s="549"/>
      <c r="E89" s="534"/>
      <c r="F89" s="534"/>
      <c r="G89" s="534"/>
      <c r="H89" s="580"/>
      <c r="I89" s="544"/>
      <c r="J89" s="586"/>
      <c r="K89" s="587"/>
      <c r="L89" s="587"/>
      <c r="M89" s="588"/>
      <c r="O89" s="621"/>
      <c r="P89" s="623"/>
      <c r="Q89" s="623"/>
      <c r="R89" s="623"/>
      <c r="S89" s="623"/>
      <c r="T89" s="531"/>
      <c r="U89" s="531"/>
      <c r="V89" s="531"/>
      <c r="W89" s="531"/>
    </row>
    <row r="90" ht="15.15" hidden="1" outlineLevel="2" spans="2:23">
      <c r="B90" s="578"/>
      <c r="C90" s="579" t="s">
        <v>259</v>
      </c>
      <c r="D90" s="549"/>
      <c r="E90" s="534"/>
      <c r="F90" s="534"/>
      <c r="G90" s="534"/>
      <c r="H90" s="580"/>
      <c r="I90" s="544"/>
      <c r="J90" s="586"/>
      <c r="K90" s="587"/>
      <c r="L90" s="587"/>
      <c r="M90" s="588"/>
      <c r="O90" s="621"/>
      <c r="P90" s="623"/>
      <c r="Q90" s="623"/>
      <c r="R90" s="623"/>
      <c r="S90" s="623"/>
      <c r="T90" s="531"/>
      <c r="U90" s="531"/>
      <c r="V90" s="531"/>
      <c r="W90" s="531"/>
    </row>
    <row r="91" ht="15.15" hidden="1" outlineLevel="2" spans="2:23">
      <c r="B91" s="578"/>
      <c r="C91" s="579" t="s">
        <v>259</v>
      </c>
      <c r="D91" s="549"/>
      <c r="E91" s="534"/>
      <c r="F91" s="534"/>
      <c r="G91" s="534"/>
      <c r="H91" s="580"/>
      <c r="I91" s="544"/>
      <c r="J91" s="586"/>
      <c r="K91" s="587"/>
      <c r="L91" s="587"/>
      <c r="M91" s="588"/>
      <c r="O91" s="621"/>
      <c r="P91" s="623"/>
      <c r="Q91" s="623"/>
      <c r="R91" s="623"/>
      <c r="S91" s="623"/>
      <c r="T91" s="531"/>
      <c r="U91" s="531"/>
      <c r="V91" s="531"/>
      <c r="W91" s="531"/>
    </row>
    <row r="92" ht="15.15" hidden="1" outlineLevel="1" collapsed="1" spans="2:23">
      <c r="B92" s="578"/>
      <c r="C92" s="579" t="s">
        <v>259</v>
      </c>
      <c r="D92" s="549"/>
      <c r="E92" s="534"/>
      <c r="F92" s="534"/>
      <c r="G92" s="534"/>
      <c r="H92" s="580"/>
      <c r="I92" s="544"/>
      <c r="J92" s="586"/>
      <c r="K92" s="587"/>
      <c r="L92" s="587"/>
      <c r="M92" s="588"/>
      <c r="O92" s="621"/>
      <c r="P92" s="623"/>
      <c r="Q92" s="623"/>
      <c r="R92" s="623"/>
      <c r="S92" s="623"/>
      <c r="T92" s="531"/>
      <c r="U92" s="531"/>
      <c r="V92" s="531"/>
      <c r="W92" s="531"/>
    </row>
    <row r="93" ht="15.15" hidden="1" outlineLevel="1" spans="2:23">
      <c r="B93" s="578"/>
      <c r="C93" s="568"/>
      <c r="D93" s="569"/>
      <c r="E93" s="534"/>
      <c r="F93" s="534"/>
      <c r="G93" s="534"/>
      <c r="H93" s="580"/>
      <c r="I93" s="544"/>
      <c r="J93" s="586"/>
      <c r="K93" s="587"/>
      <c r="L93" s="587"/>
      <c r="M93" s="588"/>
      <c r="O93" s="621"/>
      <c r="P93" s="623"/>
      <c r="Q93" s="623"/>
      <c r="R93" s="623"/>
      <c r="S93" s="623"/>
      <c r="T93" s="531"/>
      <c r="U93" s="531"/>
      <c r="V93" s="531"/>
      <c r="W93" s="531"/>
    </row>
    <row r="94" ht="15.15" hidden="1" outlineLevel="2" spans="2:23">
      <c r="B94" s="578"/>
      <c r="C94" s="579" t="s">
        <v>259</v>
      </c>
      <c r="D94" s="549"/>
      <c r="E94" s="534"/>
      <c r="F94" s="534"/>
      <c r="G94" s="534"/>
      <c r="H94" s="580"/>
      <c r="I94" s="544"/>
      <c r="J94" s="586"/>
      <c r="K94" s="587"/>
      <c r="L94" s="587"/>
      <c r="M94" s="588"/>
      <c r="O94" s="621"/>
      <c r="P94" s="623"/>
      <c r="Q94" s="623"/>
      <c r="R94" s="623"/>
      <c r="S94" s="623"/>
      <c r="T94" s="531"/>
      <c r="U94" s="531"/>
      <c r="V94" s="531"/>
      <c r="W94" s="531"/>
    </row>
    <row r="95" ht="15.15" hidden="1" outlineLevel="2" spans="2:23">
      <c r="B95" s="578"/>
      <c r="C95" s="579" t="s">
        <v>259</v>
      </c>
      <c r="D95" s="549"/>
      <c r="E95" s="534"/>
      <c r="F95" s="534"/>
      <c r="G95" s="534"/>
      <c r="H95" s="580"/>
      <c r="I95" s="544"/>
      <c r="J95" s="586"/>
      <c r="K95" s="587"/>
      <c r="L95" s="587"/>
      <c r="M95" s="588"/>
      <c r="O95" s="621"/>
      <c r="P95" s="623"/>
      <c r="Q95" s="623"/>
      <c r="R95" s="623"/>
      <c r="S95" s="623"/>
      <c r="T95" s="531"/>
      <c r="U95" s="531"/>
      <c r="V95" s="531"/>
      <c r="W95" s="531"/>
    </row>
    <row r="96" ht="15.15" hidden="1" outlineLevel="2" spans="2:23">
      <c r="B96" s="578"/>
      <c r="C96" s="579" t="s">
        <v>259</v>
      </c>
      <c r="D96" s="549"/>
      <c r="E96" s="534"/>
      <c r="F96" s="534"/>
      <c r="G96" s="534"/>
      <c r="H96" s="580"/>
      <c r="I96" s="544"/>
      <c r="J96" s="586"/>
      <c r="K96" s="587"/>
      <c r="L96" s="587"/>
      <c r="M96" s="588"/>
      <c r="O96" s="621"/>
      <c r="P96" s="623"/>
      <c r="Q96" s="623"/>
      <c r="R96" s="623"/>
      <c r="S96" s="623"/>
      <c r="T96" s="531"/>
      <c r="U96" s="531"/>
      <c r="V96" s="531"/>
      <c r="W96" s="531"/>
    </row>
    <row r="97" ht="15.15" hidden="1" outlineLevel="1" collapsed="1" spans="2:23">
      <c r="B97" s="578"/>
      <c r="C97" s="579" t="s">
        <v>259</v>
      </c>
      <c r="D97" s="549"/>
      <c r="E97" s="534"/>
      <c r="F97" s="534"/>
      <c r="G97" s="534"/>
      <c r="H97" s="580"/>
      <c r="I97" s="544"/>
      <c r="J97" s="586"/>
      <c r="K97" s="587"/>
      <c r="L97" s="587"/>
      <c r="M97" s="588"/>
      <c r="O97" s="621"/>
      <c r="P97" s="623"/>
      <c r="Q97" s="623"/>
      <c r="R97" s="623"/>
      <c r="S97" s="623"/>
      <c r="T97" s="531"/>
      <c r="U97" s="531"/>
      <c r="V97" s="531"/>
      <c r="W97" s="531"/>
    </row>
    <row r="98" ht="15.15" hidden="1" outlineLevel="1" spans="2:23">
      <c r="B98" s="578"/>
      <c r="C98" s="568"/>
      <c r="D98" s="569"/>
      <c r="E98" s="534"/>
      <c r="F98" s="534"/>
      <c r="G98" s="534"/>
      <c r="H98" s="580"/>
      <c r="I98" s="544"/>
      <c r="J98" s="586"/>
      <c r="K98" s="587"/>
      <c r="L98" s="587"/>
      <c r="M98" s="588"/>
      <c r="O98" s="621"/>
      <c r="P98" s="623"/>
      <c r="Q98" s="623"/>
      <c r="R98" s="623"/>
      <c r="S98" s="623"/>
      <c r="T98" s="531"/>
      <c r="U98" s="531"/>
      <c r="V98" s="531"/>
      <c r="W98" s="531"/>
    </row>
    <row r="99" ht="15.15" hidden="1" outlineLevel="2" spans="2:23">
      <c r="B99" s="578"/>
      <c r="C99" s="579" t="s">
        <v>259</v>
      </c>
      <c r="D99" s="549"/>
      <c r="E99" s="534"/>
      <c r="F99" s="534"/>
      <c r="G99" s="534"/>
      <c r="H99" s="580"/>
      <c r="I99" s="544"/>
      <c r="J99" s="586"/>
      <c r="K99" s="587"/>
      <c r="L99" s="587"/>
      <c r="M99" s="588"/>
      <c r="O99" s="621"/>
      <c r="P99" s="623"/>
      <c r="Q99" s="623"/>
      <c r="R99" s="623"/>
      <c r="S99" s="623"/>
      <c r="T99" s="531"/>
      <c r="U99" s="531"/>
      <c r="V99" s="531"/>
      <c r="W99" s="531"/>
    </row>
    <row r="100" ht="15.15" hidden="1" outlineLevel="2" spans="2:23">
      <c r="B100" s="578"/>
      <c r="C100" s="579" t="s">
        <v>259</v>
      </c>
      <c r="D100" s="549"/>
      <c r="E100" s="534"/>
      <c r="F100" s="534"/>
      <c r="G100" s="534"/>
      <c r="H100" s="580"/>
      <c r="I100" s="544"/>
      <c r="J100" s="586"/>
      <c r="K100" s="587"/>
      <c r="L100" s="587"/>
      <c r="M100" s="588"/>
      <c r="O100" s="621"/>
      <c r="P100" s="623"/>
      <c r="Q100" s="623"/>
      <c r="R100" s="623"/>
      <c r="S100" s="623"/>
      <c r="T100" s="531"/>
      <c r="U100" s="531"/>
      <c r="V100" s="531"/>
      <c r="W100" s="531"/>
    </row>
    <row r="101" ht="15.15" hidden="1" outlineLevel="2" spans="2:23">
      <c r="B101" s="578"/>
      <c r="C101" s="579" t="s">
        <v>259</v>
      </c>
      <c r="D101" s="549"/>
      <c r="E101" s="534"/>
      <c r="F101" s="534"/>
      <c r="G101" s="534"/>
      <c r="H101" s="580"/>
      <c r="I101" s="544"/>
      <c r="J101" s="586"/>
      <c r="K101" s="587"/>
      <c r="L101" s="587"/>
      <c r="M101" s="588"/>
      <c r="O101" s="621"/>
      <c r="P101" s="623"/>
      <c r="Q101" s="623"/>
      <c r="R101" s="623"/>
      <c r="S101" s="623"/>
      <c r="T101" s="531"/>
      <c r="U101" s="531"/>
      <c r="V101" s="531"/>
      <c r="W101" s="531"/>
    </row>
    <row r="102" ht="15.15" hidden="1" outlineLevel="1" collapsed="1" spans="2:23">
      <c r="B102" s="624"/>
      <c r="C102" s="579" t="s">
        <v>259</v>
      </c>
      <c r="D102" s="549"/>
      <c r="E102" s="534"/>
      <c r="F102" s="534"/>
      <c r="G102" s="534"/>
      <c r="H102" s="625"/>
      <c r="I102" s="544"/>
      <c r="J102" s="586"/>
      <c r="K102" s="587"/>
      <c r="L102" s="587"/>
      <c r="M102" s="588"/>
      <c r="O102" s="621"/>
      <c r="P102" s="623"/>
      <c r="Q102" s="623"/>
      <c r="R102" s="623"/>
      <c r="S102" s="623"/>
      <c r="T102" s="531"/>
      <c r="U102" s="531"/>
      <c r="V102" s="531"/>
      <c r="W102" s="531"/>
    </row>
    <row r="103" ht="15.15" collapsed="1" spans="2:23">
      <c r="B103" s="626" t="s">
        <v>272</v>
      </c>
      <c r="C103" s="627"/>
      <c r="D103" s="628"/>
      <c r="E103" s="534"/>
      <c r="F103" s="534"/>
      <c r="G103" s="534"/>
      <c r="H103" s="629" t="s">
        <v>253</v>
      </c>
      <c r="I103" s="630">
        <f>SUM(G103:G132)</f>
        <v>0</v>
      </c>
      <c r="J103" s="586"/>
      <c r="K103" s="587"/>
      <c r="L103" s="587"/>
      <c r="M103" s="588"/>
      <c r="O103" s="631"/>
      <c r="P103" s="632"/>
      <c r="Q103" s="632"/>
      <c r="R103" s="632"/>
      <c r="S103" s="632"/>
      <c r="T103" s="559"/>
      <c r="U103" s="531"/>
      <c r="V103" s="531"/>
      <c r="W103" s="531"/>
    </row>
    <row r="104" ht="15.15" spans="2:23">
      <c r="B104" s="633"/>
      <c r="C104" s="634" t="s">
        <v>259</v>
      </c>
      <c r="D104" s="549"/>
      <c r="E104" s="534"/>
      <c r="F104" s="534"/>
      <c r="G104" s="534"/>
      <c r="H104" s="635"/>
      <c r="I104" s="636"/>
      <c r="J104" s="586"/>
      <c r="K104" s="587"/>
      <c r="L104" s="587"/>
      <c r="M104" s="588"/>
      <c r="O104" s="637" t="s">
        <v>261</v>
      </c>
      <c r="P104" s="638" cm="1">
        <f t="array" ref="P104">SUM(参数!B2:B105*参数!J2:J105)</f>
        <v>0</v>
      </c>
      <c r="Q104" s="638" cm="1">
        <f t="array" ref="Q104">SUM(参数!B2:B105*参数!K2:K105)</f>
        <v>0</v>
      </c>
      <c r="R104" s="638" cm="1">
        <f t="array" ref="R104">SUM(参数!B2:B105*参数!L2:L105)</f>
        <v>0</v>
      </c>
      <c r="S104" s="639" cm="1">
        <f t="array" ref="S104">SUM(参数!B2:B105*参数!M2:M105)</f>
        <v>0</v>
      </c>
      <c r="T104" s="531"/>
      <c r="U104" s="531"/>
      <c r="V104" s="531"/>
      <c r="W104" s="531"/>
    </row>
    <row r="105" ht="15.15" hidden="1" outlineLevel="1" spans="2:23">
      <c r="B105" s="633"/>
      <c r="C105" s="634" t="s">
        <v>259</v>
      </c>
      <c r="D105" s="549"/>
      <c r="E105" s="534"/>
      <c r="F105" s="534"/>
      <c r="G105" s="534"/>
      <c r="H105" s="635"/>
      <c r="I105" s="636"/>
      <c r="J105" s="586"/>
      <c r="K105" s="587"/>
      <c r="L105" s="587"/>
      <c r="M105" s="588"/>
      <c r="O105" s="640"/>
      <c r="P105" s="641"/>
      <c r="Q105" s="641"/>
      <c r="R105" s="641"/>
      <c r="S105" s="642"/>
      <c r="T105" s="531"/>
      <c r="U105" s="531"/>
      <c r="V105" s="531"/>
      <c r="W105" s="531"/>
    </row>
    <row r="106" ht="15.15" hidden="1" outlineLevel="1" spans="2:23">
      <c r="B106" s="633"/>
      <c r="C106" s="634" t="s">
        <v>259</v>
      </c>
      <c r="D106" s="549"/>
      <c r="E106" s="534"/>
      <c r="F106" s="534"/>
      <c r="G106" s="534"/>
      <c r="H106" s="635"/>
      <c r="I106" s="636"/>
      <c r="J106" s="586"/>
      <c r="K106" s="587"/>
      <c r="L106" s="587"/>
      <c r="M106" s="588"/>
      <c r="O106" s="613" t="s">
        <v>273</v>
      </c>
      <c r="P106" s="614" t="s">
        <v>31</v>
      </c>
      <c r="Q106" s="614" t="s">
        <v>163</v>
      </c>
      <c r="R106" s="614" t="s">
        <v>169</v>
      </c>
      <c r="S106" s="615" t="s">
        <v>174</v>
      </c>
      <c r="T106" s="531"/>
      <c r="U106" s="531"/>
      <c r="V106" s="531"/>
      <c r="W106" s="531"/>
    </row>
    <row r="107" ht="15.15" hidden="1" outlineLevel="1" spans="2:23">
      <c r="B107" s="633"/>
      <c r="C107" s="634" t="s">
        <v>259</v>
      </c>
      <c r="D107" s="549"/>
      <c r="E107" s="534"/>
      <c r="F107" s="534"/>
      <c r="G107" s="534"/>
      <c r="H107" s="635"/>
      <c r="I107" s="636"/>
      <c r="J107" s="586"/>
      <c r="K107" s="587"/>
      <c r="L107" s="587"/>
      <c r="M107" s="588"/>
      <c r="O107" s="618"/>
      <c r="P107" s="619"/>
      <c r="Q107" s="619"/>
      <c r="R107" s="619"/>
      <c r="S107" s="620"/>
      <c r="T107" s="531"/>
      <c r="U107" s="531"/>
      <c r="V107" s="531"/>
      <c r="W107" s="531"/>
    </row>
    <row r="108" ht="15.15" collapsed="1" spans="2:23">
      <c r="B108" s="633"/>
      <c r="C108" s="627"/>
      <c r="D108" s="628"/>
      <c r="E108" s="534"/>
      <c r="F108" s="534"/>
      <c r="G108" s="534"/>
      <c r="H108" s="635"/>
      <c r="I108" s="636"/>
      <c r="J108" s="586"/>
      <c r="K108" s="587"/>
      <c r="L108" s="587"/>
      <c r="M108" s="588"/>
      <c r="O108" s="618"/>
      <c r="P108" s="619"/>
      <c r="Q108" s="619"/>
      <c r="R108" s="619"/>
      <c r="S108" s="620"/>
      <c r="T108" s="531"/>
      <c r="U108" s="531"/>
      <c r="V108" s="531"/>
      <c r="W108" s="531"/>
    </row>
    <row r="109" ht="15.15" spans="2:23">
      <c r="B109" s="633"/>
      <c r="C109" s="634" t="s">
        <v>259</v>
      </c>
      <c r="D109" s="549"/>
      <c r="E109" s="534"/>
      <c r="F109" s="534"/>
      <c r="G109" s="534"/>
      <c r="H109" s="635"/>
      <c r="I109" s="636"/>
      <c r="J109" s="586"/>
      <c r="K109" s="587"/>
      <c r="L109" s="587"/>
      <c r="M109" s="588"/>
      <c r="O109" s="621" t="s">
        <v>258</v>
      </c>
      <c r="P109" s="643"/>
      <c r="Q109" s="643"/>
      <c r="R109" s="643"/>
      <c r="S109" s="643"/>
      <c r="T109" s="531"/>
      <c r="U109" s="531"/>
      <c r="V109" s="531"/>
      <c r="W109" s="531"/>
    </row>
    <row r="110" ht="15.15" hidden="1" outlineLevel="1" spans="2:23">
      <c r="B110" s="633"/>
      <c r="C110" s="634" t="s">
        <v>259</v>
      </c>
      <c r="D110" s="549"/>
      <c r="E110" s="534"/>
      <c r="F110" s="534"/>
      <c r="G110" s="534"/>
      <c r="H110" s="635"/>
      <c r="I110" s="636"/>
      <c r="J110" s="586"/>
      <c r="K110" s="587"/>
      <c r="L110" s="587"/>
      <c r="M110" s="588"/>
      <c r="O110" s="621"/>
      <c r="P110" s="643"/>
      <c r="Q110" s="643"/>
      <c r="R110" s="643"/>
      <c r="S110" s="643"/>
      <c r="T110" s="531"/>
      <c r="U110" s="531"/>
      <c r="V110" s="531"/>
      <c r="W110" s="531"/>
    </row>
    <row r="111" ht="15.15" hidden="1" outlineLevel="1" spans="2:23">
      <c r="B111" s="633"/>
      <c r="C111" s="634" t="s">
        <v>259</v>
      </c>
      <c r="D111" s="549"/>
      <c r="E111" s="534"/>
      <c r="F111" s="534"/>
      <c r="G111" s="534"/>
      <c r="H111" s="635"/>
      <c r="I111" s="636"/>
      <c r="J111" s="586"/>
      <c r="K111" s="587"/>
      <c r="L111" s="587"/>
      <c r="M111" s="588"/>
      <c r="O111" s="621"/>
      <c r="P111" s="643"/>
      <c r="Q111" s="643"/>
      <c r="R111" s="643"/>
      <c r="S111" s="643"/>
      <c r="T111" s="531"/>
      <c r="U111" s="531"/>
      <c r="V111" s="531"/>
      <c r="W111" s="531"/>
    </row>
    <row r="112" ht="15.15" hidden="1" outlineLevel="1" spans="2:23">
      <c r="B112" s="633"/>
      <c r="C112" s="634" t="s">
        <v>259</v>
      </c>
      <c r="D112" s="549"/>
      <c r="E112" s="534"/>
      <c r="F112" s="534"/>
      <c r="G112" s="534"/>
      <c r="H112" s="635"/>
      <c r="I112" s="636"/>
      <c r="J112" s="586"/>
      <c r="K112" s="587"/>
      <c r="L112" s="587"/>
      <c r="M112" s="588"/>
      <c r="O112" s="621"/>
      <c r="P112" s="643"/>
      <c r="Q112" s="643"/>
      <c r="R112" s="643"/>
      <c r="S112" s="643"/>
      <c r="T112" s="531"/>
      <c r="U112" s="531"/>
      <c r="V112" s="531"/>
      <c r="W112" s="531"/>
    </row>
    <row r="113" ht="15.15" collapsed="1" spans="2:23">
      <c r="B113" s="633"/>
      <c r="C113" s="627"/>
      <c r="D113" s="628"/>
      <c r="E113" s="534"/>
      <c r="F113" s="534"/>
      <c r="G113" s="534"/>
      <c r="H113" s="635"/>
      <c r="I113" s="636"/>
      <c r="J113" s="586"/>
      <c r="K113" s="587"/>
      <c r="L113" s="587"/>
      <c r="M113" s="588"/>
      <c r="O113" s="621" t="s">
        <v>261</v>
      </c>
      <c r="P113" s="643" cm="1">
        <f t="array" ref="P113">SUM(参数!B2:B105*参数!N2:N105)</f>
        <v>0</v>
      </c>
      <c r="Q113" s="643" cm="1">
        <f t="array" ref="Q113">SUM(参数!B2:B105*参数!O2:O105)</f>
        <v>0</v>
      </c>
      <c r="R113" s="643" cm="1">
        <f t="array" ref="R113">SUM(参数!B2:B105*参数!P2:P105)</f>
        <v>0</v>
      </c>
      <c r="S113" s="644" cm="1">
        <f t="array" ref="S113">SUM(参数!B2:B105*参数!Q2:Q105)</f>
        <v>0</v>
      </c>
      <c r="T113" s="531"/>
      <c r="U113" s="531"/>
      <c r="V113" s="531"/>
      <c r="W113" s="531"/>
    </row>
    <row r="114" ht="15.15" hidden="1" outlineLevel="1" spans="2:23">
      <c r="B114" s="633"/>
      <c r="C114" s="634" t="s">
        <v>259</v>
      </c>
      <c r="D114" s="549"/>
      <c r="E114" s="534"/>
      <c r="F114" s="534"/>
      <c r="G114" s="534"/>
      <c r="H114" s="635"/>
      <c r="I114" s="636"/>
      <c r="J114" s="586"/>
      <c r="K114" s="587"/>
      <c r="L114" s="587"/>
      <c r="M114" s="588"/>
      <c r="O114" s="621"/>
      <c r="P114" s="643"/>
      <c r="Q114" s="643"/>
      <c r="R114" s="643"/>
      <c r="S114" s="644"/>
      <c r="T114" s="531"/>
      <c r="U114" s="531"/>
      <c r="V114" s="531"/>
      <c r="W114" s="531"/>
    </row>
    <row r="115" ht="15.15" hidden="1" outlineLevel="1" spans="2:23">
      <c r="B115" s="633"/>
      <c r="C115" s="634" t="s">
        <v>259</v>
      </c>
      <c r="D115" s="549"/>
      <c r="E115" s="534"/>
      <c r="F115" s="534"/>
      <c r="G115" s="534"/>
      <c r="H115" s="635"/>
      <c r="I115" s="636"/>
      <c r="J115" s="586"/>
      <c r="K115" s="587"/>
      <c r="L115" s="587"/>
      <c r="M115" s="588"/>
      <c r="O115" s="621"/>
      <c r="P115" s="643"/>
      <c r="Q115" s="643"/>
      <c r="R115" s="643"/>
      <c r="S115" s="644"/>
      <c r="T115" s="531"/>
      <c r="U115" s="531"/>
      <c r="V115" s="531"/>
      <c r="W115" s="531"/>
    </row>
    <row r="116" ht="15.15" hidden="1" outlineLevel="1" spans="2:23">
      <c r="B116" s="633"/>
      <c r="C116" s="634" t="s">
        <v>259</v>
      </c>
      <c r="D116" s="549"/>
      <c r="E116" s="534"/>
      <c r="F116" s="534"/>
      <c r="G116" s="534"/>
      <c r="H116" s="635"/>
      <c r="I116" s="636"/>
      <c r="J116" s="586"/>
      <c r="K116" s="587"/>
      <c r="L116" s="587"/>
      <c r="M116" s="588"/>
      <c r="O116" s="640"/>
      <c r="P116" s="641"/>
      <c r="Q116" s="641"/>
      <c r="R116" s="641"/>
      <c r="S116" s="642"/>
      <c r="T116" s="531"/>
      <c r="U116" s="531"/>
      <c r="V116" s="531"/>
      <c r="W116" s="531"/>
    </row>
    <row r="117" ht="15.15" collapsed="1" spans="2:23">
      <c r="B117" s="633"/>
      <c r="C117" s="634" t="s">
        <v>259</v>
      </c>
      <c r="D117" s="549"/>
      <c r="E117" s="534"/>
      <c r="F117" s="534"/>
      <c r="G117" s="534"/>
      <c r="H117" s="635"/>
      <c r="I117" s="636"/>
      <c r="J117" s="586"/>
      <c r="K117" s="587"/>
      <c r="L117" s="587"/>
      <c r="M117" s="588"/>
      <c r="O117" s="645" t="s">
        <v>274</v>
      </c>
      <c r="P117" s="646" t="s">
        <v>9</v>
      </c>
      <c r="Q117" s="646" t="s">
        <v>93</v>
      </c>
      <c r="R117" s="646" t="s">
        <v>98</v>
      </c>
      <c r="S117" s="646" t="s">
        <v>102</v>
      </c>
      <c r="T117" s="647" t="s">
        <v>108</v>
      </c>
      <c r="U117" s="531"/>
      <c r="V117" s="531"/>
      <c r="W117" s="531"/>
    </row>
    <row r="118" ht="15.15" hidden="1" outlineLevel="1" spans="2:23">
      <c r="B118" s="633"/>
      <c r="C118" s="627"/>
      <c r="D118" s="628"/>
      <c r="E118" s="534"/>
      <c r="F118" s="534"/>
      <c r="G118" s="534"/>
      <c r="H118" s="635"/>
      <c r="I118" s="636"/>
      <c r="J118" s="586"/>
      <c r="K118" s="587"/>
      <c r="L118" s="587"/>
      <c r="M118" s="588"/>
      <c r="O118" s="648"/>
      <c r="P118" s="649"/>
      <c r="Q118" s="649"/>
      <c r="R118" s="649"/>
      <c r="S118" s="649"/>
      <c r="T118" s="650"/>
      <c r="U118" s="531"/>
      <c r="V118" s="531"/>
      <c r="W118" s="531"/>
    </row>
    <row r="119" ht="15.15" hidden="1" outlineLevel="2" spans="2:23">
      <c r="B119" s="633"/>
      <c r="C119" s="634" t="s">
        <v>259</v>
      </c>
      <c r="D119" s="549"/>
      <c r="E119" s="534"/>
      <c r="F119" s="534"/>
      <c r="G119" s="534"/>
      <c r="H119" s="635"/>
      <c r="I119" s="636"/>
      <c r="J119" s="586"/>
      <c r="K119" s="587"/>
      <c r="L119" s="587"/>
      <c r="M119" s="588"/>
      <c r="O119" s="648"/>
      <c r="P119" s="649"/>
      <c r="Q119" s="649"/>
      <c r="R119" s="649"/>
      <c r="S119" s="649"/>
      <c r="T119" s="650"/>
      <c r="U119" s="531"/>
      <c r="V119" s="531"/>
      <c r="W119" s="531"/>
    </row>
    <row r="120" ht="15.15" hidden="1" outlineLevel="2" spans="2:23">
      <c r="B120" s="633"/>
      <c r="C120" s="634" t="s">
        <v>259</v>
      </c>
      <c r="D120" s="549"/>
      <c r="E120" s="534"/>
      <c r="F120" s="534"/>
      <c r="G120" s="534"/>
      <c r="H120" s="635"/>
      <c r="I120" s="636"/>
      <c r="J120" s="586"/>
      <c r="K120" s="587"/>
      <c r="L120" s="587"/>
      <c r="M120" s="588"/>
      <c r="O120" s="648"/>
      <c r="P120" s="649"/>
      <c r="Q120" s="649"/>
      <c r="R120" s="649"/>
      <c r="S120" s="649"/>
      <c r="T120" s="650"/>
      <c r="U120" s="531"/>
      <c r="V120" s="531"/>
      <c r="W120" s="531"/>
    </row>
    <row r="121" ht="15.15" hidden="1" outlineLevel="2" spans="2:23">
      <c r="B121" s="633"/>
      <c r="C121" s="634" t="s">
        <v>259</v>
      </c>
      <c r="D121" s="549"/>
      <c r="E121" s="534"/>
      <c r="F121" s="534"/>
      <c r="G121" s="534"/>
      <c r="H121" s="635"/>
      <c r="I121" s="636"/>
      <c r="J121" s="586"/>
      <c r="K121" s="587"/>
      <c r="L121" s="587"/>
      <c r="M121" s="588"/>
      <c r="O121" s="648"/>
      <c r="P121" s="649"/>
      <c r="Q121" s="649"/>
      <c r="R121" s="649"/>
      <c r="S121" s="649"/>
      <c r="T121" s="650"/>
      <c r="U121" s="531"/>
      <c r="V121" s="531"/>
      <c r="W121" s="531"/>
    </row>
    <row r="122" ht="15.15" hidden="1" outlineLevel="1" collapsed="1" spans="2:23">
      <c r="B122" s="633"/>
      <c r="C122" s="634" t="s">
        <v>259</v>
      </c>
      <c r="D122" s="549"/>
      <c r="E122" s="534"/>
      <c r="F122" s="534"/>
      <c r="G122" s="534"/>
      <c r="H122" s="635"/>
      <c r="I122" s="636"/>
      <c r="J122" s="586"/>
      <c r="K122" s="587"/>
      <c r="L122" s="587"/>
      <c r="M122" s="588"/>
      <c r="O122" s="648"/>
      <c r="P122" s="649"/>
      <c r="Q122" s="649"/>
      <c r="R122" s="649"/>
      <c r="S122" s="649"/>
      <c r="T122" s="650"/>
      <c r="U122" s="531"/>
      <c r="V122" s="531"/>
      <c r="W122" s="531"/>
    </row>
    <row r="123" ht="15.15" hidden="1" outlineLevel="1" spans="2:23">
      <c r="B123" s="633"/>
      <c r="C123" s="627"/>
      <c r="D123" s="628"/>
      <c r="E123" s="534"/>
      <c r="F123" s="534"/>
      <c r="G123" s="534"/>
      <c r="H123" s="635"/>
      <c r="I123" s="636"/>
      <c r="J123" s="586"/>
      <c r="K123" s="587"/>
      <c r="L123" s="587"/>
      <c r="M123" s="588"/>
      <c r="O123" s="648"/>
      <c r="P123" s="649"/>
      <c r="Q123" s="649"/>
      <c r="R123" s="649"/>
      <c r="S123" s="649"/>
      <c r="T123" s="650"/>
      <c r="U123" s="531"/>
      <c r="V123" s="531"/>
      <c r="W123" s="531"/>
    </row>
    <row r="124" ht="15.15" hidden="1" outlineLevel="2" spans="2:23">
      <c r="B124" s="633"/>
      <c r="C124" s="634" t="s">
        <v>259</v>
      </c>
      <c r="D124" s="549"/>
      <c r="E124" s="534"/>
      <c r="F124" s="534"/>
      <c r="G124" s="534"/>
      <c r="H124" s="635"/>
      <c r="I124" s="636"/>
      <c r="J124" s="586"/>
      <c r="K124" s="587"/>
      <c r="L124" s="587"/>
      <c r="M124" s="588"/>
      <c r="O124" s="648"/>
      <c r="P124" s="649"/>
      <c r="Q124" s="649"/>
      <c r="R124" s="649"/>
      <c r="S124" s="649"/>
      <c r="T124" s="650"/>
      <c r="U124" s="531"/>
      <c r="V124" s="531"/>
      <c r="W124" s="531"/>
    </row>
    <row r="125" ht="15.15" hidden="1" outlineLevel="2" spans="2:23">
      <c r="B125" s="633"/>
      <c r="C125" s="634" t="s">
        <v>259</v>
      </c>
      <c r="D125" s="549"/>
      <c r="E125" s="534"/>
      <c r="F125" s="534"/>
      <c r="G125" s="534"/>
      <c r="H125" s="635"/>
      <c r="I125" s="636"/>
      <c r="J125" s="586"/>
      <c r="K125" s="587"/>
      <c r="L125" s="587"/>
      <c r="M125" s="588"/>
      <c r="O125" s="651" t="s">
        <v>258</v>
      </c>
      <c r="P125" s="652"/>
      <c r="Q125" s="652"/>
      <c r="R125" s="652"/>
      <c r="S125" s="652"/>
      <c r="T125" s="652"/>
      <c r="U125" s="531"/>
      <c r="V125" s="531"/>
      <c r="W125" s="531"/>
    </row>
    <row r="126" ht="15.15" hidden="1" outlineLevel="2" spans="2:23">
      <c r="B126" s="633"/>
      <c r="C126" s="634" t="s">
        <v>259</v>
      </c>
      <c r="D126" s="549"/>
      <c r="E126" s="534"/>
      <c r="F126" s="534"/>
      <c r="G126" s="534"/>
      <c r="H126" s="635"/>
      <c r="I126" s="636"/>
      <c r="J126" s="586"/>
      <c r="K126" s="587"/>
      <c r="L126" s="587"/>
      <c r="M126" s="588"/>
      <c r="O126" s="651"/>
      <c r="P126" s="652"/>
      <c r="Q126" s="652"/>
      <c r="R126" s="652"/>
      <c r="S126" s="652"/>
      <c r="T126" s="652"/>
      <c r="U126" s="531"/>
      <c r="V126" s="531"/>
      <c r="W126" s="531"/>
    </row>
    <row r="127" ht="15.15" hidden="1" outlineLevel="1" collapsed="1" spans="2:23">
      <c r="B127" s="633"/>
      <c r="C127" s="634" t="s">
        <v>259</v>
      </c>
      <c r="D127" s="549"/>
      <c r="E127" s="534"/>
      <c r="F127" s="534"/>
      <c r="G127" s="534"/>
      <c r="H127" s="635"/>
      <c r="I127" s="636"/>
      <c r="J127" s="586"/>
      <c r="K127" s="587"/>
      <c r="L127" s="587"/>
      <c r="M127" s="588"/>
      <c r="O127" s="651"/>
      <c r="P127" s="652"/>
      <c r="Q127" s="652"/>
      <c r="R127" s="652"/>
      <c r="S127" s="652"/>
      <c r="T127" s="652"/>
      <c r="U127" s="531"/>
      <c r="V127" s="531"/>
      <c r="W127" s="531"/>
    </row>
    <row r="128" ht="15.15" hidden="1" outlineLevel="1" spans="2:23">
      <c r="B128" s="633"/>
      <c r="C128" s="627"/>
      <c r="D128" s="628"/>
      <c r="E128" s="534"/>
      <c r="F128" s="534"/>
      <c r="G128" s="534"/>
      <c r="H128" s="635"/>
      <c r="I128" s="636"/>
      <c r="J128" s="586"/>
      <c r="K128" s="587"/>
      <c r="L128" s="587"/>
      <c r="M128" s="588"/>
      <c r="O128" s="651"/>
      <c r="P128" s="652"/>
      <c r="Q128" s="652"/>
      <c r="R128" s="652"/>
      <c r="S128" s="652"/>
      <c r="T128" s="652"/>
      <c r="U128" s="531"/>
      <c r="V128" s="531"/>
      <c r="W128" s="531"/>
    </row>
    <row r="129" ht="15.15" hidden="1" outlineLevel="2" spans="2:23">
      <c r="B129" s="633"/>
      <c r="C129" s="634" t="s">
        <v>259</v>
      </c>
      <c r="D129" s="549"/>
      <c r="E129" s="534"/>
      <c r="F129" s="534"/>
      <c r="G129" s="534"/>
      <c r="H129" s="635"/>
      <c r="I129" s="636"/>
      <c r="J129" s="586"/>
      <c r="K129" s="587"/>
      <c r="L129" s="587"/>
      <c r="M129" s="588"/>
      <c r="O129" s="651"/>
      <c r="P129" s="652"/>
      <c r="Q129" s="652"/>
      <c r="R129" s="652"/>
      <c r="S129" s="652"/>
      <c r="T129" s="652"/>
      <c r="U129" s="531"/>
      <c r="V129" s="531"/>
      <c r="W129" s="531"/>
    </row>
    <row r="130" ht="15.15" hidden="1" outlineLevel="2" spans="2:23">
      <c r="B130" s="633"/>
      <c r="C130" s="634" t="s">
        <v>259</v>
      </c>
      <c r="D130" s="549"/>
      <c r="E130" s="534"/>
      <c r="F130" s="534"/>
      <c r="G130" s="534"/>
      <c r="H130" s="635"/>
      <c r="I130" s="636"/>
      <c r="J130" s="586"/>
      <c r="K130" s="587"/>
      <c r="L130" s="587"/>
      <c r="M130" s="588"/>
      <c r="O130" s="651"/>
      <c r="P130" s="652"/>
      <c r="Q130" s="652"/>
      <c r="R130" s="652"/>
      <c r="S130" s="652"/>
      <c r="T130" s="652"/>
      <c r="U130" s="531"/>
      <c r="V130" s="531"/>
      <c r="W130" s="531"/>
    </row>
    <row r="131" ht="15.15" hidden="1" outlineLevel="2" spans="2:23">
      <c r="B131" s="633"/>
      <c r="C131" s="634" t="s">
        <v>259</v>
      </c>
      <c r="D131" s="549"/>
      <c r="E131" s="534"/>
      <c r="F131" s="534"/>
      <c r="G131" s="534"/>
      <c r="H131" s="635"/>
      <c r="I131" s="636"/>
      <c r="J131" s="586"/>
      <c r="K131" s="587"/>
      <c r="L131" s="587"/>
      <c r="M131" s="588"/>
      <c r="O131" s="651"/>
      <c r="P131" s="652"/>
      <c r="Q131" s="652"/>
      <c r="R131" s="652"/>
      <c r="S131" s="652"/>
      <c r="T131" s="652"/>
      <c r="U131" s="531"/>
      <c r="V131" s="531"/>
      <c r="W131" s="531"/>
    </row>
    <row r="132" ht="15.15" hidden="1" outlineLevel="1" collapsed="1" spans="2:23">
      <c r="B132" s="633"/>
      <c r="C132" s="634" t="s">
        <v>259</v>
      </c>
      <c r="D132" s="549"/>
      <c r="E132" s="534"/>
      <c r="F132" s="534"/>
      <c r="G132" s="534"/>
      <c r="H132" s="635"/>
      <c r="I132" s="636"/>
      <c r="J132" s="586"/>
      <c r="K132" s="587"/>
      <c r="L132" s="587"/>
      <c r="M132" s="588"/>
      <c r="O132" s="651"/>
      <c r="P132" s="652"/>
      <c r="Q132" s="652"/>
      <c r="R132" s="652"/>
      <c r="S132" s="652"/>
      <c r="T132" s="652"/>
      <c r="U132" s="531"/>
      <c r="V132" s="531"/>
      <c r="W132" s="531"/>
    </row>
    <row r="133" ht="15.15" hidden="1" outlineLevel="1" spans="2:23">
      <c r="B133" s="633"/>
      <c r="C133" s="627"/>
      <c r="D133" s="628"/>
      <c r="E133" s="534"/>
      <c r="F133" s="534"/>
      <c r="G133" s="534"/>
      <c r="H133" s="635"/>
      <c r="I133" s="636"/>
      <c r="J133" s="586"/>
      <c r="K133" s="587"/>
      <c r="L133" s="587"/>
      <c r="M133" s="588"/>
      <c r="O133" s="651"/>
      <c r="P133" s="652"/>
      <c r="Q133" s="652"/>
      <c r="R133" s="652"/>
      <c r="S133" s="652"/>
      <c r="T133" s="652"/>
      <c r="U133" s="531"/>
      <c r="V133" s="531"/>
      <c r="W133" s="531"/>
    </row>
    <row r="134" ht="15.15" hidden="1" outlineLevel="2" spans="2:23">
      <c r="B134" s="633"/>
      <c r="C134" s="634" t="s">
        <v>259</v>
      </c>
      <c r="D134" s="549"/>
      <c r="E134" s="534"/>
      <c r="F134" s="534"/>
      <c r="G134" s="534"/>
      <c r="H134" s="635"/>
      <c r="I134" s="636"/>
      <c r="J134" s="586"/>
      <c r="K134" s="587"/>
      <c r="L134" s="587"/>
      <c r="M134" s="588"/>
      <c r="O134" s="651"/>
      <c r="P134" s="652"/>
      <c r="Q134" s="652"/>
      <c r="R134" s="652"/>
      <c r="S134" s="652"/>
      <c r="T134" s="652"/>
      <c r="U134" s="531"/>
      <c r="V134" s="531"/>
      <c r="W134" s="531"/>
    </row>
    <row r="135" ht="15.15" hidden="1" outlineLevel="2" spans="2:23">
      <c r="B135" s="633"/>
      <c r="C135" s="634" t="s">
        <v>259</v>
      </c>
      <c r="D135" s="549"/>
      <c r="E135" s="534"/>
      <c r="F135" s="534"/>
      <c r="G135" s="534"/>
      <c r="H135" s="635"/>
      <c r="I135" s="636"/>
      <c r="J135" s="586"/>
      <c r="K135" s="587"/>
      <c r="L135" s="587"/>
      <c r="M135" s="588"/>
      <c r="O135" s="651"/>
      <c r="P135" s="652"/>
      <c r="Q135" s="652"/>
      <c r="R135" s="652"/>
      <c r="S135" s="652"/>
      <c r="T135" s="652"/>
      <c r="U135" s="531"/>
      <c r="V135" s="531"/>
      <c r="W135" s="531"/>
    </row>
    <row r="136" ht="15.15" hidden="1" outlineLevel="2" spans="2:23">
      <c r="B136" s="633"/>
      <c r="C136" s="634" t="s">
        <v>259</v>
      </c>
      <c r="D136" s="549"/>
      <c r="E136" s="534"/>
      <c r="F136" s="534"/>
      <c r="G136" s="534"/>
      <c r="H136" s="635"/>
      <c r="I136" s="636"/>
      <c r="J136" s="586"/>
      <c r="K136" s="587"/>
      <c r="L136" s="587"/>
      <c r="M136" s="588"/>
      <c r="O136" s="651"/>
      <c r="P136" s="652"/>
      <c r="Q136" s="652"/>
      <c r="R136" s="652"/>
      <c r="S136" s="652"/>
      <c r="T136" s="652"/>
      <c r="U136" s="531"/>
      <c r="V136" s="531"/>
      <c r="W136" s="531"/>
    </row>
    <row r="137" ht="15.15" hidden="1" outlineLevel="1" collapsed="1" spans="2:23">
      <c r="B137" s="633"/>
      <c r="C137" s="634" t="s">
        <v>259</v>
      </c>
      <c r="D137" s="549"/>
      <c r="E137" s="534"/>
      <c r="F137" s="534"/>
      <c r="G137" s="534"/>
      <c r="H137" s="635"/>
      <c r="I137" s="636"/>
      <c r="J137" s="586"/>
      <c r="K137" s="587"/>
      <c r="L137" s="587"/>
      <c r="M137" s="588"/>
      <c r="O137" s="651"/>
      <c r="P137" s="652"/>
      <c r="Q137" s="652"/>
      <c r="R137" s="652"/>
      <c r="S137" s="652"/>
      <c r="T137" s="652"/>
      <c r="U137" s="531"/>
      <c r="V137" s="531"/>
      <c r="W137" s="531"/>
    </row>
    <row r="138" ht="15.15" hidden="1" outlineLevel="1" spans="2:23">
      <c r="B138" s="633"/>
      <c r="C138" s="627"/>
      <c r="D138" s="628"/>
      <c r="E138" s="534"/>
      <c r="F138" s="534"/>
      <c r="G138" s="534"/>
      <c r="H138" s="635"/>
      <c r="I138" s="636"/>
      <c r="J138" s="586"/>
      <c r="K138" s="587"/>
      <c r="L138" s="587"/>
      <c r="M138" s="588"/>
      <c r="O138" s="651"/>
      <c r="P138" s="652"/>
      <c r="Q138" s="652"/>
      <c r="R138" s="652"/>
      <c r="S138" s="652"/>
      <c r="T138" s="652"/>
      <c r="U138" s="531"/>
      <c r="V138" s="531"/>
      <c r="W138" s="531"/>
    </row>
    <row r="139" ht="15.15" hidden="1" outlineLevel="2" spans="2:23">
      <c r="B139" s="633"/>
      <c r="C139" s="634" t="s">
        <v>259</v>
      </c>
      <c r="D139" s="549"/>
      <c r="E139" s="534"/>
      <c r="F139" s="534"/>
      <c r="G139" s="534"/>
      <c r="H139" s="635"/>
      <c r="I139" s="636"/>
      <c r="J139" s="586"/>
      <c r="K139" s="587"/>
      <c r="L139" s="587"/>
      <c r="M139" s="588"/>
      <c r="O139" s="651"/>
      <c r="P139" s="652"/>
      <c r="Q139" s="652"/>
      <c r="R139" s="652"/>
      <c r="S139" s="652"/>
      <c r="T139" s="652"/>
      <c r="U139" s="531"/>
      <c r="V139" s="531"/>
      <c r="W139" s="531"/>
    </row>
    <row r="140" ht="15.15" hidden="1" outlineLevel="2" spans="2:23">
      <c r="B140" s="633"/>
      <c r="C140" s="634" t="s">
        <v>259</v>
      </c>
      <c r="D140" s="549"/>
      <c r="E140" s="534"/>
      <c r="F140" s="534"/>
      <c r="G140" s="534"/>
      <c r="H140" s="635"/>
      <c r="I140" s="636"/>
      <c r="J140" s="586"/>
      <c r="K140" s="587"/>
      <c r="L140" s="587"/>
      <c r="M140" s="588"/>
      <c r="O140" s="651"/>
      <c r="P140" s="652"/>
      <c r="Q140" s="652"/>
      <c r="R140" s="652"/>
      <c r="S140" s="652"/>
      <c r="T140" s="652"/>
      <c r="U140" s="531"/>
      <c r="V140" s="531"/>
      <c r="W140" s="531"/>
    </row>
    <row r="141" ht="15.15" hidden="1" outlineLevel="2" spans="2:23">
      <c r="B141" s="633"/>
      <c r="C141" s="634" t="s">
        <v>259</v>
      </c>
      <c r="D141" s="549"/>
      <c r="E141" s="534"/>
      <c r="F141" s="534"/>
      <c r="G141" s="534"/>
      <c r="H141" s="635"/>
      <c r="I141" s="636"/>
      <c r="J141" s="586"/>
      <c r="K141" s="587"/>
      <c r="L141" s="587"/>
      <c r="M141" s="588"/>
      <c r="O141" s="651"/>
      <c r="P141" s="652"/>
      <c r="Q141" s="652"/>
      <c r="R141" s="652"/>
      <c r="S141" s="652"/>
      <c r="T141" s="652"/>
      <c r="U141" s="531"/>
      <c r="V141" s="531"/>
      <c r="W141" s="531"/>
    </row>
    <row r="142" ht="15.15" hidden="1" outlineLevel="1" collapsed="1" spans="2:23">
      <c r="B142" s="633"/>
      <c r="C142" s="634" t="s">
        <v>259</v>
      </c>
      <c r="D142" s="549"/>
      <c r="E142" s="534"/>
      <c r="F142" s="534"/>
      <c r="G142" s="534"/>
      <c r="H142" s="635"/>
      <c r="I142" s="636"/>
      <c r="J142" s="586"/>
      <c r="K142" s="587"/>
      <c r="L142" s="587"/>
      <c r="M142" s="588"/>
      <c r="O142" s="651"/>
      <c r="P142" s="652"/>
      <c r="Q142" s="652"/>
      <c r="R142" s="652"/>
      <c r="S142" s="652"/>
      <c r="T142" s="652"/>
      <c r="U142" s="531"/>
      <c r="V142" s="531"/>
      <c r="W142" s="531"/>
    </row>
    <row r="143" ht="15.15" hidden="1" outlineLevel="1" spans="2:23">
      <c r="B143" s="633"/>
      <c r="C143" s="627"/>
      <c r="D143" s="628"/>
      <c r="E143" s="534"/>
      <c r="F143" s="534"/>
      <c r="G143" s="534"/>
      <c r="H143" s="635"/>
      <c r="I143" s="636"/>
      <c r="J143" s="586"/>
      <c r="K143" s="587"/>
      <c r="L143" s="587"/>
      <c r="M143" s="588"/>
      <c r="O143" s="651"/>
      <c r="P143" s="652"/>
      <c r="Q143" s="652"/>
      <c r="R143" s="652"/>
      <c r="S143" s="652"/>
      <c r="T143" s="652"/>
      <c r="U143" s="531"/>
      <c r="V143" s="531"/>
      <c r="W143" s="531"/>
    </row>
    <row r="144" ht="15.15" hidden="1" outlineLevel="2" spans="2:23">
      <c r="B144" s="633"/>
      <c r="C144" s="634" t="s">
        <v>259</v>
      </c>
      <c r="D144" s="549"/>
      <c r="E144" s="534"/>
      <c r="F144" s="534"/>
      <c r="G144" s="534"/>
      <c r="H144" s="635"/>
      <c r="I144" s="636"/>
      <c r="J144" s="586"/>
      <c r="K144" s="587"/>
      <c r="L144" s="587"/>
      <c r="M144" s="588"/>
      <c r="O144" s="651"/>
      <c r="P144" s="652"/>
      <c r="Q144" s="652"/>
      <c r="R144" s="652"/>
      <c r="S144" s="652"/>
      <c r="T144" s="652"/>
      <c r="U144" s="531"/>
      <c r="V144" s="531"/>
      <c r="W144" s="531"/>
    </row>
    <row r="145" ht="15.15" hidden="1" outlineLevel="2" spans="2:23">
      <c r="B145" s="633"/>
      <c r="C145" s="634" t="s">
        <v>259</v>
      </c>
      <c r="D145" s="549"/>
      <c r="E145" s="534"/>
      <c r="F145" s="534"/>
      <c r="G145" s="534"/>
      <c r="H145" s="635"/>
      <c r="I145" s="636"/>
      <c r="J145" s="586"/>
      <c r="K145" s="587"/>
      <c r="L145" s="587"/>
      <c r="M145" s="588"/>
      <c r="O145" s="651"/>
      <c r="P145" s="652"/>
      <c r="Q145" s="652"/>
      <c r="R145" s="652"/>
      <c r="S145" s="652"/>
      <c r="T145" s="652"/>
      <c r="U145" s="531"/>
      <c r="V145" s="531"/>
      <c r="W145" s="531"/>
    </row>
    <row r="146" ht="15.15" hidden="1" outlineLevel="2" spans="2:23">
      <c r="B146" s="633"/>
      <c r="C146" s="634" t="s">
        <v>259</v>
      </c>
      <c r="D146" s="549"/>
      <c r="E146" s="534"/>
      <c r="F146" s="534"/>
      <c r="G146" s="534"/>
      <c r="H146" s="635"/>
      <c r="I146" s="636"/>
      <c r="J146" s="586"/>
      <c r="K146" s="587"/>
      <c r="L146" s="587"/>
      <c r="M146" s="588"/>
      <c r="O146" s="651"/>
      <c r="P146" s="652"/>
      <c r="Q146" s="652"/>
      <c r="R146" s="652"/>
      <c r="S146" s="652"/>
      <c r="T146" s="652"/>
      <c r="U146" s="531"/>
      <c r="V146" s="531"/>
      <c r="W146" s="531"/>
    </row>
    <row r="147" ht="15.15" hidden="1" outlineLevel="1" collapsed="1" spans="2:23">
      <c r="B147" s="633"/>
      <c r="C147" s="634" t="s">
        <v>259</v>
      </c>
      <c r="D147" s="549"/>
      <c r="E147" s="534"/>
      <c r="F147" s="534"/>
      <c r="G147" s="534"/>
      <c r="H147" s="635"/>
      <c r="I147" s="636"/>
      <c r="J147" s="586"/>
      <c r="K147" s="587"/>
      <c r="L147" s="587"/>
      <c r="M147" s="588"/>
      <c r="O147" s="651"/>
      <c r="P147" s="652"/>
      <c r="Q147" s="652"/>
      <c r="R147" s="652"/>
      <c r="S147" s="652"/>
      <c r="T147" s="652"/>
      <c r="U147" s="531"/>
      <c r="V147" s="531"/>
      <c r="W147" s="531"/>
    </row>
    <row r="148" ht="15.15" hidden="1" outlineLevel="1" spans="2:23">
      <c r="B148" s="633"/>
      <c r="C148" s="627"/>
      <c r="D148" s="628"/>
      <c r="E148" s="534"/>
      <c r="F148" s="534"/>
      <c r="G148" s="534"/>
      <c r="H148" s="635"/>
      <c r="I148" s="636"/>
      <c r="J148" s="586"/>
      <c r="K148" s="587"/>
      <c r="L148" s="587"/>
      <c r="M148" s="588"/>
      <c r="O148" s="651"/>
      <c r="P148" s="652"/>
      <c r="Q148" s="652"/>
      <c r="R148" s="652"/>
      <c r="S148" s="652"/>
      <c r="T148" s="652"/>
      <c r="U148" s="531"/>
      <c r="V148" s="531"/>
      <c r="W148" s="531"/>
    </row>
    <row r="149" ht="15.15" hidden="1" outlineLevel="2" spans="2:23">
      <c r="B149" s="633"/>
      <c r="C149" s="634" t="s">
        <v>259</v>
      </c>
      <c r="D149" s="549"/>
      <c r="E149" s="534"/>
      <c r="F149" s="534"/>
      <c r="G149" s="534"/>
      <c r="H149" s="635"/>
      <c r="I149" s="636"/>
      <c r="J149" s="586"/>
      <c r="K149" s="587"/>
      <c r="L149" s="587"/>
      <c r="M149" s="588"/>
      <c r="O149" s="651"/>
      <c r="P149" s="652"/>
      <c r="Q149" s="652"/>
      <c r="R149" s="652"/>
      <c r="S149" s="652"/>
      <c r="T149" s="652"/>
      <c r="U149" s="531"/>
      <c r="V149" s="531"/>
      <c r="W149" s="531"/>
    </row>
    <row r="150" ht="15.15" hidden="1" outlineLevel="2" spans="2:23">
      <c r="B150" s="633"/>
      <c r="C150" s="634" t="s">
        <v>259</v>
      </c>
      <c r="D150" s="549"/>
      <c r="E150" s="534"/>
      <c r="F150" s="534"/>
      <c r="G150" s="534"/>
      <c r="H150" s="635"/>
      <c r="I150" s="636"/>
      <c r="J150" s="586"/>
      <c r="K150" s="587"/>
      <c r="L150" s="587"/>
      <c r="M150" s="588"/>
      <c r="O150" s="651"/>
      <c r="P150" s="652"/>
      <c r="Q150" s="652"/>
      <c r="R150" s="652"/>
      <c r="S150" s="652"/>
      <c r="T150" s="652"/>
      <c r="U150" s="531"/>
      <c r="V150" s="531"/>
      <c r="W150" s="531"/>
    </row>
    <row r="151" ht="15.15" hidden="1" outlineLevel="2" spans="2:23">
      <c r="B151" s="633"/>
      <c r="C151" s="634" t="s">
        <v>259</v>
      </c>
      <c r="D151" s="549"/>
      <c r="E151" s="534"/>
      <c r="F151" s="534"/>
      <c r="G151" s="534"/>
      <c r="H151" s="635"/>
      <c r="I151" s="636"/>
      <c r="J151" s="586"/>
      <c r="K151" s="587"/>
      <c r="L151" s="587"/>
      <c r="M151" s="588"/>
      <c r="O151" s="651"/>
      <c r="P151" s="652"/>
      <c r="Q151" s="652"/>
      <c r="R151" s="652"/>
      <c r="S151" s="652"/>
      <c r="T151" s="652"/>
      <c r="U151" s="531"/>
      <c r="V151" s="531"/>
      <c r="W151" s="531"/>
    </row>
    <row r="152" ht="15.15" hidden="1" outlineLevel="1" collapsed="1" spans="2:23">
      <c r="B152" s="653"/>
      <c r="C152" s="634" t="s">
        <v>259</v>
      </c>
      <c r="D152" s="549"/>
      <c r="E152" s="534"/>
      <c r="F152" s="534"/>
      <c r="G152" s="534"/>
      <c r="H152" s="654"/>
      <c r="I152" s="636"/>
      <c r="J152" s="586"/>
      <c r="K152" s="587"/>
      <c r="L152" s="587"/>
      <c r="M152" s="588"/>
      <c r="O152" s="651"/>
      <c r="P152" s="652"/>
      <c r="Q152" s="652"/>
      <c r="R152" s="652"/>
      <c r="S152" s="652"/>
      <c r="T152" s="652"/>
      <c r="U152" s="531"/>
      <c r="V152" s="531"/>
      <c r="W152" s="531"/>
    </row>
    <row r="153" ht="15.15" collapsed="1" spans="2:23">
      <c r="B153" s="655" t="s">
        <v>275</v>
      </c>
      <c r="C153" s="656"/>
      <c r="D153" s="657"/>
      <c r="E153" s="534"/>
      <c r="F153" s="534"/>
      <c r="G153" s="534"/>
      <c r="H153" s="658" t="s">
        <v>265</v>
      </c>
      <c r="I153" s="630">
        <f>SUM(G153:G182)</f>
        <v>0</v>
      </c>
      <c r="J153" s="586"/>
      <c r="K153" s="587"/>
      <c r="L153" s="587"/>
      <c r="M153" s="588"/>
      <c r="O153" s="651"/>
      <c r="P153" s="652"/>
      <c r="Q153" s="652"/>
      <c r="R153" s="652"/>
      <c r="S153" s="652"/>
      <c r="T153" s="652"/>
      <c r="U153" s="531"/>
      <c r="V153" s="531"/>
      <c r="W153" s="531"/>
    </row>
    <row r="154" ht="15.15" spans="2:23">
      <c r="B154" s="659"/>
      <c r="C154" s="660" t="s">
        <v>259</v>
      </c>
      <c r="D154" s="549"/>
      <c r="E154" s="534"/>
      <c r="F154" s="534"/>
      <c r="G154" s="534"/>
      <c r="H154" s="661"/>
      <c r="I154" s="636"/>
      <c r="J154" s="586"/>
      <c r="K154" s="587"/>
      <c r="L154" s="587"/>
      <c r="M154" s="588"/>
      <c r="O154" s="651" t="s">
        <v>261</v>
      </c>
      <c r="P154" s="662" cm="1">
        <f t="array" ref="P154">SUM(参数!B2:B105*参数!R2:R105)</f>
        <v>0</v>
      </c>
      <c r="Q154" s="662" cm="1">
        <f t="array" ref="Q154">SUM(参数!B2:B105*参数!S2:S105)</f>
        <v>0</v>
      </c>
      <c r="R154" s="662" cm="1">
        <f t="array" ref="R154">SUM(参数!B2:B105*参数!T2:T105)</f>
        <v>0</v>
      </c>
      <c r="S154" s="662" cm="1">
        <f t="array" ref="S154">SUM(参数!B2:B105*参数!U2:U105)</f>
        <v>0</v>
      </c>
      <c r="T154" s="663" cm="1">
        <f t="array" ref="T154">SUM(参数!B2:B105*参数!V2:V105)</f>
        <v>0</v>
      </c>
      <c r="U154" s="585"/>
      <c r="V154" s="585"/>
      <c r="W154" s="531"/>
    </row>
    <row r="155" ht="15.15" hidden="1" outlineLevel="1" spans="2:23">
      <c r="B155" s="659"/>
      <c r="C155" s="660" t="s">
        <v>259</v>
      </c>
      <c r="D155" s="549"/>
      <c r="E155" s="534"/>
      <c r="F155" s="534"/>
      <c r="G155" s="534"/>
      <c r="H155" s="661"/>
      <c r="I155" s="636"/>
      <c r="J155" s="586"/>
      <c r="K155" s="587"/>
      <c r="L155" s="587"/>
      <c r="M155" s="588"/>
      <c r="O155" s="664"/>
      <c r="P155" s="665"/>
      <c r="Q155" s="665"/>
      <c r="R155" s="665"/>
      <c r="S155" s="665"/>
      <c r="T155" s="666"/>
      <c r="U155" s="531"/>
      <c r="V155" s="531"/>
      <c r="W155" s="531"/>
    </row>
    <row r="156" ht="15.15" hidden="1" outlineLevel="1" spans="2:23">
      <c r="B156" s="659"/>
      <c r="C156" s="660" t="s">
        <v>259</v>
      </c>
      <c r="D156" s="549"/>
      <c r="E156" s="534"/>
      <c r="F156" s="534"/>
      <c r="G156" s="534"/>
      <c r="H156" s="661"/>
      <c r="I156" s="636"/>
      <c r="J156" s="586"/>
      <c r="K156" s="587"/>
      <c r="L156" s="587"/>
      <c r="M156" s="588"/>
      <c r="O156" s="645" t="s">
        <v>276</v>
      </c>
      <c r="P156" s="646" t="s">
        <v>32</v>
      </c>
      <c r="Q156" s="646" t="s">
        <v>117</v>
      </c>
      <c r="R156" s="646" t="s">
        <v>122</v>
      </c>
      <c r="S156" s="646" t="s">
        <v>129</v>
      </c>
      <c r="T156" s="646" t="s">
        <v>134</v>
      </c>
      <c r="U156" s="646" t="s">
        <v>140</v>
      </c>
      <c r="V156" s="647" t="s">
        <v>147</v>
      </c>
      <c r="W156" s="531"/>
    </row>
    <row r="157" ht="15.15" hidden="1" outlineLevel="1" spans="2:23">
      <c r="B157" s="659"/>
      <c r="C157" s="660" t="s">
        <v>259</v>
      </c>
      <c r="D157" s="549"/>
      <c r="E157" s="534"/>
      <c r="F157" s="534"/>
      <c r="G157" s="534"/>
      <c r="H157" s="661"/>
      <c r="I157" s="636"/>
      <c r="J157" s="586"/>
      <c r="K157" s="587"/>
      <c r="L157" s="587"/>
      <c r="M157" s="588"/>
      <c r="O157" s="648"/>
      <c r="P157" s="649"/>
      <c r="Q157" s="649"/>
      <c r="R157" s="649"/>
      <c r="S157" s="649"/>
      <c r="T157" s="649"/>
      <c r="U157" s="649"/>
      <c r="V157" s="650"/>
      <c r="W157" s="531"/>
    </row>
    <row r="158" ht="15.15" collapsed="1" spans="2:23">
      <c r="B158" s="659"/>
      <c r="C158" s="656"/>
      <c r="D158" s="657"/>
      <c r="E158" s="534"/>
      <c r="F158" s="534"/>
      <c r="G158" s="534"/>
      <c r="H158" s="661"/>
      <c r="I158" s="636"/>
      <c r="J158" s="586"/>
      <c r="K158" s="587"/>
      <c r="L158" s="587"/>
      <c r="M158" s="588"/>
      <c r="O158" s="648"/>
      <c r="P158" s="649"/>
      <c r="Q158" s="649"/>
      <c r="R158" s="649"/>
      <c r="S158" s="649"/>
      <c r="T158" s="649"/>
      <c r="U158" s="649"/>
      <c r="V158" s="650"/>
      <c r="W158" s="531"/>
    </row>
    <row r="159" ht="15.15" spans="2:23">
      <c r="B159" s="659"/>
      <c r="C159" s="660" t="s">
        <v>259</v>
      </c>
      <c r="D159" s="549"/>
      <c r="E159" s="534"/>
      <c r="F159" s="534"/>
      <c r="G159" s="534"/>
      <c r="H159" s="661"/>
      <c r="I159" s="636"/>
      <c r="J159" s="586"/>
      <c r="K159" s="587"/>
      <c r="L159" s="587"/>
      <c r="M159" s="588"/>
      <c r="O159" s="651" t="s">
        <v>258</v>
      </c>
      <c r="P159" s="662"/>
      <c r="Q159" s="662"/>
      <c r="R159" s="662"/>
      <c r="S159" s="662"/>
      <c r="T159" s="662"/>
      <c r="U159" s="662"/>
      <c r="V159" s="662"/>
      <c r="W159" s="531"/>
    </row>
    <row r="160" ht="15.15" hidden="1" outlineLevel="1" spans="2:23">
      <c r="B160" s="659"/>
      <c r="C160" s="660" t="s">
        <v>259</v>
      </c>
      <c r="D160" s="549"/>
      <c r="E160" s="534"/>
      <c r="F160" s="534"/>
      <c r="G160" s="534"/>
      <c r="H160" s="661"/>
      <c r="I160" s="636"/>
      <c r="J160" s="586"/>
      <c r="K160" s="587"/>
      <c r="L160" s="587"/>
      <c r="M160" s="588"/>
      <c r="O160" s="651"/>
      <c r="P160" s="662"/>
      <c r="Q160" s="662"/>
      <c r="R160" s="662"/>
      <c r="S160" s="662"/>
      <c r="T160" s="662"/>
      <c r="U160" s="662"/>
      <c r="V160" s="662"/>
      <c r="W160" s="531"/>
    </row>
    <row r="161" ht="15.15" hidden="1" outlineLevel="1" spans="2:23">
      <c r="B161" s="659"/>
      <c r="C161" s="660" t="s">
        <v>259</v>
      </c>
      <c r="D161" s="549"/>
      <c r="E161" s="534"/>
      <c r="F161" s="534"/>
      <c r="G161" s="534"/>
      <c r="H161" s="661"/>
      <c r="I161" s="636"/>
      <c r="J161" s="586"/>
      <c r="K161" s="587"/>
      <c r="L161" s="587"/>
      <c r="M161" s="588"/>
      <c r="O161" s="651"/>
      <c r="P161" s="662"/>
      <c r="Q161" s="662"/>
      <c r="R161" s="662"/>
      <c r="S161" s="662"/>
      <c r="T161" s="662"/>
      <c r="U161" s="662"/>
      <c r="V161" s="662"/>
      <c r="W161" s="531"/>
    </row>
    <row r="162" ht="15.15" hidden="1" outlineLevel="1" spans="2:23">
      <c r="B162" s="659"/>
      <c r="C162" s="660" t="s">
        <v>259</v>
      </c>
      <c r="D162" s="549"/>
      <c r="E162" s="534"/>
      <c r="F162" s="534"/>
      <c r="G162" s="534"/>
      <c r="H162" s="661"/>
      <c r="I162" s="636"/>
      <c r="J162" s="586"/>
      <c r="K162" s="587"/>
      <c r="L162" s="587"/>
      <c r="M162" s="588"/>
      <c r="O162" s="667"/>
      <c r="P162" s="668"/>
      <c r="Q162" s="668"/>
      <c r="R162" s="668"/>
      <c r="S162" s="668"/>
      <c r="T162" s="668"/>
      <c r="U162" s="668"/>
      <c r="V162" s="668"/>
      <c r="W162" s="531"/>
    </row>
    <row r="163" ht="15.15" collapsed="1" spans="2:23">
      <c r="B163" s="659"/>
      <c r="C163" s="656"/>
      <c r="D163" s="657"/>
      <c r="E163" s="534"/>
      <c r="F163" s="534"/>
      <c r="G163" s="534"/>
      <c r="H163" s="661"/>
      <c r="I163" s="636"/>
      <c r="J163" s="586"/>
      <c r="K163" s="587"/>
      <c r="L163" s="587"/>
      <c r="M163" s="588"/>
      <c r="O163" s="669" t="s">
        <v>261</v>
      </c>
      <c r="P163" s="670" cm="1">
        <f t="array" ref="P163">SUM(参数!B2:B105*参数!W2:W105)</f>
        <v>0</v>
      </c>
      <c r="Q163" s="670" cm="1">
        <f t="array" ref="Q163">SUM(参数!B2:B105*参数!X2:X105)</f>
        <v>0</v>
      </c>
      <c r="R163" s="670" cm="1">
        <f t="array" ref="R163">SUM(参数!B2:B105*参数!Y2:Y105)</f>
        <v>0</v>
      </c>
      <c r="S163" s="670" cm="1">
        <f t="array" ref="S163">SUM(参数!B2:B105*参数!Z2:Z105)</f>
        <v>0</v>
      </c>
      <c r="T163" s="670" cm="1">
        <f t="array" ref="T163">SUM(参数!B2:B105*参数!AA2:AA105)</f>
        <v>0</v>
      </c>
      <c r="U163" s="670" cm="1">
        <f t="array" ref="U163">SUM(参数!B2:B105*参数!AB2:AB105)</f>
        <v>0</v>
      </c>
      <c r="V163" s="671" cm="1">
        <f t="array" ref="V163">SUM(参数!B2:B105*参数!AC2:AC105)</f>
        <v>0</v>
      </c>
      <c r="W163" s="531"/>
    </row>
    <row r="164" ht="15.15" hidden="1" outlineLevel="1" spans="2:23">
      <c r="B164" s="659"/>
      <c r="C164" s="660" t="s">
        <v>259</v>
      </c>
      <c r="D164" s="549"/>
      <c r="E164" s="534"/>
      <c r="F164" s="534"/>
      <c r="G164" s="534"/>
      <c r="H164" s="661"/>
      <c r="I164" s="636"/>
      <c r="J164" s="586"/>
      <c r="K164" s="587"/>
      <c r="L164" s="587"/>
      <c r="M164" s="588"/>
      <c r="O164" s="651"/>
      <c r="P164" s="662"/>
      <c r="Q164" s="662"/>
      <c r="R164" s="662"/>
      <c r="S164" s="662"/>
      <c r="T164" s="662"/>
      <c r="U164" s="662"/>
      <c r="V164" s="663"/>
      <c r="W164" s="531"/>
    </row>
    <row r="165" ht="15.15" hidden="1" outlineLevel="1" spans="2:23">
      <c r="B165" s="659"/>
      <c r="C165" s="660" t="s">
        <v>259</v>
      </c>
      <c r="D165" s="549"/>
      <c r="E165" s="534"/>
      <c r="F165" s="534"/>
      <c r="G165" s="534"/>
      <c r="H165" s="661"/>
      <c r="I165" s="636"/>
      <c r="J165" s="586"/>
      <c r="K165" s="587"/>
      <c r="L165" s="587"/>
      <c r="M165" s="588"/>
      <c r="O165" s="651"/>
      <c r="P165" s="662"/>
      <c r="Q165" s="662"/>
      <c r="R165" s="662"/>
      <c r="S165" s="662"/>
      <c r="T165" s="662"/>
      <c r="U165" s="662"/>
      <c r="V165" s="663"/>
      <c r="W165" s="531"/>
    </row>
    <row r="166" ht="15.15" hidden="1" outlineLevel="1" spans="2:23">
      <c r="B166" s="659"/>
      <c r="C166" s="660" t="s">
        <v>259</v>
      </c>
      <c r="D166" s="549"/>
      <c r="E166" s="534"/>
      <c r="F166" s="534"/>
      <c r="G166" s="534"/>
      <c r="H166" s="661"/>
      <c r="I166" s="636"/>
      <c r="J166" s="586"/>
      <c r="K166" s="587"/>
      <c r="L166" s="587"/>
      <c r="M166" s="588"/>
      <c r="O166" s="664"/>
      <c r="P166" s="665"/>
      <c r="Q166" s="665"/>
      <c r="R166" s="665"/>
      <c r="S166" s="665"/>
      <c r="T166" s="665"/>
      <c r="U166" s="665"/>
      <c r="V166" s="666"/>
      <c r="W166" s="531"/>
    </row>
    <row r="167" ht="15.15" collapsed="1" spans="2:23">
      <c r="B167" s="659"/>
      <c r="C167" s="660" t="s">
        <v>259</v>
      </c>
      <c r="D167" s="549"/>
      <c r="E167" s="534"/>
      <c r="F167" s="534"/>
      <c r="G167" s="534"/>
      <c r="H167" s="661"/>
      <c r="I167" s="636"/>
      <c r="J167" s="586"/>
      <c r="K167" s="587"/>
      <c r="L167" s="587"/>
      <c r="M167" s="588"/>
      <c r="O167" s="645" t="s">
        <v>277</v>
      </c>
      <c r="P167" s="646" t="s">
        <v>33</v>
      </c>
      <c r="Q167" s="646" t="s">
        <v>158</v>
      </c>
      <c r="R167" s="646" t="s">
        <v>164</v>
      </c>
      <c r="S167" s="646" t="s">
        <v>170</v>
      </c>
      <c r="T167" s="647" t="s">
        <v>175</v>
      </c>
      <c r="U167" s="616"/>
      <c r="V167" s="616"/>
      <c r="W167" s="531"/>
    </row>
    <row r="168" ht="15.15" hidden="1" outlineLevel="1" spans="2:23">
      <c r="B168" s="659"/>
      <c r="C168" s="656"/>
      <c r="D168" s="657"/>
      <c r="E168" s="534"/>
      <c r="F168" s="534"/>
      <c r="G168" s="534"/>
      <c r="H168" s="661"/>
      <c r="I168" s="636"/>
      <c r="J168" s="586"/>
      <c r="K168" s="587"/>
      <c r="L168" s="587"/>
      <c r="M168" s="588"/>
      <c r="O168" s="648"/>
      <c r="P168" s="649"/>
      <c r="Q168" s="649"/>
      <c r="R168" s="649"/>
      <c r="S168" s="649"/>
      <c r="T168" s="650"/>
      <c r="U168" s="531"/>
      <c r="V168" s="531"/>
      <c r="W168" s="531"/>
    </row>
    <row r="169" ht="15.15" hidden="1" outlineLevel="2" spans="2:23">
      <c r="B169" s="659"/>
      <c r="C169" s="660" t="s">
        <v>259</v>
      </c>
      <c r="D169" s="549"/>
      <c r="E169" s="534"/>
      <c r="F169" s="534"/>
      <c r="G169" s="534"/>
      <c r="H169" s="661"/>
      <c r="I169" s="636"/>
      <c r="J169" s="586"/>
      <c r="K169" s="587"/>
      <c r="L169" s="587"/>
      <c r="M169" s="588"/>
      <c r="O169" s="648"/>
      <c r="P169" s="649"/>
      <c r="Q169" s="649"/>
      <c r="R169" s="649"/>
      <c r="S169" s="649"/>
      <c r="T169" s="650"/>
      <c r="U169" s="531"/>
      <c r="V169" s="531"/>
      <c r="W169" s="531"/>
    </row>
    <row r="170" ht="15.15" hidden="1" outlineLevel="2" spans="2:23">
      <c r="B170" s="659"/>
      <c r="C170" s="660" t="s">
        <v>259</v>
      </c>
      <c r="D170" s="549"/>
      <c r="E170" s="534"/>
      <c r="F170" s="534"/>
      <c r="G170" s="534"/>
      <c r="H170" s="661"/>
      <c r="I170" s="636"/>
      <c r="J170" s="586"/>
      <c r="K170" s="587"/>
      <c r="L170" s="587"/>
      <c r="M170" s="588"/>
      <c r="O170" s="648"/>
      <c r="P170" s="649"/>
      <c r="Q170" s="649"/>
      <c r="R170" s="649"/>
      <c r="S170" s="649"/>
      <c r="T170" s="650"/>
      <c r="U170" s="531"/>
      <c r="V170" s="531"/>
      <c r="W170" s="531"/>
    </row>
    <row r="171" ht="15.15" hidden="1" outlineLevel="2" spans="2:23">
      <c r="B171" s="659"/>
      <c r="C171" s="660" t="s">
        <v>259</v>
      </c>
      <c r="D171" s="549"/>
      <c r="E171" s="534"/>
      <c r="F171" s="534"/>
      <c r="G171" s="534"/>
      <c r="H171" s="661"/>
      <c r="I171" s="636"/>
      <c r="J171" s="586"/>
      <c r="K171" s="587"/>
      <c r="L171" s="587"/>
      <c r="M171" s="588"/>
      <c r="O171" s="648"/>
      <c r="P171" s="649"/>
      <c r="Q171" s="649"/>
      <c r="R171" s="649"/>
      <c r="S171" s="649"/>
      <c r="T171" s="650"/>
      <c r="U171" s="531"/>
      <c r="V171" s="531"/>
      <c r="W171" s="531"/>
    </row>
    <row r="172" ht="15.15" hidden="1" outlineLevel="1" collapsed="1" spans="2:23">
      <c r="B172" s="659"/>
      <c r="C172" s="660" t="s">
        <v>259</v>
      </c>
      <c r="D172" s="549"/>
      <c r="E172" s="534"/>
      <c r="F172" s="534"/>
      <c r="G172" s="534"/>
      <c r="H172" s="661"/>
      <c r="I172" s="636"/>
      <c r="J172" s="586"/>
      <c r="K172" s="587"/>
      <c r="L172" s="587"/>
      <c r="M172" s="588"/>
      <c r="O172" s="648"/>
      <c r="P172" s="649"/>
      <c r="Q172" s="649"/>
      <c r="R172" s="649"/>
      <c r="S172" s="649"/>
      <c r="T172" s="650"/>
      <c r="U172" s="531"/>
      <c r="V172" s="531"/>
      <c r="W172" s="531"/>
    </row>
    <row r="173" ht="15.15" hidden="1" outlineLevel="1" spans="2:23">
      <c r="B173" s="659"/>
      <c r="C173" s="656"/>
      <c r="D173" s="657"/>
      <c r="E173" s="534"/>
      <c r="F173" s="534"/>
      <c r="G173" s="534"/>
      <c r="H173" s="661"/>
      <c r="I173" s="636"/>
      <c r="J173" s="586"/>
      <c r="K173" s="587"/>
      <c r="L173" s="587"/>
      <c r="M173" s="588"/>
      <c r="O173" s="648"/>
      <c r="P173" s="649"/>
      <c r="Q173" s="649"/>
      <c r="R173" s="649"/>
      <c r="S173" s="649"/>
      <c r="T173" s="650"/>
      <c r="U173" s="531"/>
      <c r="V173" s="531"/>
      <c r="W173" s="531"/>
    </row>
    <row r="174" ht="15.15" hidden="1" outlineLevel="2" spans="2:23">
      <c r="B174" s="659"/>
      <c r="C174" s="660" t="s">
        <v>259</v>
      </c>
      <c r="D174" s="549"/>
      <c r="E174" s="534"/>
      <c r="F174" s="534"/>
      <c r="G174" s="534"/>
      <c r="H174" s="661"/>
      <c r="I174" s="636"/>
      <c r="J174" s="586"/>
      <c r="K174" s="587"/>
      <c r="L174" s="587"/>
      <c r="M174" s="588"/>
      <c r="O174" s="648"/>
      <c r="P174" s="649"/>
      <c r="Q174" s="649"/>
      <c r="R174" s="649"/>
      <c r="S174" s="649"/>
      <c r="T174" s="650"/>
      <c r="U174" s="531"/>
      <c r="V174" s="531"/>
      <c r="W174" s="531"/>
    </row>
    <row r="175" ht="15.15" hidden="1" outlineLevel="2" spans="2:23">
      <c r="B175" s="659"/>
      <c r="C175" s="660" t="s">
        <v>259</v>
      </c>
      <c r="D175" s="549"/>
      <c r="E175" s="534"/>
      <c r="F175" s="534"/>
      <c r="G175" s="534"/>
      <c r="H175" s="661"/>
      <c r="I175" s="636"/>
      <c r="J175" s="586"/>
      <c r="K175" s="587"/>
      <c r="L175" s="587"/>
      <c r="M175" s="588"/>
      <c r="O175" s="651" t="s">
        <v>258</v>
      </c>
      <c r="P175" s="652"/>
      <c r="Q175" s="652"/>
      <c r="R175" s="652"/>
      <c r="S175" s="652"/>
      <c r="T175" s="652"/>
      <c r="U175" s="531"/>
      <c r="V175" s="531"/>
      <c r="W175" s="531"/>
    </row>
    <row r="176" ht="15.15" hidden="1" outlineLevel="2" spans="2:23">
      <c r="B176" s="659"/>
      <c r="C176" s="660" t="s">
        <v>259</v>
      </c>
      <c r="D176" s="549"/>
      <c r="E176" s="534"/>
      <c r="F176" s="534"/>
      <c r="G176" s="534"/>
      <c r="H176" s="661"/>
      <c r="I176" s="636"/>
      <c r="J176" s="586"/>
      <c r="K176" s="587"/>
      <c r="L176" s="587"/>
      <c r="M176" s="588"/>
      <c r="O176" s="651"/>
      <c r="P176" s="652"/>
      <c r="Q176" s="652"/>
      <c r="R176" s="652"/>
      <c r="S176" s="652"/>
      <c r="T176" s="652"/>
      <c r="U176" s="531"/>
      <c r="V176" s="531"/>
      <c r="W176" s="531"/>
    </row>
    <row r="177" ht="15.15" hidden="1" outlineLevel="1" collapsed="1" spans="2:23">
      <c r="B177" s="659"/>
      <c r="C177" s="660" t="s">
        <v>259</v>
      </c>
      <c r="D177" s="549"/>
      <c r="E177" s="534"/>
      <c r="F177" s="534"/>
      <c r="G177" s="534"/>
      <c r="H177" s="661"/>
      <c r="I177" s="636"/>
      <c r="J177" s="586"/>
      <c r="K177" s="587"/>
      <c r="L177" s="587"/>
      <c r="M177" s="588"/>
      <c r="O177" s="651"/>
      <c r="P177" s="652"/>
      <c r="Q177" s="652"/>
      <c r="R177" s="652"/>
      <c r="S177" s="652"/>
      <c r="T177" s="652"/>
      <c r="U177" s="531"/>
      <c r="V177" s="531"/>
      <c r="W177" s="531"/>
    </row>
    <row r="178" ht="15.15" hidden="1" outlineLevel="1" spans="2:23">
      <c r="B178" s="659"/>
      <c r="C178" s="656"/>
      <c r="D178" s="657"/>
      <c r="E178" s="534"/>
      <c r="F178" s="534"/>
      <c r="G178" s="534"/>
      <c r="H178" s="661"/>
      <c r="I178" s="636"/>
      <c r="J178" s="586"/>
      <c r="K178" s="587"/>
      <c r="L178" s="587"/>
      <c r="M178" s="588"/>
      <c r="O178" s="651"/>
      <c r="P178" s="652"/>
      <c r="Q178" s="652"/>
      <c r="R178" s="652"/>
      <c r="S178" s="652"/>
      <c r="T178" s="652"/>
      <c r="U178" s="531"/>
      <c r="V178" s="531"/>
      <c r="W178" s="531"/>
    </row>
    <row r="179" ht="15.15" hidden="1" outlineLevel="2" spans="2:23">
      <c r="B179" s="659"/>
      <c r="C179" s="660" t="s">
        <v>259</v>
      </c>
      <c r="D179" s="549"/>
      <c r="E179" s="534"/>
      <c r="F179" s="534"/>
      <c r="G179" s="534"/>
      <c r="H179" s="661"/>
      <c r="I179" s="636"/>
      <c r="J179" s="586"/>
      <c r="K179" s="587"/>
      <c r="L179" s="587"/>
      <c r="M179" s="588"/>
      <c r="O179" s="651"/>
      <c r="P179" s="652"/>
      <c r="Q179" s="652"/>
      <c r="R179" s="652"/>
      <c r="S179" s="652"/>
      <c r="T179" s="652"/>
      <c r="U179" s="531"/>
      <c r="V179" s="531"/>
      <c r="W179" s="531"/>
    </row>
    <row r="180" ht="15.15" hidden="1" outlineLevel="2" spans="2:23">
      <c r="B180" s="659"/>
      <c r="C180" s="660" t="s">
        <v>259</v>
      </c>
      <c r="D180" s="549"/>
      <c r="E180" s="534"/>
      <c r="F180" s="534"/>
      <c r="G180" s="534"/>
      <c r="H180" s="661"/>
      <c r="I180" s="636"/>
      <c r="J180" s="586"/>
      <c r="K180" s="587"/>
      <c r="L180" s="587"/>
      <c r="M180" s="588"/>
      <c r="O180" s="651"/>
      <c r="P180" s="652"/>
      <c r="Q180" s="652"/>
      <c r="R180" s="652"/>
      <c r="S180" s="652"/>
      <c r="T180" s="652"/>
      <c r="U180" s="531"/>
      <c r="V180" s="531"/>
      <c r="W180" s="531"/>
    </row>
    <row r="181" ht="15.15" hidden="1" outlineLevel="2" spans="2:23">
      <c r="B181" s="659"/>
      <c r="C181" s="660" t="s">
        <v>259</v>
      </c>
      <c r="D181" s="549"/>
      <c r="E181" s="534"/>
      <c r="F181" s="534"/>
      <c r="G181" s="534"/>
      <c r="H181" s="661"/>
      <c r="I181" s="636"/>
      <c r="J181" s="586"/>
      <c r="K181" s="587"/>
      <c r="L181" s="587"/>
      <c r="M181" s="588"/>
      <c r="O181" s="651"/>
      <c r="P181" s="652"/>
      <c r="Q181" s="652"/>
      <c r="R181" s="652"/>
      <c r="S181" s="652"/>
      <c r="T181" s="652"/>
      <c r="U181" s="531"/>
      <c r="V181" s="531"/>
      <c r="W181" s="531"/>
    </row>
    <row r="182" ht="15.15" hidden="1" outlineLevel="1" collapsed="1" spans="2:23">
      <c r="B182" s="659"/>
      <c r="C182" s="660" t="s">
        <v>259</v>
      </c>
      <c r="D182" s="549"/>
      <c r="E182" s="534"/>
      <c r="F182" s="534"/>
      <c r="G182" s="534"/>
      <c r="H182" s="661"/>
      <c r="I182" s="636"/>
      <c r="J182" s="586"/>
      <c r="K182" s="587"/>
      <c r="L182" s="587"/>
      <c r="M182" s="588"/>
      <c r="O182" s="651"/>
      <c r="P182" s="652"/>
      <c r="Q182" s="652"/>
      <c r="R182" s="652"/>
      <c r="S182" s="652"/>
      <c r="T182" s="652"/>
      <c r="U182" s="531"/>
      <c r="V182" s="531"/>
      <c r="W182" s="531"/>
    </row>
    <row r="183" ht="15.15" hidden="1" outlineLevel="1" spans="2:23">
      <c r="B183" s="659"/>
      <c r="C183" s="656"/>
      <c r="D183" s="657"/>
      <c r="E183" s="534"/>
      <c r="F183" s="534"/>
      <c r="G183" s="534"/>
      <c r="H183" s="661"/>
      <c r="I183" s="636"/>
      <c r="J183" s="586"/>
      <c r="K183" s="587"/>
      <c r="L183" s="587"/>
      <c r="M183" s="588"/>
      <c r="O183" s="651"/>
      <c r="P183" s="652"/>
      <c r="Q183" s="652"/>
      <c r="R183" s="652"/>
      <c r="S183" s="652"/>
      <c r="T183" s="652"/>
      <c r="U183" s="531"/>
      <c r="V183" s="531"/>
      <c r="W183" s="531"/>
    </row>
    <row r="184" ht="15.15" hidden="1" outlineLevel="2" spans="2:23">
      <c r="B184" s="659"/>
      <c r="C184" s="660" t="s">
        <v>259</v>
      </c>
      <c r="D184" s="549"/>
      <c r="E184" s="534"/>
      <c r="F184" s="534"/>
      <c r="G184" s="534"/>
      <c r="H184" s="661"/>
      <c r="I184" s="636"/>
      <c r="J184" s="586"/>
      <c r="K184" s="587"/>
      <c r="L184" s="587"/>
      <c r="M184" s="588"/>
      <c r="O184" s="651"/>
      <c r="P184" s="652"/>
      <c r="Q184" s="652"/>
      <c r="R184" s="652"/>
      <c r="S184" s="652"/>
      <c r="T184" s="652"/>
      <c r="U184" s="531"/>
      <c r="V184" s="531"/>
      <c r="W184" s="531"/>
    </row>
    <row r="185" ht="15.15" hidden="1" outlineLevel="2" spans="2:23">
      <c r="B185" s="659"/>
      <c r="C185" s="660" t="s">
        <v>259</v>
      </c>
      <c r="D185" s="549"/>
      <c r="E185" s="534"/>
      <c r="F185" s="534"/>
      <c r="G185" s="534"/>
      <c r="H185" s="661"/>
      <c r="I185" s="636"/>
      <c r="J185" s="586"/>
      <c r="K185" s="587"/>
      <c r="L185" s="587"/>
      <c r="M185" s="588"/>
      <c r="O185" s="651"/>
      <c r="P185" s="652"/>
      <c r="Q185" s="652"/>
      <c r="R185" s="652"/>
      <c r="S185" s="652"/>
      <c r="T185" s="652"/>
      <c r="U185" s="531"/>
      <c r="V185" s="531"/>
      <c r="W185" s="531"/>
    </row>
    <row r="186" ht="15.15" hidden="1" outlineLevel="2" spans="2:23">
      <c r="B186" s="659"/>
      <c r="C186" s="660" t="s">
        <v>259</v>
      </c>
      <c r="D186" s="549"/>
      <c r="E186" s="534"/>
      <c r="F186" s="534"/>
      <c r="G186" s="534"/>
      <c r="H186" s="661"/>
      <c r="I186" s="636"/>
      <c r="J186" s="586"/>
      <c r="K186" s="587"/>
      <c r="L186" s="587"/>
      <c r="M186" s="588"/>
      <c r="O186" s="651"/>
      <c r="P186" s="652"/>
      <c r="Q186" s="652"/>
      <c r="R186" s="652"/>
      <c r="S186" s="652"/>
      <c r="T186" s="652"/>
      <c r="U186" s="531"/>
      <c r="V186" s="531"/>
      <c r="W186" s="531"/>
    </row>
    <row r="187" ht="15.15" hidden="1" outlineLevel="1" collapsed="1" spans="2:23">
      <c r="B187" s="659"/>
      <c r="C187" s="660" t="s">
        <v>259</v>
      </c>
      <c r="D187" s="549"/>
      <c r="E187" s="534"/>
      <c r="F187" s="534"/>
      <c r="G187" s="534"/>
      <c r="H187" s="661"/>
      <c r="I187" s="636"/>
      <c r="J187" s="586"/>
      <c r="K187" s="587"/>
      <c r="L187" s="587"/>
      <c r="M187" s="588"/>
      <c r="O187" s="651"/>
      <c r="P187" s="652"/>
      <c r="Q187" s="652"/>
      <c r="R187" s="652"/>
      <c r="S187" s="652"/>
      <c r="T187" s="652"/>
      <c r="U187" s="531"/>
      <c r="V187" s="531"/>
      <c r="W187" s="531"/>
    </row>
    <row r="188" ht="15.15" hidden="1" outlineLevel="1" spans="2:23">
      <c r="B188" s="659"/>
      <c r="C188" s="656"/>
      <c r="D188" s="657"/>
      <c r="E188" s="534"/>
      <c r="F188" s="534"/>
      <c r="G188" s="534"/>
      <c r="H188" s="661"/>
      <c r="I188" s="636"/>
      <c r="J188" s="586"/>
      <c r="K188" s="587"/>
      <c r="L188" s="587"/>
      <c r="M188" s="588"/>
      <c r="O188" s="651"/>
      <c r="P188" s="652"/>
      <c r="Q188" s="652"/>
      <c r="R188" s="652"/>
      <c r="S188" s="652"/>
      <c r="T188" s="652"/>
      <c r="U188" s="531"/>
      <c r="V188" s="531"/>
      <c r="W188" s="531"/>
    </row>
    <row r="189" ht="15.15" hidden="1" outlineLevel="2" spans="2:23">
      <c r="B189" s="659"/>
      <c r="C189" s="660" t="s">
        <v>259</v>
      </c>
      <c r="D189" s="549"/>
      <c r="E189" s="534"/>
      <c r="F189" s="534"/>
      <c r="G189" s="534"/>
      <c r="H189" s="661"/>
      <c r="I189" s="636"/>
      <c r="J189" s="586"/>
      <c r="K189" s="587"/>
      <c r="L189" s="587"/>
      <c r="M189" s="588"/>
      <c r="O189" s="651"/>
      <c r="P189" s="652"/>
      <c r="Q189" s="652"/>
      <c r="R189" s="652"/>
      <c r="S189" s="652"/>
      <c r="T189" s="652"/>
      <c r="U189" s="531"/>
      <c r="V189" s="531"/>
      <c r="W189" s="531"/>
    </row>
    <row r="190" ht="15.15" hidden="1" outlineLevel="2" spans="2:23">
      <c r="B190" s="659"/>
      <c r="C190" s="660" t="s">
        <v>259</v>
      </c>
      <c r="D190" s="549"/>
      <c r="E190" s="534"/>
      <c r="F190" s="534"/>
      <c r="G190" s="534"/>
      <c r="H190" s="661"/>
      <c r="I190" s="636"/>
      <c r="J190" s="586"/>
      <c r="K190" s="587"/>
      <c r="L190" s="587"/>
      <c r="M190" s="588"/>
      <c r="O190" s="651"/>
      <c r="P190" s="652"/>
      <c r="Q190" s="652"/>
      <c r="R190" s="652"/>
      <c r="S190" s="652"/>
      <c r="T190" s="652"/>
      <c r="U190" s="531"/>
      <c r="V190" s="531"/>
      <c r="W190" s="531"/>
    </row>
    <row r="191" ht="15.15" hidden="1" outlineLevel="2" spans="2:23">
      <c r="B191" s="659"/>
      <c r="C191" s="660" t="s">
        <v>259</v>
      </c>
      <c r="D191" s="549"/>
      <c r="E191" s="534"/>
      <c r="F191" s="534"/>
      <c r="G191" s="534"/>
      <c r="H191" s="661"/>
      <c r="I191" s="636"/>
      <c r="J191" s="586"/>
      <c r="K191" s="587"/>
      <c r="L191" s="587"/>
      <c r="M191" s="588"/>
      <c r="O191" s="651"/>
      <c r="P191" s="652"/>
      <c r="Q191" s="652"/>
      <c r="R191" s="652"/>
      <c r="S191" s="652"/>
      <c r="T191" s="652"/>
      <c r="U191" s="531"/>
      <c r="V191" s="531"/>
      <c r="W191" s="531"/>
    </row>
    <row r="192" ht="15.15" hidden="1" outlineLevel="1" collapsed="1" spans="2:23">
      <c r="B192" s="659"/>
      <c r="C192" s="660" t="s">
        <v>259</v>
      </c>
      <c r="D192" s="549"/>
      <c r="E192" s="534"/>
      <c r="F192" s="534"/>
      <c r="G192" s="534"/>
      <c r="H192" s="661"/>
      <c r="I192" s="636"/>
      <c r="J192" s="586"/>
      <c r="K192" s="587"/>
      <c r="L192" s="587"/>
      <c r="M192" s="588"/>
      <c r="O192" s="651"/>
      <c r="P192" s="652"/>
      <c r="Q192" s="652"/>
      <c r="R192" s="652"/>
      <c r="S192" s="652"/>
      <c r="T192" s="652"/>
      <c r="U192" s="531"/>
      <c r="V192" s="531"/>
      <c r="W192" s="531"/>
    </row>
    <row r="193" ht="15.15" hidden="1" outlineLevel="1" spans="2:23">
      <c r="B193" s="659"/>
      <c r="C193" s="656"/>
      <c r="D193" s="657"/>
      <c r="E193" s="534"/>
      <c r="F193" s="534"/>
      <c r="G193" s="534"/>
      <c r="H193" s="661"/>
      <c r="I193" s="636"/>
      <c r="J193" s="586"/>
      <c r="K193" s="587"/>
      <c r="L193" s="587"/>
      <c r="M193" s="588"/>
      <c r="O193" s="651"/>
      <c r="P193" s="652"/>
      <c r="Q193" s="652"/>
      <c r="R193" s="652"/>
      <c r="S193" s="652"/>
      <c r="T193" s="652"/>
      <c r="U193" s="531"/>
      <c r="V193" s="531"/>
      <c r="W193" s="531"/>
    </row>
    <row r="194" ht="15.15" hidden="1" outlineLevel="2" spans="2:23">
      <c r="B194" s="659"/>
      <c r="C194" s="660" t="s">
        <v>259</v>
      </c>
      <c r="D194" s="549"/>
      <c r="E194" s="534"/>
      <c r="F194" s="534"/>
      <c r="G194" s="534"/>
      <c r="H194" s="661"/>
      <c r="I194" s="636"/>
      <c r="J194" s="586"/>
      <c r="K194" s="587"/>
      <c r="L194" s="587"/>
      <c r="M194" s="588"/>
      <c r="O194" s="651"/>
      <c r="P194" s="652"/>
      <c r="Q194" s="652"/>
      <c r="R194" s="652"/>
      <c r="S194" s="652"/>
      <c r="T194" s="652"/>
      <c r="U194" s="531"/>
      <c r="V194" s="531"/>
      <c r="W194" s="531"/>
    </row>
    <row r="195" ht="15.15" hidden="1" outlineLevel="2" spans="2:23">
      <c r="B195" s="659"/>
      <c r="C195" s="660" t="s">
        <v>259</v>
      </c>
      <c r="D195" s="549"/>
      <c r="E195" s="534"/>
      <c r="F195" s="534"/>
      <c r="G195" s="534"/>
      <c r="H195" s="661"/>
      <c r="I195" s="636"/>
      <c r="J195" s="586"/>
      <c r="K195" s="587"/>
      <c r="L195" s="587"/>
      <c r="M195" s="588"/>
      <c r="O195" s="651"/>
      <c r="P195" s="652"/>
      <c r="Q195" s="652"/>
      <c r="R195" s="652"/>
      <c r="S195" s="652"/>
      <c r="T195" s="652"/>
      <c r="U195" s="531"/>
      <c r="V195" s="531"/>
      <c r="W195" s="531"/>
    </row>
    <row r="196" ht="15.15" hidden="1" outlineLevel="2" spans="2:23">
      <c r="B196" s="659"/>
      <c r="C196" s="660" t="s">
        <v>259</v>
      </c>
      <c r="D196" s="549"/>
      <c r="E196" s="534"/>
      <c r="F196" s="534"/>
      <c r="G196" s="534"/>
      <c r="H196" s="661"/>
      <c r="I196" s="636"/>
      <c r="J196" s="586"/>
      <c r="K196" s="587"/>
      <c r="L196" s="587"/>
      <c r="M196" s="588"/>
      <c r="O196" s="651"/>
      <c r="P196" s="652"/>
      <c r="Q196" s="652"/>
      <c r="R196" s="652"/>
      <c r="S196" s="652"/>
      <c r="T196" s="652"/>
      <c r="U196" s="531"/>
      <c r="V196" s="531"/>
      <c r="W196" s="531"/>
    </row>
    <row r="197" ht="15.15" hidden="1" outlineLevel="1" collapsed="1" spans="2:23">
      <c r="B197" s="659"/>
      <c r="C197" s="660" t="s">
        <v>259</v>
      </c>
      <c r="D197" s="549"/>
      <c r="E197" s="534"/>
      <c r="F197" s="534"/>
      <c r="G197" s="534"/>
      <c r="H197" s="661"/>
      <c r="I197" s="636"/>
      <c r="J197" s="586"/>
      <c r="K197" s="587"/>
      <c r="L197" s="587"/>
      <c r="M197" s="588"/>
      <c r="O197" s="651"/>
      <c r="P197" s="652"/>
      <c r="Q197" s="652"/>
      <c r="R197" s="652"/>
      <c r="S197" s="652"/>
      <c r="T197" s="652"/>
      <c r="U197" s="531"/>
      <c r="V197" s="531"/>
      <c r="W197" s="531"/>
    </row>
    <row r="198" ht="15.15" hidden="1" outlineLevel="1" spans="2:23">
      <c r="B198" s="659"/>
      <c r="C198" s="656"/>
      <c r="D198" s="657"/>
      <c r="E198" s="534"/>
      <c r="F198" s="534"/>
      <c r="G198" s="534"/>
      <c r="H198" s="661"/>
      <c r="I198" s="636"/>
      <c r="J198" s="586"/>
      <c r="K198" s="587"/>
      <c r="L198" s="587"/>
      <c r="M198" s="588"/>
      <c r="O198" s="651"/>
      <c r="P198" s="652"/>
      <c r="Q198" s="652"/>
      <c r="R198" s="652"/>
      <c r="S198" s="652"/>
      <c r="T198" s="652"/>
      <c r="U198" s="531"/>
      <c r="V198" s="531"/>
      <c r="W198" s="531"/>
    </row>
    <row r="199" ht="15.15" hidden="1" outlineLevel="2" spans="2:23">
      <c r="B199" s="659"/>
      <c r="C199" s="660" t="s">
        <v>259</v>
      </c>
      <c r="D199" s="549"/>
      <c r="E199" s="534"/>
      <c r="F199" s="534"/>
      <c r="G199" s="534"/>
      <c r="H199" s="661"/>
      <c r="I199" s="636"/>
      <c r="J199" s="586"/>
      <c r="K199" s="587"/>
      <c r="L199" s="587"/>
      <c r="M199" s="588"/>
      <c r="O199" s="651"/>
      <c r="P199" s="652"/>
      <c r="Q199" s="652"/>
      <c r="R199" s="652"/>
      <c r="S199" s="652"/>
      <c r="T199" s="652"/>
      <c r="U199" s="531"/>
      <c r="V199" s="531"/>
      <c r="W199" s="531"/>
    </row>
    <row r="200" ht="15.15" hidden="1" outlineLevel="2" spans="2:23">
      <c r="B200" s="659"/>
      <c r="C200" s="660" t="s">
        <v>259</v>
      </c>
      <c r="D200" s="549"/>
      <c r="E200" s="534"/>
      <c r="F200" s="534"/>
      <c r="G200" s="534"/>
      <c r="H200" s="661"/>
      <c r="I200" s="636"/>
      <c r="J200" s="586"/>
      <c r="K200" s="587"/>
      <c r="L200" s="587"/>
      <c r="M200" s="588"/>
      <c r="O200" s="651"/>
      <c r="P200" s="652"/>
      <c r="Q200" s="652"/>
      <c r="R200" s="652"/>
      <c r="S200" s="652"/>
      <c r="T200" s="652"/>
      <c r="U200" s="531"/>
      <c r="V200" s="531"/>
      <c r="W200" s="531"/>
    </row>
    <row r="201" ht="15.15" hidden="1" outlineLevel="2" spans="2:23">
      <c r="B201" s="659"/>
      <c r="C201" s="660" t="s">
        <v>259</v>
      </c>
      <c r="D201" s="549"/>
      <c r="E201" s="534"/>
      <c r="F201" s="534"/>
      <c r="G201" s="534"/>
      <c r="H201" s="661"/>
      <c r="I201" s="636"/>
      <c r="J201" s="586"/>
      <c r="K201" s="587"/>
      <c r="L201" s="587"/>
      <c r="M201" s="588"/>
      <c r="O201" s="651"/>
      <c r="P201" s="652"/>
      <c r="Q201" s="652"/>
      <c r="R201" s="652"/>
      <c r="S201" s="652"/>
      <c r="T201" s="652"/>
      <c r="U201" s="531"/>
      <c r="V201" s="531"/>
      <c r="W201" s="531"/>
    </row>
    <row r="202" ht="15.15" hidden="1" outlineLevel="1" collapsed="1" spans="2:23">
      <c r="B202" s="672"/>
      <c r="C202" s="660" t="s">
        <v>259</v>
      </c>
      <c r="D202" s="549"/>
      <c r="E202" s="534"/>
      <c r="F202" s="534"/>
      <c r="G202" s="534"/>
      <c r="H202" s="661"/>
      <c r="I202" s="636"/>
      <c r="J202" s="586"/>
      <c r="K202" s="587"/>
      <c r="L202" s="587"/>
      <c r="M202" s="588"/>
      <c r="O202" s="651"/>
      <c r="P202" s="652"/>
      <c r="Q202" s="652"/>
      <c r="R202" s="652"/>
      <c r="S202" s="652"/>
      <c r="T202" s="652"/>
      <c r="U202" s="531"/>
      <c r="V202" s="531"/>
      <c r="W202" s="531"/>
    </row>
    <row r="203" ht="15.15" collapsed="1" spans="2:23">
      <c r="B203" s="673" t="s">
        <v>278</v>
      </c>
      <c r="C203" s="674"/>
      <c r="D203" s="675"/>
      <c r="E203" s="534"/>
      <c r="F203" s="534"/>
      <c r="G203" s="611"/>
      <c r="H203" s="676" t="s">
        <v>279</v>
      </c>
      <c r="I203" s="677">
        <f>主卡!E54</f>
        <v>0</v>
      </c>
      <c r="J203" s="586"/>
      <c r="K203" s="587"/>
      <c r="L203" s="587"/>
      <c r="M203" s="588"/>
      <c r="O203" s="667"/>
      <c r="P203" s="307"/>
      <c r="Q203" s="307"/>
      <c r="R203" s="307"/>
      <c r="S203" s="307"/>
      <c r="T203" s="307"/>
      <c r="U203" s="531"/>
      <c r="V203" s="531"/>
      <c r="W203" s="531"/>
    </row>
    <row r="204" ht="15.15" spans="2:23">
      <c r="B204" s="678"/>
      <c r="C204" s="679" t="s">
        <v>259</v>
      </c>
      <c r="D204" s="549"/>
      <c r="E204" s="534"/>
      <c r="F204" s="534"/>
      <c r="G204" s="611"/>
      <c r="H204" s="680"/>
      <c r="I204" s="681"/>
      <c r="J204" s="586"/>
      <c r="K204" s="587"/>
      <c r="L204" s="587"/>
      <c r="M204" s="588"/>
      <c r="O204" s="682" t="s">
        <v>261</v>
      </c>
      <c r="P204" s="683" cm="1">
        <f t="array" ref="P204">SUM(参数!B2:B105*参数!AD2:AD105)</f>
        <v>0</v>
      </c>
      <c r="Q204" s="670" cm="1">
        <f t="array" ref="Q204">SUM(参数!B2:B105*参数!AE2:AE105)</f>
        <v>0</v>
      </c>
      <c r="R204" s="670" cm="1">
        <f t="array" ref="R204">SUM(参数!B2:B105*参数!AF2:AF105)</f>
        <v>0</v>
      </c>
      <c r="S204" s="670" cm="1">
        <f t="array" ref="S204">SUM(参数!B2:B105*参数!AG2:AG105)</f>
        <v>0</v>
      </c>
      <c r="T204" s="671" cm="1">
        <f t="array" ref="T204">SUM(参数!B2:B105*参数!AH2:AH105)</f>
        <v>0</v>
      </c>
      <c r="U204" s="531"/>
      <c r="V204" s="531"/>
      <c r="W204" s="531"/>
    </row>
    <row r="205" ht="15.15" hidden="1" outlineLevel="1" spans="2:23">
      <c r="B205" s="678"/>
      <c r="C205" s="679" t="s">
        <v>259</v>
      </c>
      <c r="D205" s="549"/>
      <c r="E205" s="534"/>
      <c r="F205" s="534"/>
      <c r="G205" s="611"/>
      <c r="H205" s="680"/>
      <c r="I205" s="681"/>
      <c r="J205" s="586"/>
      <c r="K205" s="587"/>
      <c r="L205" s="587"/>
      <c r="M205" s="588"/>
      <c r="O205" s="684"/>
      <c r="P205" s="685"/>
      <c r="Q205" s="665"/>
      <c r="R205" s="665"/>
      <c r="S205" s="665"/>
      <c r="T205" s="666"/>
      <c r="U205" s="531"/>
      <c r="V205" s="531"/>
      <c r="W205" s="531"/>
    </row>
    <row r="206" ht="15.15" hidden="1" outlineLevel="1" spans="2:23">
      <c r="B206" s="678"/>
      <c r="C206" s="679" t="s">
        <v>259</v>
      </c>
      <c r="D206" s="549"/>
      <c r="E206" s="534"/>
      <c r="F206" s="534"/>
      <c r="G206" s="611"/>
      <c r="H206" s="680"/>
      <c r="I206" s="681"/>
      <c r="J206" s="586"/>
      <c r="K206" s="587"/>
      <c r="L206" s="587"/>
      <c r="M206" s="588"/>
      <c r="O206" s="686" t="s">
        <v>280</v>
      </c>
      <c r="P206" s="687" t="s">
        <v>10</v>
      </c>
      <c r="Q206" s="687" t="s">
        <v>94</v>
      </c>
      <c r="R206" s="687" t="s">
        <v>99</v>
      </c>
      <c r="S206" s="687" t="s">
        <v>103</v>
      </c>
      <c r="T206" s="688" t="s">
        <v>109</v>
      </c>
      <c r="U206" s="531"/>
      <c r="V206" s="531"/>
      <c r="W206" s="531"/>
    </row>
    <row r="207" ht="15.15" hidden="1" outlineLevel="1" spans="2:23">
      <c r="B207" s="678"/>
      <c r="C207" s="679" t="s">
        <v>259</v>
      </c>
      <c r="D207" s="549"/>
      <c r="E207" s="534"/>
      <c r="F207" s="534"/>
      <c r="G207" s="611"/>
      <c r="H207" s="680"/>
      <c r="I207" s="681"/>
      <c r="J207" s="586"/>
      <c r="K207" s="587"/>
      <c r="L207" s="587"/>
      <c r="M207" s="588"/>
      <c r="O207" s="689"/>
      <c r="P207" s="690"/>
      <c r="Q207" s="690"/>
      <c r="R207" s="690"/>
      <c r="S207" s="690"/>
      <c r="T207" s="691"/>
      <c r="U207" s="531"/>
      <c r="V207" s="531"/>
      <c r="W207" s="531"/>
    </row>
    <row r="208" ht="15.15" collapsed="1" spans="2:23">
      <c r="B208" s="678"/>
      <c r="C208" s="674"/>
      <c r="D208" s="675"/>
      <c r="E208" s="534"/>
      <c r="F208" s="534"/>
      <c r="G208" s="611"/>
      <c r="H208" s="680" t="s">
        <v>281</v>
      </c>
      <c r="I208" s="692">
        <f>SUM(G203:G232,)</f>
        <v>0</v>
      </c>
      <c r="J208" s="586"/>
      <c r="K208" s="587"/>
      <c r="L208" s="587"/>
      <c r="M208" s="588"/>
      <c r="O208" s="689"/>
      <c r="P208" s="690"/>
      <c r="Q208" s="690"/>
      <c r="R208" s="690"/>
      <c r="S208" s="690"/>
      <c r="T208" s="691"/>
      <c r="U208" s="531"/>
      <c r="V208" s="531"/>
      <c r="W208" s="531"/>
    </row>
    <row r="209" ht="15.15" spans="2:23">
      <c r="B209" s="678"/>
      <c r="C209" s="679" t="s">
        <v>259</v>
      </c>
      <c r="D209" s="549"/>
      <c r="E209" s="534"/>
      <c r="F209" s="534"/>
      <c r="G209" s="611"/>
      <c r="H209" s="680"/>
      <c r="I209" s="692"/>
      <c r="J209" s="586"/>
      <c r="K209" s="587"/>
      <c r="L209" s="587"/>
      <c r="M209" s="588"/>
      <c r="O209" s="693" t="s">
        <v>258</v>
      </c>
      <c r="P209" s="694"/>
      <c r="Q209" s="694"/>
      <c r="R209" s="694"/>
      <c r="S209" s="694"/>
      <c r="T209" s="695"/>
      <c r="U209" s="531"/>
      <c r="V209" s="531"/>
      <c r="W209" s="531"/>
    </row>
    <row r="210" ht="15.15" hidden="1" outlineLevel="1" spans="2:23">
      <c r="B210" s="678"/>
      <c r="C210" s="679" t="s">
        <v>259</v>
      </c>
      <c r="D210" s="549"/>
      <c r="E210" s="534"/>
      <c r="F210" s="534"/>
      <c r="G210" s="611"/>
      <c r="H210" s="680"/>
      <c r="I210" s="692"/>
      <c r="J210" s="586"/>
      <c r="K210" s="587"/>
      <c r="L210" s="587"/>
      <c r="M210" s="588"/>
      <c r="O210" s="693"/>
      <c r="P210" s="694"/>
      <c r="Q210" s="694"/>
      <c r="R210" s="694"/>
      <c r="S210" s="694"/>
      <c r="T210" s="695"/>
      <c r="U210" s="531"/>
      <c r="V210" s="531"/>
      <c r="W210" s="531"/>
    </row>
    <row r="211" ht="15.15" hidden="1" outlineLevel="1" spans="2:23">
      <c r="B211" s="678"/>
      <c r="C211" s="679" t="s">
        <v>259</v>
      </c>
      <c r="D211" s="549"/>
      <c r="E211" s="534"/>
      <c r="F211" s="534"/>
      <c r="G211" s="611"/>
      <c r="H211" s="680"/>
      <c r="I211" s="692"/>
      <c r="J211" s="586"/>
      <c r="K211" s="587"/>
      <c r="L211" s="587"/>
      <c r="M211" s="588"/>
      <c r="O211" s="693"/>
      <c r="P211" s="694"/>
      <c r="Q211" s="694"/>
      <c r="R211" s="694"/>
      <c r="S211" s="694"/>
      <c r="T211" s="695"/>
      <c r="U211" s="531"/>
      <c r="V211" s="531"/>
      <c r="W211" s="531"/>
    </row>
    <row r="212" ht="15.15" hidden="1" outlineLevel="1" spans="2:23">
      <c r="B212" s="678"/>
      <c r="C212" s="679" t="s">
        <v>259</v>
      </c>
      <c r="D212" s="549"/>
      <c r="E212" s="534"/>
      <c r="F212" s="534"/>
      <c r="G212" s="611"/>
      <c r="H212" s="680"/>
      <c r="I212" s="692"/>
      <c r="J212" s="586"/>
      <c r="K212" s="587"/>
      <c r="L212" s="587"/>
      <c r="M212" s="588"/>
      <c r="O212" s="696"/>
      <c r="P212" s="697"/>
      <c r="Q212" s="697"/>
      <c r="R212" s="697"/>
      <c r="S212" s="697"/>
      <c r="T212" s="698"/>
      <c r="U212" s="531"/>
      <c r="V212" s="531"/>
      <c r="W212" s="531"/>
    </row>
    <row r="213" ht="15.15" collapsed="1" spans="2:23">
      <c r="B213" s="678"/>
      <c r="C213" s="674"/>
      <c r="D213" s="675"/>
      <c r="E213" s="534"/>
      <c r="F213" s="534"/>
      <c r="G213" s="611"/>
      <c r="H213" s="680" t="s">
        <v>282</v>
      </c>
      <c r="I213" s="699">
        <f>I203-I208</f>
        <v>0</v>
      </c>
      <c r="J213" s="586"/>
      <c r="K213" s="587"/>
      <c r="L213" s="587"/>
      <c r="M213" s="588"/>
      <c r="O213" s="700" t="s">
        <v>261</v>
      </c>
      <c r="P213" s="701" cm="1">
        <f t="array" ref="P213">SUM(参数!B2:B105*参数!AI2:AI105)</f>
        <v>0</v>
      </c>
      <c r="Q213" s="701" cm="1">
        <f t="array" ref="Q213">SUM(参数!B2:B105*参数!AJ2:AJ105)</f>
        <v>0</v>
      </c>
      <c r="R213" s="701" cm="1">
        <f t="array" ref="R213">SUM(参数!B2:B105*参数!AK2:AK105)</f>
        <v>0</v>
      </c>
      <c r="S213" s="701" cm="1">
        <f t="array" ref="S213">SUM(参数!B2:B105*参数!AL2:AL105)</f>
        <v>0</v>
      </c>
      <c r="T213" s="702" cm="1">
        <f t="array" ref="T213">SUM(参数!B2:B105*参数!AM2:AM105)</f>
        <v>0</v>
      </c>
      <c r="U213" s="531"/>
      <c r="V213" s="531"/>
      <c r="W213" s="531"/>
    </row>
    <row r="214" ht="15.15" hidden="1" outlineLevel="1" spans="2:23">
      <c r="B214" s="678"/>
      <c r="C214" s="679" t="s">
        <v>259</v>
      </c>
      <c r="D214" s="549"/>
      <c r="E214" s="534"/>
      <c r="F214" s="534"/>
      <c r="G214" s="611"/>
      <c r="H214" s="680"/>
      <c r="I214" s="699"/>
      <c r="J214" s="586"/>
      <c r="K214" s="587"/>
      <c r="L214" s="587"/>
      <c r="M214" s="588"/>
      <c r="O214" s="693"/>
      <c r="P214" s="694"/>
      <c r="Q214" s="694"/>
      <c r="R214" s="694"/>
      <c r="S214" s="694"/>
      <c r="T214" s="695"/>
      <c r="U214" s="531"/>
      <c r="V214" s="531"/>
      <c r="W214" s="531"/>
    </row>
    <row r="215" ht="15.15" hidden="1" outlineLevel="1" spans="2:23">
      <c r="B215" s="678"/>
      <c r="C215" s="679" t="s">
        <v>259</v>
      </c>
      <c r="D215" s="549"/>
      <c r="E215" s="534"/>
      <c r="F215" s="534"/>
      <c r="G215" s="611"/>
      <c r="H215" s="680"/>
      <c r="I215" s="699"/>
      <c r="J215" s="586"/>
      <c r="K215" s="587"/>
      <c r="L215" s="587"/>
      <c r="M215" s="588"/>
      <c r="O215" s="693"/>
      <c r="P215" s="694"/>
      <c r="Q215" s="694"/>
      <c r="R215" s="694"/>
      <c r="S215" s="694"/>
      <c r="T215" s="695"/>
      <c r="U215" s="531"/>
      <c r="V215" s="531"/>
      <c r="W215" s="531"/>
    </row>
    <row r="216" ht="15.15" hidden="1" outlineLevel="1" spans="2:23">
      <c r="B216" s="678"/>
      <c r="C216" s="679" t="s">
        <v>259</v>
      </c>
      <c r="D216" s="549"/>
      <c r="E216" s="534"/>
      <c r="F216" s="534"/>
      <c r="G216" s="611"/>
      <c r="H216" s="680"/>
      <c r="I216" s="703"/>
      <c r="J216" s="586"/>
      <c r="K216" s="587"/>
      <c r="L216" s="587"/>
      <c r="M216" s="588"/>
      <c r="O216" s="704"/>
      <c r="P216" s="705"/>
      <c r="Q216" s="705"/>
      <c r="R216" s="705"/>
      <c r="S216" s="705"/>
      <c r="T216" s="706"/>
      <c r="U216" s="531"/>
      <c r="V216" s="531"/>
      <c r="W216" s="531"/>
    </row>
    <row r="217" ht="15.15" collapsed="1" spans="2:23">
      <c r="B217" s="678"/>
      <c r="C217" s="679" t="s">
        <v>259</v>
      </c>
      <c r="D217" s="549"/>
      <c r="E217" s="534"/>
      <c r="F217" s="534"/>
      <c r="G217" s="611"/>
      <c r="H217" s="707"/>
      <c r="I217" s="708"/>
      <c r="J217" s="709"/>
      <c r="K217" s="587"/>
      <c r="L217" s="587"/>
      <c r="M217" s="588"/>
      <c r="O217" s="686" t="s">
        <v>283</v>
      </c>
      <c r="P217" s="687" t="s">
        <v>34</v>
      </c>
      <c r="Q217" s="687" t="s">
        <v>118</v>
      </c>
      <c r="R217" s="687" t="s">
        <v>123</v>
      </c>
      <c r="S217" s="687" t="s">
        <v>130</v>
      </c>
      <c r="T217" s="688" t="s">
        <v>135</v>
      </c>
      <c r="U217" s="531"/>
      <c r="V217" s="531"/>
      <c r="W217" s="531"/>
    </row>
    <row r="218" ht="15.15" hidden="1" outlineLevel="1" spans="2:23">
      <c r="B218" s="678"/>
      <c r="C218" s="674"/>
      <c r="D218" s="675"/>
      <c r="E218" s="534"/>
      <c r="F218" s="534"/>
      <c r="G218" s="611"/>
      <c r="H218" s="707"/>
      <c r="I218" s="710"/>
      <c r="J218" s="709"/>
      <c r="K218" s="587"/>
      <c r="L218" s="587"/>
      <c r="M218" s="588"/>
      <c r="O218" s="689"/>
      <c r="P218" s="690"/>
      <c r="Q218" s="690"/>
      <c r="R218" s="690"/>
      <c r="S218" s="690"/>
      <c r="T218" s="691"/>
      <c r="U218" s="531"/>
      <c r="V218" s="531"/>
      <c r="W218" s="531"/>
    </row>
    <row r="219" ht="15.15" hidden="1" outlineLevel="2" spans="2:23">
      <c r="B219" s="678"/>
      <c r="C219" s="679" t="s">
        <v>259</v>
      </c>
      <c r="D219" s="549"/>
      <c r="E219" s="534"/>
      <c r="F219" s="534"/>
      <c r="G219" s="611"/>
      <c r="H219" s="707"/>
      <c r="I219" s="710"/>
      <c r="J219" s="709"/>
      <c r="K219" s="587"/>
      <c r="L219" s="587"/>
      <c r="M219" s="588"/>
      <c r="O219" s="689"/>
      <c r="P219" s="690"/>
      <c r="Q219" s="690"/>
      <c r="R219" s="690"/>
      <c r="S219" s="690"/>
      <c r="T219" s="691"/>
      <c r="U219" s="531"/>
      <c r="V219" s="531"/>
      <c r="W219" s="531"/>
    </row>
    <row r="220" ht="15.15" hidden="1" outlineLevel="2" spans="2:23">
      <c r="B220" s="678"/>
      <c r="C220" s="679" t="s">
        <v>259</v>
      </c>
      <c r="D220" s="549"/>
      <c r="E220" s="534"/>
      <c r="F220" s="534"/>
      <c r="G220" s="611"/>
      <c r="H220" s="707"/>
      <c r="I220" s="710"/>
      <c r="J220" s="709"/>
      <c r="K220" s="587"/>
      <c r="L220" s="587"/>
      <c r="M220" s="588"/>
      <c r="O220" s="689"/>
      <c r="P220" s="690"/>
      <c r="Q220" s="690"/>
      <c r="R220" s="690"/>
      <c r="S220" s="690"/>
      <c r="T220" s="691"/>
      <c r="U220" s="531"/>
      <c r="V220" s="531"/>
      <c r="W220" s="531"/>
    </row>
    <row r="221" ht="15.15" hidden="1" outlineLevel="2" spans="2:23">
      <c r="B221" s="678"/>
      <c r="C221" s="679" t="s">
        <v>259</v>
      </c>
      <c r="D221" s="549"/>
      <c r="E221" s="534"/>
      <c r="F221" s="534"/>
      <c r="G221" s="611"/>
      <c r="H221" s="707"/>
      <c r="I221" s="710"/>
      <c r="J221" s="709"/>
      <c r="K221" s="587"/>
      <c r="L221" s="587"/>
      <c r="M221" s="588"/>
      <c r="O221" s="689"/>
      <c r="P221" s="690"/>
      <c r="Q221" s="690"/>
      <c r="R221" s="690"/>
      <c r="S221" s="690"/>
      <c r="T221" s="691"/>
      <c r="U221" s="531"/>
      <c r="V221" s="531"/>
      <c r="W221" s="531"/>
    </row>
    <row r="222" ht="15.15" hidden="1" outlineLevel="1" collapsed="1" spans="2:23">
      <c r="B222" s="678"/>
      <c r="C222" s="679" t="s">
        <v>259</v>
      </c>
      <c r="D222" s="549"/>
      <c r="E222" s="534"/>
      <c r="F222" s="534"/>
      <c r="G222" s="611"/>
      <c r="H222" s="707"/>
      <c r="I222" s="710"/>
      <c r="J222" s="709"/>
      <c r="K222" s="587"/>
      <c r="L222" s="587"/>
      <c r="M222" s="588"/>
      <c r="O222" s="689"/>
      <c r="P222" s="690"/>
      <c r="Q222" s="690"/>
      <c r="R222" s="690"/>
      <c r="S222" s="690"/>
      <c r="T222" s="691"/>
      <c r="U222" s="531"/>
      <c r="V222" s="531"/>
      <c r="W222" s="531"/>
    </row>
    <row r="223" ht="15.15" hidden="1" outlineLevel="1" spans="2:23">
      <c r="B223" s="678"/>
      <c r="C223" s="674"/>
      <c r="D223" s="675"/>
      <c r="E223" s="534"/>
      <c r="F223" s="534"/>
      <c r="G223" s="611"/>
      <c r="H223" s="707"/>
      <c r="I223" s="710"/>
      <c r="J223" s="709"/>
      <c r="K223" s="587"/>
      <c r="L223" s="587"/>
      <c r="M223" s="588"/>
      <c r="O223" s="689"/>
      <c r="P223" s="690"/>
      <c r="Q223" s="690"/>
      <c r="R223" s="690"/>
      <c r="S223" s="690"/>
      <c r="T223" s="691"/>
      <c r="U223" s="531"/>
      <c r="V223" s="531"/>
      <c r="W223" s="531"/>
    </row>
    <row r="224" ht="15.15" hidden="1" outlineLevel="2" spans="2:23">
      <c r="B224" s="678"/>
      <c r="C224" s="679" t="s">
        <v>259</v>
      </c>
      <c r="D224" s="549"/>
      <c r="E224" s="534"/>
      <c r="F224" s="534"/>
      <c r="G224" s="611"/>
      <c r="H224" s="707"/>
      <c r="I224" s="710"/>
      <c r="J224" s="709"/>
      <c r="K224" s="587"/>
      <c r="L224" s="587"/>
      <c r="M224" s="588"/>
      <c r="O224" s="689"/>
      <c r="P224" s="690"/>
      <c r="Q224" s="690"/>
      <c r="R224" s="690"/>
      <c r="S224" s="690"/>
      <c r="T224" s="691"/>
      <c r="U224" s="531"/>
      <c r="V224" s="531"/>
      <c r="W224" s="531"/>
    </row>
    <row r="225" ht="15.15" hidden="1" outlineLevel="2" spans="2:23">
      <c r="B225" s="678"/>
      <c r="C225" s="679" t="s">
        <v>259</v>
      </c>
      <c r="D225" s="549"/>
      <c r="E225" s="534"/>
      <c r="F225" s="534"/>
      <c r="G225" s="611"/>
      <c r="H225" s="707"/>
      <c r="I225" s="710"/>
      <c r="J225" s="709"/>
      <c r="K225" s="587"/>
      <c r="L225" s="587"/>
      <c r="M225" s="588"/>
      <c r="O225" s="689"/>
      <c r="P225" s="690"/>
      <c r="Q225" s="690"/>
      <c r="R225" s="690"/>
      <c r="S225" s="690"/>
      <c r="T225" s="691"/>
      <c r="U225" s="531"/>
      <c r="V225" s="531"/>
      <c r="W225" s="531"/>
    </row>
    <row r="226" ht="15.15" hidden="1" outlineLevel="2" spans="2:23">
      <c r="B226" s="678"/>
      <c r="C226" s="679" t="s">
        <v>259</v>
      </c>
      <c r="D226" s="549"/>
      <c r="E226" s="534"/>
      <c r="F226" s="534"/>
      <c r="G226" s="611"/>
      <c r="H226" s="707"/>
      <c r="I226" s="710"/>
      <c r="J226" s="709"/>
      <c r="K226" s="587"/>
      <c r="L226" s="587"/>
      <c r="M226" s="588"/>
      <c r="O226" s="693" t="s">
        <v>258</v>
      </c>
      <c r="P226" s="694"/>
      <c r="Q226" s="694"/>
      <c r="R226" s="694"/>
      <c r="S226" s="694"/>
      <c r="T226" s="694"/>
      <c r="U226" s="531"/>
      <c r="V226" s="531"/>
      <c r="W226" s="531"/>
    </row>
    <row r="227" ht="15.15" hidden="1" outlineLevel="1" collapsed="1" spans="2:23">
      <c r="B227" s="678"/>
      <c r="C227" s="679" t="s">
        <v>259</v>
      </c>
      <c r="D227" s="549"/>
      <c r="E227" s="534"/>
      <c r="F227" s="534"/>
      <c r="G227" s="611"/>
      <c r="H227" s="707"/>
      <c r="I227" s="710"/>
      <c r="J227" s="709"/>
      <c r="K227" s="587"/>
      <c r="L227" s="587"/>
      <c r="M227" s="588"/>
      <c r="O227" s="693"/>
      <c r="P227" s="694"/>
      <c r="Q227" s="694"/>
      <c r="R227" s="694"/>
      <c r="S227" s="694"/>
      <c r="T227" s="694"/>
      <c r="U227" s="531"/>
      <c r="V227" s="531"/>
      <c r="W227" s="531"/>
    </row>
    <row r="228" ht="15.15" hidden="1" outlineLevel="1" spans="2:23">
      <c r="B228" s="678"/>
      <c r="C228" s="674"/>
      <c r="D228" s="675"/>
      <c r="E228" s="534"/>
      <c r="F228" s="534"/>
      <c r="G228" s="611"/>
      <c r="H228" s="707"/>
      <c r="I228" s="710"/>
      <c r="J228" s="709"/>
      <c r="K228" s="587"/>
      <c r="L228" s="587"/>
      <c r="M228" s="588"/>
      <c r="O228" s="693"/>
      <c r="P228" s="694"/>
      <c r="Q228" s="694"/>
      <c r="R228" s="694"/>
      <c r="S228" s="694"/>
      <c r="T228" s="694"/>
      <c r="U228" s="531"/>
      <c r="V228" s="531"/>
      <c r="W228" s="531"/>
    </row>
    <row r="229" ht="15.15" hidden="1" outlineLevel="2" spans="2:23">
      <c r="B229" s="678"/>
      <c r="C229" s="679" t="s">
        <v>259</v>
      </c>
      <c r="D229" s="549"/>
      <c r="E229" s="534"/>
      <c r="F229" s="534"/>
      <c r="G229" s="611"/>
      <c r="H229" s="707"/>
      <c r="I229" s="710"/>
      <c r="J229" s="709"/>
      <c r="K229" s="587"/>
      <c r="L229" s="587"/>
      <c r="M229" s="588"/>
      <c r="O229" s="693"/>
      <c r="P229" s="694"/>
      <c r="Q229" s="694"/>
      <c r="R229" s="694"/>
      <c r="S229" s="694"/>
      <c r="T229" s="694"/>
      <c r="U229" s="531"/>
      <c r="V229" s="531"/>
      <c r="W229" s="531"/>
    </row>
    <row r="230" ht="15.15" hidden="1" outlineLevel="2" spans="2:23">
      <c r="B230" s="678"/>
      <c r="C230" s="679" t="s">
        <v>259</v>
      </c>
      <c r="D230" s="549"/>
      <c r="E230" s="534"/>
      <c r="F230" s="534"/>
      <c r="G230" s="611"/>
      <c r="H230" s="707"/>
      <c r="I230" s="710"/>
      <c r="J230" s="709"/>
      <c r="K230" s="587"/>
      <c r="L230" s="587"/>
      <c r="M230" s="588"/>
      <c r="O230" s="693"/>
      <c r="P230" s="694"/>
      <c r="Q230" s="694"/>
      <c r="R230" s="694"/>
      <c r="S230" s="694"/>
      <c r="T230" s="694"/>
      <c r="U230" s="531"/>
      <c r="V230" s="531"/>
      <c r="W230" s="531"/>
    </row>
    <row r="231" ht="15.15" hidden="1" outlineLevel="2" spans="2:23">
      <c r="B231" s="678"/>
      <c r="C231" s="679" t="s">
        <v>259</v>
      </c>
      <c r="D231" s="549"/>
      <c r="E231" s="534"/>
      <c r="F231" s="534"/>
      <c r="G231" s="611"/>
      <c r="H231" s="707"/>
      <c r="I231" s="710"/>
      <c r="J231" s="709"/>
      <c r="K231" s="587"/>
      <c r="L231" s="587"/>
      <c r="M231" s="588"/>
      <c r="O231" s="693"/>
      <c r="P231" s="694"/>
      <c r="Q231" s="694"/>
      <c r="R231" s="694"/>
      <c r="S231" s="694"/>
      <c r="T231" s="694"/>
      <c r="U231" s="531"/>
      <c r="V231" s="531"/>
      <c r="W231" s="531"/>
    </row>
    <row r="232" ht="15.15" hidden="1" outlineLevel="1" collapsed="1" spans="2:23">
      <c r="B232" s="678"/>
      <c r="C232" s="711" t="s">
        <v>259</v>
      </c>
      <c r="D232" s="712"/>
      <c r="E232" s="534"/>
      <c r="F232" s="534"/>
      <c r="G232" s="611"/>
      <c r="H232" s="707"/>
      <c r="I232" s="710"/>
      <c r="J232" s="709"/>
      <c r="K232" s="587"/>
      <c r="L232" s="587"/>
      <c r="M232" s="588"/>
      <c r="O232" s="693"/>
      <c r="P232" s="694"/>
      <c r="Q232" s="694"/>
      <c r="R232" s="694"/>
      <c r="S232" s="694"/>
      <c r="T232" s="694"/>
      <c r="U232" s="531"/>
      <c r="V232" s="531"/>
      <c r="W232" s="531"/>
    </row>
    <row r="233" ht="15.15" hidden="1" outlineLevel="1" spans="2:23">
      <c r="B233" s="678"/>
      <c r="C233" s="674"/>
      <c r="D233" s="675"/>
      <c r="E233" s="534"/>
      <c r="F233" s="534"/>
      <c r="G233" s="611"/>
      <c r="H233" s="707"/>
      <c r="I233" s="710"/>
      <c r="J233" s="709"/>
      <c r="K233" s="587"/>
      <c r="L233" s="587"/>
      <c r="M233" s="588"/>
      <c r="O233" s="693"/>
      <c r="P233" s="694"/>
      <c r="Q233" s="694"/>
      <c r="R233" s="694"/>
      <c r="S233" s="694"/>
      <c r="T233" s="694"/>
      <c r="U233" s="531"/>
      <c r="V233" s="531"/>
      <c r="W233" s="531"/>
    </row>
    <row r="234" ht="15.15" hidden="1" outlineLevel="2" spans="2:23">
      <c r="B234" s="678"/>
      <c r="C234" s="679" t="s">
        <v>259</v>
      </c>
      <c r="D234" s="549"/>
      <c r="E234" s="534"/>
      <c r="F234" s="534"/>
      <c r="G234" s="611"/>
      <c r="H234" s="707"/>
      <c r="I234" s="710"/>
      <c r="J234" s="709"/>
      <c r="K234" s="587"/>
      <c r="L234" s="587"/>
      <c r="M234" s="588"/>
      <c r="O234" s="693"/>
      <c r="P234" s="694"/>
      <c r="Q234" s="694"/>
      <c r="R234" s="694"/>
      <c r="S234" s="694"/>
      <c r="T234" s="694"/>
      <c r="U234" s="531"/>
      <c r="V234" s="531"/>
      <c r="W234" s="531"/>
    </row>
    <row r="235" ht="15.15" hidden="1" outlineLevel="2" spans="2:23">
      <c r="B235" s="678"/>
      <c r="C235" s="679" t="s">
        <v>259</v>
      </c>
      <c r="D235" s="549"/>
      <c r="E235" s="534"/>
      <c r="F235" s="534"/>
      <c r="G235" s="611"/>
      <c r="H235" s="707"/>
      <c r="I235" s="710"/>
      <c r="J235" s="709"/>
      <c r="K235" s="587"/>
      <c r="L235" s="587"/>
      <c r="M235" s="588"/>
      <c r="O235" s="693"/>
      <c r="P235" s="694"/>
      <c r="Q235" s="694"/>
      <c r="R235" s="694"/>
      <c r="S235" s="694"/>
      <c r="T235" s="694"/>
      <c r="U235" s="531"/>
      <c r="V235" s="531"/>
      <c r="W235" s="531"/>
    </row>
    <row r="236" ht="15.15" hidden="1" outlineLevel="2" spans="2:23">
      <c r="B236" s="678"/>
      <c r="C236" s="679" t="s">
        <v>259</v>
      </c>
      <c r="D236" s="549"/>
      <c r="E236" s="534"/>
      <c r="F236" s="534"/>
      <c r="G236" s="611"/>
      <c r="H236" s="707"/>
      <c r="I236" s="710"/>
      <c r="J236" s="709"/>
      <c r="K236" s="587"/>
      <c r="L236" s="587"/>
      <c r="M236" s="588"/>
      <c r="O236" s="693"/>
      <c r="P236" s="694"/>
      <c r="Q236" s="694"/>
      <c r="R236" s="694"/>
      <c r="S236" s="694"/>
      <c r="T236" s="694"/>
      <c r="U236" s="531"/>
      <c r="V236" s="531"/>
      <c r="W236" s="531"/>
    </row>
    <row r="237" ht="15.15" hidden="1" outlineLevel="1" collapsed="1" spans="2:23">
      <c r="B237" s="678"/>
      <c r="C237" s="711" t="s">
        <v>259</v>
      </c>
      <c r="D237" s="712"/>
      <c r="E237" s="534"/>
      <c r="F237" s="534"/>
      <c r="G237" s="611"/>
      <c r="H237" s="707"/>
      <c r="I237" s="710"/>
      <c r="J237" s="709"/>
      <c r="K237" s="587"/>
      <c r="L237" s="587"/>
      <c r="M237" s="588"/>
      <c r="O237" s="693"/>
      <c r="P237" s="694"/>
      <c r="Q237" s="694"/>
      <c r="R237" s="694"/>
      <c r="S237" s="694"/>
      <c r="T237" s="694"/>
      <c r="U237" s="531"/>
      <c r="V237" s="531"/>
      <c r="W237" s="531"/>
    </row>
    <row r="238" ht="15.15" hidden="1" outlineLevel="1" spans="2:23">
      <c r="B238" s="678"/>
      <c r="C238" s="674"/>
      <c r="D238" s="675"/>
      <c r="E238" s="534"/>
      <c r="F238" s="534"/>
      <c r="G238" s="611"/>
      <c r="H238" s="707"/>
      <c r="I238" s="710"/>
      <c r="J238" s="709"/>
      <c r="K238" s="587"/>
      <c r="L238" s="587"/>
      <c r="M238" s="588"/>
      <c r="O238" s="693"/>
      <c r="P238" s="694"/>
      <c r="Q238" s="694"/>
      <c r="R238" s="694"/>
      <c r="S238" s="694"/>
      <c r="T238" s="694"/>
      <c r="U238" s="531"/>
      <c r="V238" s="531"/>
      <c r="W238" s="531"/>
    </row>
    <row r="239" ht="15.15" hidden="1" outlineLevel="2" spans="2:23">
      <c r="B239" s="678"/>
      <c r="C239" s="679" t="s">
        <v>259</v>
      </c>
      <c r="D239" s="549"/>
      <c r="E239" s="534"/>
      <c r="F239" s="534"/>
      <c r="G239" s="611"/>
      <c r="H239" s="707"/>
      <c r="I239" s="710"/>
      <c r="J239" s="709"/>
      <c r="K239" s="587"/>
      <c r="L239" s="587"/>
      <c r="M239" s="588"/>
      <c r="O239" s="693"/>
      <c r="P239" s="694"/>
      <c r="Q239" s="694"/>
      <c r="R239" s="694"/>
      <c r="S239" s="694"/>
      <c r="T239" s="694"/>
      <c r="U239" s="531"/>
      <c r="V239" s="531"/>
      <c r="W239" s="531"/>
    </row>
    <row r="240" ht="15.15" hidden="1" outlineLevel="2" spans="2:23">
      <c r="B240" s="678"/>
      <c r="C240" s="679" t="s">
        <v>259</v>
      </c>
      <c r="D240" s="549"/>
      <c r="E240" s="534"/>
      <c r="F240" s="534"/>
      <c r="G240" s="611"/>
      <c r="H240" s="707"/>
      <c r="I240" s="710"/>
      <c r="J240" s="709"/>
      <c r="K240" s="587"/>
      <c r="L240" s="587"/>
      <c r="M240" s="588"/>
      <c r="O240" s="693"/>
      <c r="P240" s="694"/>
      <c r="Q240" s="694"/>
      <c r="R240" s="694"/>
      <c r="S240" s="694"/>
      <c r="T240" s="694"/>
      <c r="U240" s="531"/>
      <c r="V240" s="531"/>
      <c r="W240" s="531"/>
    </row>
    <row r="241" ht="15.15" hidden="1" outlineLevel="2" spans="2:23">
      <c r="B241" s="678"/>
      <c r="C241" s="679" t="s">
        <v>259</v>
      </c>
      <c r="D241" s="549"/>
      <c r="E241" s="534"/>
      <c r="F241" s="534"/>
      <c r="G241" s="611"/>
      <c r="H241" s="707"/>
      <c r="I241" s="710"/>
      <c r="J241" s="709"/>
      <c r="K241" s="587"/>
      <c r="L241" s="587"/>
      <c r="M241" s="588"/>
      <c r="O241" s="693"/>
      <c r="P241" s="694"/>
      <c r="Q241" s="694"/>
      <c r="R241" s="694"/>
      <c r="S241" s="694"/>
      <c r="T241" s="694"/>
      <c r="U241" s="531"/>
      <c r="V241" s="531"/>
      <c r="W241" s="531"/>
    </row>
    <row r="242" ht="15.15" hidden="1" outlineLevel="1" collapsed="1" spans="2:23">
      <c r="B242" s="678"/>
      <c r="C242" s="711" t="s">
        <v>259</v>
      </c>
      <c r="D242" s="712"/>
      <c r="E242" s="534"/>
      <c r="F242" s="534"/>
      <c r="G242" s="611"/>
      <c r="H242" s="707"/>
      <c r="I242" s="710"/>
      <c r="J242" s="709"/>
      <c r="K242" s="587"/>
      <c r="L242" s="587"/>
      <c r="M242" s="588"/>
      <c r="O242" s="693"/>
      <c r="P242" s="694"/>
      <c r="Q242" s="694"/>
      <c r="R242" s="694"/>
      <c r="S242" s="694"/>
      <c r="T242" s="694"/>
      <c r="U242" s="531"/>
      <c r="V242" s="531"/>
      <c r="W242" s="531"/>
    </row>
    <row r="243" ht="15.15" hidden="1" outlineLevel="1" spans="2:23">
      <c r="B243" s="678"/>
      <c r="C243" s="674"/>
      <c r="D243" s="675"/>
      <c r="E243" s="534"/>
      <c r="F243" s="534"/>
      <c r="G243" s="611"/>
      <c r="H243" s="707"/>
      <c r="I243" s="710"/>
      <c r="J243" s="709"/>
      <c r="K243" s="587"/>
      <c r="L243" s="587"/>
      <c r="M243" s="588"/>
      <c r="O243" s="693"/>
      <c r="P243" s="694"/>
      <c r="Q243" s="694"/>
      <c r="R243" s="694"/>
      <c r="S243" s="694"/>
      <c r="T243" s="694"/>
      <c r="U243" s="531"/>
      <c r="V243" s="531"/>
      <c r="W243" s="531"/>
    </row>
    <row r="244" ht="15.15" hidden="1" outlineLevel="2" spans="2:23">
      <c r="B244" s="678"/>
      <c r="C244" s="679" t="s">
        <v>259</v>
      </c>
      <c r="D244" s="549"/>
      <c r="E244" s="534"/>
      <c r="F244" s="534"/>
      <c r="G244" s="611"/>
      <c r="H244" s="707"/>
      <c r="I244" s="710"/>
      <c r="J244" s="709"/>
      <c r="K244" s="587"/>
      <c r="L244" s="587"/>
      <c r="M244" s="588"/>
      <c r="O244" s="693"/>
      <c r="P244" s="694"/>
      <c r="Q244" s="694"/>
      <c r="R244" s="694"/>
      <c r="S244" s="694"/>
      <c r="T244" s="694"/>
      <c r="U244" s="531"/>
      <c r="V244" s="531"/>
      <c r="W244" s="531"/>
    </row>
    <row r="245" ht="15.15" hidden="1" outlineLevel="2" spans="2:23">
      <c r="B245" s="678"/>
      <c r="C245" s="679" t="s">
        <v>259</v>
      </c>
      <c r="D245" s="549"/>
      <c r="E245" s="534"/>
      <c r="F245" s="534"/>
      <c r="G245" s="611"/>
      <c r="H245" s="707"/>
      <c r="I245" s="710"/>
      <c r="J245" s="709"/>
      <c r="K245" s="587"/>
      <c r="L245" s="587"/>
      <c r="M245" s="588"/>
      <c r="O245" s="693"/>
      <c r="P245" s="694"/>
      <c r="Q245" s="694"/>
      <c r="R245" s="694"/>
      <c r="S245" s="694"/>
      <c r="T245" s="694"/>
      <c r="U245" s="531"/>
      <c r="V245" s="531"/>
      <c r="W245" s="531"/>
    </row>
    <row r="246" ht="15.15" hidden="1" outlineLevel="2" spans="2:23">
      <c r="B246" s="678"/>
      <c r="C246" s="679" t="s">
        <v>259</v>
      </c>
      <c r="D246" s="549"/>
      <c r="E246" s="534"/>
      <c r="F246" s="534"/>
      <c r="G246" s="611"/>
      <c r="H246" s="707"/>
      <c r="I246" s="710"/>
      <c r="J246" s="709"/>
      <c r="K246" s="587"/>
      <c r="L246" s="587"/>
      <c r="M246" s="588"/>
      <c r="O246" s="693"/>
      <c r="P246" s="694"/>
      <c r="Q246" s="694"/>
      <c r="R246" s="694"/>
      <c r="S246" s="694"/>
      <c r="T246" s="694"/>
      <c r="U246" s="531"/>
      <c r="V246" s="531"/>
      <c r="W246" s="531"/>
    </row>
    <row r="247" ht="15.15" hidden="1" outlineLevel="1" collapsed="1" spans="2:23">
      <c r="B247" s="678"/>
      <c r="C247" s="711" t="s">
        <v>259</v>
      </c>
      <c r="D247" s="712"/>
      <c r="E247" s="534"/>
      <c r="F247" s="534"/>
      <c r="G247" s="611"/>
      <c r="H247" s="707"/>
      <c r="I247" s="710"/>
      <c r="J247" s="709"/>
      <c r="K247" s="587"/>
      <c r="L247" s="587"/>
      <c r="M247" s="588"/>
      <c r="O247" s="693"/>
      <c r="P247" s="694"/>
      <c r="Q247" s="694"/>
      <c r="R247" s="694"/>
      <c r="S247" s="694"/>
      <c r="T247" s="694"/>
      <c r="U247" s="531"/>
      <c r="V247" s="531"/>
      <c r="W247" s="531"/>
    </row>
    <row r="248" ht="15.15" hidden="1" outlineLevel="1" spans="2:23">
      <c r="B248" s="678"/>
      <c r="C248" s="674"/>
      <c r="D248" s="675"/>
      <c r="E248" s="534"/>
      <c r="F248" s="534"/>
      <c r="G248" s="611"/>
      <c r="H248" s="707"/>
      <c r="I248" s="710"/>
      <c r="J248" s="709"/>
      <c r="K248" s="587"/>
      <c r="L248" s="587"/>
      <c r="M248" s="588"/>
      <c r="O248" s="693"/>
      <c r="P248" s="694"/>
      <c r="Q248" s="694"/>
      <c r="R248" s="694"/>
      <c r="S248" s="694"/>
      <c r="T248" s="694"/>
      <c r="U248" s="531"/>
      <c r="V248" s="531"/>
      <c r="W248" s="531"/>
    </row>
    <row r="249" ht="15.15" hidden="1" outlineLevel="2" spans="2:23">
      <c r="B249" s="678"/>
      <c r="C249" s="679" t="s">
        <v>259</v>
      </c>
      <c r="D249" s="549"/>
      <c r="E249" s="534"/>
      <c r="F249" s="534"/>
      <c r="G249" s="611"/>
      <c r="H249" s="707"/>
      <c r="I249" s="710"/>
      <c r="J249" s="709"/>
      <c r="K249" s="587"/>
      <c r="L249" s="587"/>
      <c r="M249" s="588"/>
      <c r="O249" s="693"/>
      <c r="P249" s="694"/>
      <c r="Q249" s="694"/>
      <c r="R249" s="694"/>
      <c r="S249" s="694"/>
      <c r="T249" s="694"/>
      <c r="U249" s="531"/>
      <c r="V249" s="531"/>
      <c r="W249" s="531"/>
    </row>
    <row r="250" ht="15.15" hidden="1" outlineLevel="2" spans="2:23">
      <c r="B250" s="678"/>
      <c r="C250" s="679" t="s">
        <v>259</v>
      </c>
      <c r="D250" s="549"/>
      <c r="E250" s="534"/>
      <c r="F250" s="534"/>
      <c r="G250" s="611"/>
      <c r="H250" s="707"/>
      <c r="I250" s="710"/>
      <c r="J250" s="709"/>
      <c r="K250" s="587"/>
      <c r="L250" s="587"/>
      <c r="M250" s="588"/>
      <c r="O250" s="693"/>
      <c r="P250" s="694"/>
      <c r="Q250" s="694"/>
      <c r="R250" s="694"/>
      <c r="S250" s="694"/>
      <c r="T250" s="694"/>
      <c r="U250" s="531"/>
      <c r="V250" s="531"/>
      <c r="W250" s="531"/>
    </row>
    <row r="251" ht="15.15" hidden="1" outlineLevel="2" spans="2:23">
      <c r="B251" s="678"/>
      <c r="C251" s="679" t="s">
        <v>259</v>
      </c>
      <c r="D251" s="549"/>
      <c r="E251" s="534"/>
      <c r="F251" s="534"/>
      <c r="G251" s="611"/>
      <c r="H251" s="707"/>
      <c r="I251" s="710"/>
      <c r="J251" s="709"/>
      <c r="K251" s="587"/>
      <c r="L251" s="587"/>
      <c r="M251" s="588"/>
      <c r="O251" s="693"/>
      <c r="P251" s="694"/>
      <c r="Q251" s="694"/>
      <c r="R251" s="694"/>
      <c r="S251" s="694"/>
      <c r="T251" s="694"/>
      <c r="U251" s="531"/>
      <c r="V251" s="531"/>
      <c r="W251" s="531"/>
    </row>
    <row r="252" ht="15.15" hidden="1" outlineLevel="1" collapsed="1" spans="2:23">
      <c r="B252" s="678"/>
      <c r="C252" s="711" t="s">
        <v>259</v>
      </c>
      <c r="D252" s="712"/>
      <c r="E252" s="534"/>
      <c r="F252" s="534"/>
      <c r="G252" s="611"/>
      <c r="H252" s="713"/>
      <c r="I252" s="714"/>
      <c r="J252" s="715"/>
      <c r="K252" s="716"/>
      <c r="L252" s="716"/>
      <c r="M252" s="717"/>
      <c r="O252" s="693"/>
      <c r="P252" s="694"/>
      <c r="Q252" s="694"/>
      <c r="R252" s="694"/>
      <c r="S252" s="694"/>
      <c r="T252" s="694"/>
      <c r="U252" s="531"/>
      <c r="V252" s="531"/>
      <c r="W252" s="531"/>
    </row>
    <row r="253" ht="16.35" collapsed="1" spans="2:23">
      <c r="E253" s="255"/>
      <c r="H253" s="718" t="s">
        <v>284</v>
      </c>
      <c r="I253" s="719"/>
      <c r="J253" s="720"/>
      <c r="K253" s="720"/>
      <c r="L253" s="720"/>
      <c r="M253" s="720"/>
      <c r="O253" s="696"/>
      <c r="P253" s="697"/>
      <c r="Q253" s="697"/>
      <c r="R253" s="697"/>
      <c r="S253" s="697"/>
      <c r="T253" s="697"/>
      <c r="U253" s="531"/>
      <c r="V253" s="531"/>
      <c r="W253" s="531"/>
    </row>
    <row r="254" ht="16.95" spans="2:23">
      <c r="O254" s="721" t="s">
        <v>261</v>
      </c>
      <c r="P254" s="722" cm="1">
        <f t="array" ref="P254">SUM(参数!B2:B105*参数!AN2:AN105)</f>
        <v>0</v>
      </c>
      <c r="Q254" s="722" cm="1">
        <f t="array" ref="Q254">SUM(参数!B2:B105*参数!AO2:AO105)</f>
        <v>0</v>
      </c>
      <c r="R254" s="722" cm="1">
        <f t="array" ref="R254">SUM(参数!B2:B105*参数!AP2:AP105)</f>
        <v>0</v>
      </c>
      <c r="S254" s="722" cm="1">
        <f t="array" ref="S254">SUM(参数!B2:B105*参数!AQ2:AQ105)</f>
        <v>0</v>
      </c>
      <c r="T254" s="723" cm="1">
        <f t="array" ref="T254">SUM(参数!B2:B105*参数!AR2:AR105)</f>
        <v>0</v>
      </c>
      <c r="U254" s="531"/>
      <c r="V254" s="531"/>
      <c r="W254" s="531"/>
    </row>
    <row r="255" ht="32.4" spans="2:23">
      <c r="J255" s="724"/>
      <c r="O255" s="725" t="s">
        <v>285</v>
      </c>
      <c r="P255" s="726" t="s">
        <v>89</v>
      </c>
      <c r="Q255" s="727" t="s">
        <v>95</v>
      </c>
      <c r="R255" s="727">
        <f>主卡!W28</f>
        <v>0</v>
      </c>
      <c r="S255" s="727">
        <f>主卡!W29</f>
        <v>0</v>
      </c>
      <c r="T255" s="728">
        <f>主卡!W30</f>
        <v>0</v>
      </c>
      <c r="U255" s="531"/>
      <c r="V255" s="531"/>
      <c r="W255" s="531"/>
    </row>
    <row r="256" ht="20.4" spans="2:23">
      <c r="J256" s="724"/>
      <c r="O256" s="729" t="s">
        <v>258</v>
      </c>
      <c r="P256" s="730"/>
      <c r="Q256" s="730"/>
      <c r="R256" s="730"/>
      <c r="S256" s="730"/>
      <c r="T256" s="730"/>
      <c r="U256" s="531"/>
      <c r="V256" s="531"/>
      <c r="W256" s="531"/>
    </row>
    <row r="257" ht="21.15" spans="7:23">
      <c r="J257" s="724"/>
      <c r="O257" s="731" t="s">
        <v>261</v>
      </c>
      <c r="P257" s="732" cm="1">
        <f t="array" ref="P257">SUM(参数!B2:B105*参数!AS2:AS105)</f>
        <v>0</v>
      </c>
      <c r="Q257" s="732" cm="1">
        <f t="array" ref="Q257">SUM(参数!B2:B105*参数!AT2:AT105)</f>
        <v>0</v>
      </c>
      <c r="R257" s="732"/>
      <c r="S257" s="732"/>
      <c r="T257" s="733"/>
      <c r="U257" s="531"/>
      <c r="V257" s="531"/>
      <c r="W257" s="531"/>
    </row>
    <row r="258" ht="20.4" spans="7:23">
      <c r="J258" s="724"/>
      <c r="O258" s="734" t="s">
        <v>286</v>
      </c>
      <c r="P258" s="735" t="s">
        <v>28</v>
      </c>
      <c r="Q258" s="735" t="s">
        <v>124</v>
      </c>
      <c r="R258" s="735" t="s">
        <v>131</v>
      </c>
      <c r="S258" s="736" t="s">
        <v>136</v>
      </c>
      <c r="T258" s="737"/>
      <c r="U258" s="531"/>
      <c r="V258" s="531"/>
      <c r="W258" s="531"/>
    </row>
    <row r="259" ht="20.4" spans="7:23">
      <c r="J259" s="724"/>
      <c r="O259" s="738" t="s">
        <v>258</v>
      </c>
      <c r="P259" s="739"/>
      <c r="Q259" s="739"/>
      <c r="R259" s="739"/>
      <c r="S259" s="739"/>
      <c r="T259" s="737"/>
      <c r="U259" s="531"/>
      <c r="V259" s="531"/>
      <c r="W259" s="531"/>
    </row>
    <row r="260" ht="21.15" spans="7:23">
      <c r="J260" s="724"/>
      <c r="O260" s="740" t="s">
        <v>261</v>
      </c>
      <c r="P260" s="741" cm="1">
        <f t="array" ref="P260">SUM(参数!B2:B105*参数!AU2:AU105)</f>
        <v>0</v>
      </c>
      <c r="Q260" s="741" cm="1">
        <f t="array" ref="Q260">SUM(参数!B2:B105*参数!AV2:AV105)</f>
        <v>0</v>
      </c>
      <c r="R260" s="741" cm="1">
        <f t="array" ref="R260">SUM(参数!B2:B105*参数!AW2:AW105)</f>
        <v>0</v>
      </c>
      <c r="S260" s="742" cm="1">
        <f t="array" ref="S260">SUM(参数!B2:B105*参数!AX2:AX105)</f>
        <v>0</v>
      </c>
      <c r="T260" s="737"/>
      <c r="U260" s="531"/>
      <c r="V260" s="531"/>
      <c r="W260" s="531"/>
    </row>
    <row r="261" ht="20.4" spans="7:23">
      <c r="J261" s="724"/>
      <c r="O261" s="743" t="s">
        <v>287</v>
      </c>
      <c r="P261" s="744" t="s">
        <v>29</v>
      </c>
      <c r="Q261" s="744" t="s">
        <v>149</v>
      </c>
      <c r="R261" s="744" t="s">
        <v>155</v>
      </c>
      <c r="S261" s="745" t="s">
        <v>160</v>
      </c>
      <c r="T261" s="737"/>
      <c r="U261" s="531"/>
      <c r="V261" s="531"/>
      <c r="W261" s="531"/>
    </row>
    <row r="262" ht="20.4" spans="7:23">
      <c r="J262" s="724"/>
      <c r="O262" s="738" t="s">
        <v>258</v>
      </c>
      <c r="P262" s="739"/>
      <c r="Q262" s="739"/>
      <c r="R262" s="739"/>
      <c r="S262" s="739"/>
      <c r="T262" s="737"/>
      <c r="U262" s="531"/>
      <c r="V262" s="531"/>
      <c r="W262" s="531"/>
    </row>
    <row r="263" ht="21.15" spans="7:23">
      <c r="J263" s="724"/>
      <c r="O263" s="746" t="s">
        <v>261</v>
      </c>
      <c r="P263" s="747" cm="1">
        <f t="array" ref="P263">SUM(参数!B2:B105*参数!AY2:AY105)</f>
        <v>0</v>
      </c>
      <c r="Q263" s="747" cm="1">
        <f t="array" ref="Q263">SUM(参数!B2:B105*参数!AZ2:AZ105)</f>
        <v>0</v>
      </c>
      <c r="R263" s="747" cm="1">
        <f t="array" ref="R263">SUM(参数!B2:B105*参数!BA2:BA105)</f>
        <v>0</v>
      </c>
      <c r="S263" s="748" cm="1">
        <f t="array" ref="S263">SUM(参数!B2:B105*参数!BB2:BB105)</f>
        <v>0</v>
      </c>
      <c r="T263" s="737"/>
      <c r="U263" s="531"/>
      <c r="V263" s="531"/>
      <c r="W263" s="531"/>
    </row>
    <row r="267" ht="20.4" spans="7:23">
      <c r="G267" s="724"/>
      <c r="H267" s="724"/>
      <c r="I267" s="724"/>
      <c r="J267" s="724"/>
    </row>
    <row r="268" ht="20.4" spans="7:23">
      <c r="G268" s="724"/>
      <c r="H268" s="724"/>
      <c r="I268" s="724"/>
      <c r="J268" s="724"/>
    </row>
    <row r="269" ht="20.4" spans="7:23">
      <c r="G269" s="724"/>
      <c r="H269" s="724"/>
      <c r="I269" s="724"/>
      <c r="J269" s="724"/>
    </row>
    <row r="270" ht="20.4" spans="7:23">
      <c r="G270" s="724"/>
      <c r="H270" s="724"/>
      <c r="I270" s="724"/>
      <c r="J270" s="724"/>
    </row>
    <row r="271" ht="20.4" spans="7:23">
      <c r="G271" s="724"/>
      <c r="H271" s="724"/>
      <c r="I271" s="724"/>
      <c r="J271" s="724"/>
    </row>
    <row r="272" ht="20.4" spans="7:23">
      <c r="G272" s="724"/>
      <c r="H272" s="724"/>
      <c r="I272" s="724"/>
      <c r="J272" s="724"/>
    </row>
    <row r="273" ht="20.4" spans="8:10">
      <c r="H273" s="724"/>
      <c r="I273" s="724"/>
      <c r="J273" s="724"/>
    </row>
    <row r="274" ht="20.4" spans="8:10">
      <c r="H274" s="724"/>
      <c r="I274" s="724"/>
      <c r="J274" s="724"/>
    </row>
    <row r="275" ht="20.4" spans="8:10">
      <c r="H275" s="724"/>
      <c r="I275" s="724"/>
      <c r="J275" s="724"/>
    </row>
    <row r="276" ht="20.4" spans="8:10">
      <c r="J276" s="724"/>
    </row>
    <row r="277" ht="20.4" spans="8:10">
      <c r="J277" s="724"/>
    </row>
    <row r="278" ht="20.4" spans="8:10">
      <c r="J278" s="724"/>
    </row>
    <row r="279" ht="20.4" spans="8:10">
      <c r="H279" s="724"/>
      <c r="I279" s="724"/>
      <c r="J279" s="724"/>
    </row>
    <row r="280" ht="20.4" spans="8:10">
      <c r="H280" s="724"/>
      <c r="I280" s="724"/>
      <c r="J280" s="724"/>
    </row>
    <row r="281" ht="20.4" spans="8:10">
      <c r="H281" s="724"/>
      <c r="I281" s="724"/>
      <c r="J281" s="724"/>
    </row>
    <row r="282" ht="20.4" spans="8:10">
      <c r="H282" s="724"/>
      <c r="I282" s="724"/>
      <c r="J282" s="724"/>
    </row>
    <row r="283" ht="20.4" spans="8:10">
      <c r="H283" s="724"/>
      <c r="I283" s="724"/>
      <c r="J283" s="724"/>
    </row>
    <row r="284" ht="20.4" spans="8:10">
      <c r="H284" s="724"/>
      <c r="I284" s="724"/>
      <c r="J284" s="724"/>
    </row>
    <row r="285" ht="20.4" spans="8:10">
      <c r="H285" s="724"/>
      <c r="I285" s="724"/>
      <c r="J285" s="724"/>
    </row>
    <row r="286" ht="20.4" spans="8:10">
      <c r="H286" s="724"/>
      <c r="I286" s="724"/>
      <c r="J286" s="724"/>
    </row>
    <row r="287" ht="20.4" spans="8:10">
      <c r="H287" s="724"/>
      <c r="I287" s="724"/>
      <c r="J287" s="724"/>
    </row>
    <row r="288" ht="20.4" spans="8:10">
      <c r="H288" s="724"/>
      <c r="I288" s="724"/>
      <c r="J288" s="724"/>
    </row>
    <row r="289" ht="20.4" spans="8:10">
      <c r="H289" s="724"/>
      <c r="I289" s="724"/>
      <c r="J289" s="724"/>
    </row>
    <row r="290" ht="20.4" spans="8:10">
      <c r="H290" s="724"/>
      <c r="I290" s="724"/>
      <c r="J290" s="724"/>
    </row>
    <row r="291" ht="20.4" spans="8:10">
      <c r="H291" s="724"/>
      <c r="I291" s="724"/>
      <c r="J291" s="724"/>
    </row>
    <row r="292" ht="20.4" spans="8:10">
      <c r="H292" s="724"/>
      <c r="I292" s="724"/>
      <c r="J292" s="724"/>
    </row>
    <row r="293" ht="20.4" spans="8:10">
      <c r="H293" s="724"/>
      <c r="I293" s="724"/>
      <c r="J293" s="724"/>
    </row>
    <row r="294" ht="20.4" spans="8:10">
      <c r="H294" s="724"/>
      <c r="I294" s="724"/>
      <c r="J294" s="724"/>
    </row>
    <row r="295" ht="20.4" spans="8:10">
      <c r="H295" s="724"/>
      <c r="I295" s="724"/>
      <c r="J295" s="724"/>
    </row>
    <row r="296" ht="20.4" spans="8:10">
      <c r="H296" s="724"/>
      <c r="I296" s="724"/>
      <c r="J296" s="724"/>
    </row>
  </sheetData>
  <sheetProtection formatCells="0" formatColumns="0" formatRows="0" insertRows="0" insertColumns="0" insertHyperlinks="0" deleteColumns="0" deleteRows="0" sort="0" autoFilter="0" pivotTables="0"/>
  <mergeCells count="286">
    <mergeCell ref="B1:E1"/>
    <mergeCell ref="O1:P1"/>
    <mergeCell ref="C2:D2"/>
    <mergeCell ref="C3:D3"/>
    <mergeCell ref="C8:D8"/>
    <mergeCell ref="C13:D13"/>
    <mergeCell ref="C18:D18"/>
    <mergeCell ref="C23:D23"/>
    <mergeCell ref="C28:D28"/>
    <mergeCell ref="C33:D33"/>
    <mergeCell ref="C38:D38"/>
    <mergeCell ref="C43:D43"/>
    <mergeCell ref="C48:D48"/>
    <mergeCell ref="C53:D53"/>
    <mergeCell ref="J53:M53"/>
    <mergeCell ref="C58:D58"/>
    <mergeCell ref="C63:D63"/>
    <mergeCell ref="C68:D68"/>
    <mergeCell ref="C73:D73"/>
    <mergeCell ref="C78:D78"/>
    <mergeCell ref="C83:D83"/>
    <mergeCell ref="C88:D88"/>
    <mergeCell ref="C93:D93"/>
    <mergeCell ref="C98:D98"/>
    <mergeCell ref="C103:D103"/>
    <mergeCell ref="C108:D108"/>
    <mergeCell ref="C113:D113"/>
    <mergeCell ref="C118:D118"/>
    <mergeCell ref="C123:D123"/>
    <mergeCell ref="C128:D128"/>
    <mergeCell ref="C133:D133"/>
    <mergeCell ref="C138:D138"/>
    <mergeCell ref="C143:D143"/>
    <mergeCell ref="C148:D148"/>
    <mergeCell ref="C153:D153"/>
    <mergeCell ref="C158:D158"/>
    <mergeCell ref="C163:D163"/>
    <mergeCell ref="C168:D168"/>
    <mergeCell ref="C173:D173"/>
    <mergeCell ref="C178:D178"/>
    <mergeCell ref="C183:D183"/>
    <mergeCell ref="C188:D188"/>
    <mergeCell ref="C193:D193"/>
    <mergeCell ref="C198:D198"/>
    <mergeCell ref="C203:D203"/>
    <mergeCell ref="C208:D208"/>
    <mergeCell ref="C213:D213"/>
    <mergeCell ref="C218:D218"/>
    <mergeCell ref="C223:D223"/>
    <mergeCell ref="C228:D228"/>
    <mergeCell ref="C233:D233"/>
    <mergeCell ref="C238:D238"/>
    <mergeCell ref="C243:D243"/>
    <mergeCell ref="C248:D248"/>
    <mergeCell ref="B3:B47"/>
    <mergeCell ref="B53:B102"/>
    <mergeCell ref="B103:B152"/>
    <mergeCell ref="B153:B202"/>
    <mergeCell ref="B203:B252"/>
    <mergeCell ref="H3:H52"/>
    <mergeCell ref="H53:H102"/>
    <mergeCell ref="H103:H152"/>
    <mergeCell ref="H153:H202"/>
    <mergeCell ref="H203:H207"/>
    <mergeCell ref="H208:H212"/>
    <mergeCell ref="H213:H252"/>
    <mergeCell ref="I3:I52"/>
    <mergeCell ref="I53:I102"/>
    <mergeCell ref="I103:I152"/>
    <mergeCell ref="I153:I202"/>
    <mergeCell ref="I203:I207"/>
    <mergeCell ref="I208:I212"/>
    <mergeCell ref="I213:I252"/>
    <mergeCell ref="J4:J8"/>
    <mergeCell ref="J9:J12"/>
    <mergeCell ref="J13:J16"/>
    <mergeCell ref="J17:J52"/>
    <mergeCell ref="K4:K8"/>
    <mergeCell ref="K9:K12"/>
    <mergeCell ref="K13:K16"/>
    <mergeCell ref="K17:K52"/>
    <mergeCell ref="O4:O5"/>
    <mergeCell ref="O6:O8"/>
    <mergeCell ref="O9:O12"/>
    <mergeCell ref="O13:O16"/>
    <mergeCell ref="O17:O24"/>
    <mergeCell ref="O25:O53"/>
    <mergeCell ref="O54:O55"/>
    <mergeCell ref="O56:O58"/>
    <mergeCell ref="O59:O62"/>
    <mergeCell ref="O63:O66"/>
    <mergeCell ref="O67:O74"/>
    <mergeCell ref="O75:O103"/>
    <mergeCell ref="O104:O105"/>
    <mergeCell ref="O106:O108"/>
    <mergeCell ref="O109:O112"/>
    <mergeCell ref="O113:O116"/>
    <mergeCell ref="O117:O124"/>
    <mergeCell ref="O125:O153"/>
    <mergeCell ref="O154:O155"/>
    <mergeCell ref="O156:O158"/>
    <mergeCell ref="O159:O162"/>
    <mergeCell ref="O163:O166"/>
    <mergeCell ref="O167:O174"/>
    <mergeCell ref="O175:O203"/>
    <mergeCell ref="O204:O205"/>
    <mergeCell ref="O206:O208"/>
    <mergeCell ref="O209:O212"/>
    <mergeCell ref="O213:O216"/>
    <mergeCell ref="O217:O225"/>
    <mergeCell ref="O226:O253"/>
    <mergeCell ref="P4:P5"/>
    <mergeCell ref="P6:P8"/>
    <mergeCell ref="P9:P12"/>
    <mergeCell ref="P13:P16"/>
    <mergeCell ref="P17:P24"/>
    <mergeCell ref="P25:P53"/>
    <mergeCell ref="P54:P55"/>
    <mergeCell ref="P56:P58"/>
    <mergeCell ref="P59:P62"/>
    <mergeCell ref="P63:P66"/>
    <mergeCell ref="P67:P74"/>
    <mergeCell ref="P75:P103"/>
    <mergeCell ref="P104:P105"/>
    <mergeCell ref="P106:P108"/>
    <mergeCell ref="P109:P112"/>
    <mergeCell ref="P113:P116"/>
    <mergeCell ref="P117:P124"/>
    <mergeCell ref="P125:P153"/>
    <mergeCell ref="P154:P155"/>
    <mergeCell ref="P156:P158"/>
    <mergeCell ref="P159:P162"/>
    <mergeCell ref="P163:P166"/>
    <mergeCell ref="P167:P174"/>
    <mergeCell ref="P175:P203"/>
    <mergeCell ref="P204:P205"/>
    <mergeCell ref="P206:P208"/>
    <mergeCell ref="P209:P212"/>
    <mergeCell ref="P213:P216"/>
    <mergeCell ref="P217:P225"/>
    <mergeCell ref="P226:P253"/>
    <mergeCell ref="Q4:Q5"/>
    <mergeCell ref="Q6:Q8"/>
    <mergeCell ref="Q9:Q12"/>
    <mergeCell ref="Q13:Q16"/>
    <mergeCell ref="Q17:Q24"/>
    <mergeCell ref="Q25:Q53"/>
    <mergeCell ref="Q54:Q55"/>
    <mergeCell ref="Q56:Q58"/>
    <mergeCell ref="Q59:Q62"/>
    <mergeCell ref="Q63:Q66"/>
    <mergeCell ref="Q67:Q74"/>
    <mergeCell ref="Q75:Q103"/>
    <mergeCell ref="Q104:Q105"/>
    <mergeCell ref="Q106:Q108"/>
    <mergeCell ref="Q109:Q112"/>
    <mergeCell ref="Q113:Q116"/>
    <mergeCell ref="Q117:Q124"/>
    <mergeCell ref="Q125:Q153"/>
    <mergeCell ref="Q154:Q155"/>
    <mergeCell ref="Q156:Q158"/>
    <mergeCell ref="Q159:Q162"/>
    <mergeCell ref="Q163:Q166"/>
    <mergeCell ref="Q167:Q174"/>
    <mergeCell ref="Q175:Q203"/>
    <mergeCell ref="Q204:Q205"/>
    <mergeCell ref="Q206:Q208"/>
    <mergeCell ref="Q209:Q212"/>
    <mergeCell ref="Q213:Q216"/>
    <mergeCell ref="Q217:Q225"/>
    <mergeCell ref="Q226:Q253"/>
    <mergeCell ref="R4:R5"/>
    <mergeCell ref="R6:R8"/>
    <mergeCell ref="R9:R12"/>
    <mergeCell ref="R13:R16"/>
    <mergeCell ref="R17:R24"/>
    <mergeCell ref="R25:R53"/>
    <mergeCell ref="R54:R55"/>
    <mergeCell ref="R56:R58"/>
    <mergeCell ref="R59:R62"/>
    <mergeCell ref="R63:R66"/>
    <mergeCell ref="R67:R74"/>
    <mergeCell ref="R75:R103"/>
    <mergeCell ref="R104:R105"/>
    <mergeCell ref="R106:R108"/>
    <mergeCell ref="R109:R112"/>
    <mergeCell ref="R113:R116"/>
    <mergeCell ref="R117:R124"/>
    <mergeCell ref="R125:R153"/>
    <mergeCell ref="R154:R155"/>
    <mergeCell ref="R156:R158"/>
    <mergeCell ref="R159:R162"/>
    <mergeCell ref="R163:R166"/>
    <mergeCell ref="R167:R174"/>
    <mergeCell ref="R175:R203"/>
    <mergeCell ref="R204:R205"/>
    <mergeCell ref="R206:R208"/>
    <mergeCell ref="R209:R212"/>
    <mergeCell ref="R213:R216"/>
    <mergeCell ref="R217:R225"/>
    <mergeCell ref="R226:R253"/>
    <mergeCell ref="S4:S5"/>
    <mergeCell ref="S6:S8"/>
    <mergeCell ref="S9:S12"/>
    <mergeCell ref="S13:S16"/>
    <mergeCell ref="S17:S24"/>
    <mergeCell ref="S25:S53"/>
    <mergeCell ref="S54:S55"/>
    <mergeCell ref="S56:S58"/>
    <mergeCell ref="S59:S62"/>
    <mergeCell ref="S63:S66"/>
    <mergeCell ref="S67:S74"/>
    <mergeCell ref="S75:S103"/>
    <mergeCell ref="S104:S105"/>
    <mergeCell ref="S106:S108"/>
    <mergeCell ref="S109:S112"/>
    <mergeCell ref="S113:S116"/>
    <mergeCell ref="S117:S124"/>
    <mergeCell ref="S125:S153"/>
    <mergeCell ref="S154:S155"/>
    <mergeCell ref="S156:S158"/>
    <mergeCell ref="S159:S162"/>
    <mergeCell ref="S163:S166"/>
    <mergeCell ref="S167:S174"/>
    <mergeCell ref="S175:S203"/>
    <mergeCell ref="S204:S205"/>
    <mergeCell ref="S206:S208"/>
    <mergeCell ref="S209:S212"/>
    <mergeCell ref="S213:S216"/>
    <mergeCell ref="S217:S225"/>
    <mergeCell ref="S226:S253"/>
    <mergeCell ref="T4:T5"/>
    <mergeCell ref="T6:T8"/>
    <mergeCell ref="T9:T12"/>
    <mergeCell ref="T13:T16"/>
    <mergeCell ref="T17:T24"/>
    <mergeCell ref="T25:T53"/>
    <mergeCell ref="T54:T55"/>
    <mergeCell ref="T56:T58"/>
    <mergeCell ref="T59:T62"/>
    <mergeCell ref="T63:T66"/>
    <mergeCell ref="T117:T124"/>
    <mergeCell ref="T125:T153"/>
    <mergeCell ref="T154:T155"/>
    <mergeCell ref="T156:T158"/>
    <mergeCell ref="T159:T162"/>
    <mergeCell ref="T163:T166"/>
    <mergeCell ref="T167:T174"/>
    <mergeCell ref="T175:T203"/>
    <mergeCell ref="T204:T205"/>
    <mergeCell ref="T206:T208"/>
    <mergeCell ref="T209:T212"/>
    <mergeCell ref="T213:T216"/>
    <mergeCell ref="T217:T225"/>
    <mergeCell ref="T226:T253"/>
    <mergeCell ref="U4:U5"/>
    <mergeCell ref="U6:U8"/>
    <mergeCell ref="U9:U12"/>
    <mergeCell ref="U13:U16"/>
    <mergeCell ref="U17:U24"/>
    <mergeCell ref="U25:U53"/>
    <mergeCell ref="U54:U55"/>
    <mergeCell ref="U56:U58"/>
    <mergeCell ref="U59:U62"/>
    <mergeCell ref="U63:U66"/>
    <mergeCell ref="U156:U158"/>
    <mergeCell ref="U159:U162"/>
    <mergeCell ref="U163:U166"/>
    <mergeCell ref="V4:V5"/>
    <mergeCell ref="V6:V8"/>
    <mergeCell ref="V9:V12"/>
    <mergeCell ref="V13:V16"/>
    <mergeCell ref="V17:V24"/>
    <mergeCell ref="V25:V53"/>
    <mergeCell ref="V54:V55"/>
    <mergeCell ref="V56:V58"/>
    <mergeCell ref="V59:V62"/>
    <mergeCell ref="V63:V66"/>
    <mergeCell ref="V156:V158"/>
    <mergeCell ref="V159:V162"/>
    <mergeCell ref="V163:V166"/>
    <mergeCell ref="W56:W58"/>
    <mergeCell ref="W59:W62"/>
    <mergeCell ref="W63:W66"/>
    <mergeCell ref="L2:M52"/>
    <mergeCell ref="J54:M252"/>
  </mergeCells>
  <dataValidations count="10">
    <dataValidation type="list" allowBlank="1" showInputMessage="1" sqref="C3:D3 C8:D8 C13:D13 C18:D18 C23:D23 C28:D28 C33:D33 C38:D38 C43:D43 C48:D48">
      <formula1>下拉列表!$V$93:$V$125</formula1>
    </dataValidation>
    <dataValidation type="list" allowBlank="1" showInputMessage="1" sqref="D4 D9 D14 D19 D24 D29 D34 D39 D44 D49 D54 D59 D64 D69 D74 D79 D84 D89 D94 D99 D104 D109 D114 D119 D124 D129 D134 D139 D144 D149 D154 D159 D164 D169 D174 D179 D184 D189 D194 D199 D204 D209 D214 D219 D224 D229 D234 D239 D244 D249">
      <formula1>INDIRECT(SUBSTITUTE(SUBSTITUTE(SUBSTITUTE(C3,"*",""),"（","_"),"）",""))</formula1>
    </dataValidation>
    <dataValidation type="list" allowBlank="1" showInputMessage="1" sqref="D5 D10 D15 D20 D25 D30 D35 D40 D45 D50 D55 D60 D65 D70 D75 D80 D85 D90 D95 D100 D105 D110 D115 D120 D125 D130 D135 D140 D145 D150 D155 D160 D165 D170 D175 D180 D185 D190 D195 D200 D205 D210 D215 D220 D225 D230 D235 D240 D245 D250">
      <formula1>INDIRECT(SUBSTITUTE(SUBSTITUTE(SUBSTITUTE(C3,"*",""),"（","_"),"）",""))</formula1>
    </dataValidation>
    <dataValidation type="list" allowBlank="1" showInputMessage="1" sqref="D6 D11 D16 D21 D26 D31 D36 D41 D46 D51 D56 D61 D66 D71 D76 D81 D86 D91 D96 D101 D106 D111 D116 D121 D126 D131 D136 D141 D146 D151 D156 D161 D166 D171 D176 D181 D186 D191 D196 D201 D206 D211 D216 D221 D226 D231 D236 D241 D246 D251">
      <formula1>INDIRECT(SUBSTITUTE(SUBSTITUTE(SUBSTITUTE(C3,"*",""),"（","_"),"）",""))</formula1>
    </dataValidation>
    <dataValidation type="list" allowBlank="1" showInputMessage="1" sqref="D7 D12 D17 D22 D27 D32 D37 D42 D47 D52 D57 D62 D67 D72 D77 D82 D87 D92 D97 D102 D107 D112 D117 D122 D127 D132 D137 D142 D147 D152 D157 D162 D167 D172 D177 D182 D187 D192 D197 D202 D207 D212 D217 D222 D227 D232 D237 D242 D247 D252">
      <formula1>INDIRECT(SUBSTITUTE(SUBSTITUTE(SUBSTITUTE(C3,"*",""),"（","_"),"）",""))</formula1>
    </dataValidation>
    <dataValidation type="list" allowBlank="1" showInputMessage="1" sqref="C53:D53 C58:D58 C63:D63 C68:D68 C73:D73 C78:D78 C83:D83 C88:D88 C93:D93 C98:D98">
      <formula1>下拉列表!$V$126:$V$141</formula1>
    </dataValidation>
    <dataValidation type="list" allowBlank="1" showInputMessage="1" sqref="E67 G67 E3:G66 E68:G252">
      <formula1>INDIRECT(天赋.特质.技能数据库!L2)</formula1>
    </dataValidation>
    <dataValidation type="list" allowBlank="1" showInputMessage="1" sqref="C103:D103 C108:D108 C113:D113 C118:D118 C123:D123 C128:D128 C133:D133 C138:D138 C143:D143 C148:D148">
      <formula1>下拉列表!$V$142:$V$163</formula1>
    </dataValidation>
    <dataValidation type="list" allowBlank="1" showInputMessage="1" sqref="C153:D153 C158:D158 C163:D163 C168:D168 C173:D173 C178:D178 C183:D183 C188:D188 C193:D193 C198:D198">
      <formula1>下拉列表!$V$164:$V$183</formula1>
    </dataValidation>
    <dataValidation type="list" allowBlank="1" showInputMessage="1" sqref="C203:D203 C208:D208 C213:D213 C218:D218 C223:D223 C228:D228 C233:D233 C238:D238 C243:D243 C248:D248">
      <formula1>下拉列表!$V$184:$V$196</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AJ47"/>
  <sheetViews>
    <sheetView showGridLines="0" zoomScale="60" zoomScaleNormal="60" workbookViewId="0">
      <selection activeCell="I1" sqref="I1"/>
    </sheetView>
  </sheetViews>
  <sheetFormatPr defaultColWidth="8.88888888888889" defaultRowHeight="16.2"/>
  <cols>
    <col min="1" max="5" width="10" style="444" customWidth="1"/>
    <col min="6" max="7" width="5" style="444" customWidth="1"/>
    <col min="8" max="11" width="10" style="444" customWidth="1"/>
    <col min="12" max="12" width="5" style="444" customWidth="1"/>
    <col min="13" max="14" width="10" style="444" customWidth="1"/>
    <col min="15" max="15" width="5" style="444" customWidth="1"/>
    <col min="16" max="16" width="20" style="444" customWidth="1"/>
    <col min="17" max="17" width="5" style="444" customWidth="1"/>
    <col min="18" max="19" width="10" style="444" customWidth="1"/>
    <col min="20" max="20" width="5" style="444" customWidth="1"/>
    <col min="21" max="21" width="20" style="444" customWidth="1"/>
    <col min="22" max="22" width="5" style="444" customWidth="1"/>
    <col min="23" max="24" width="10" style="444" customWidth="1"/>
    <col min="25" max="25" width="5" style="444" customWidth="1"/>
    <col min="26" max="26" width="20" style="444" customWidth="1"/>
    <col min="27" max="27" width="5" style="444" customWidth="1"/>
    <col min="28" max="29" width="10" style="444" customWidth="1"/>
    <col min="30" max="30" width="5" style="444" customWidth="1"/>
    <col min="31" max="31" width="20" style="444" customWidth="1"/>
    <col min="32" max="32" width="5" style="444" customWidth="1"/>
    <col min="33" max="36" width="10" style="444" customWidth="1"/>
    <col min="37" max="16384" width="8.88888888888889" style="444"/>
  </cols>
  <sheetData>
    <row r="1" s="444" customFormat="1" ht="60" customHeight="1" spans="1:36">
      <c r="A1" s="445" t="str">
        <f>主卡!AE9</f>
        <v>=DISPIMG("ID_B4C652478C52453380C9AA09DFBAEA6F",1)</v>
      </c>
      <c r="B1" s="446" t="str">
        <f>主卡!AG9</f>
        <v>先锋</v>
      </c>
      <c r="C1" s="446"/>
      <c r="D1" s="447" t="str">
        <f>主卡!AK10</f>
        <v>VANGUARD</v>
      </c>
      <c r="E1" s="448"/>
      <c r="F1" s="449"/>
      <c r="L1" s="450"/>
      <c r="M1" s="449"/>
      <c r="N1" s="449"/>
      <c r="O1" s="449"/>
      <c r="P1" s="449"/>
      <c r="Q1" s="450"/>
      <c r="R1" s="449"/>
      <c r="S1" s="449"/>
      <c r="T1" s="449"/>
      <c r="U1" s="449"/>
      <c r="V1" s="450"/>
      <c r="W1" s="449"/>
      <c r="X1" s="449"/>
      <c r="Y1" s="449"/>
      <c r="Z1" s="449"/>
      <c r="AA1" s="450"/>
      <c r="AB1" s="449"/>
      <c r="AC1" s="449"/>
      <c r="AD1" s="449"/>
      <c r="AE1" s="449"/>
      <c r="AF1" s="451" t="s">
        <v>288</v>
      </c>
      <c r="AG1" s="452"/>
      <c r="AH1" s="452"/>
      <c r="AI1" s="452"/>
      <c r="AJ1" s="452"/>
    </row>
    <row r="2" s="444" customFormat="1" ht="15" customHeight="1" spans="1:36">
      <c r="A2" s="453"/>
      <c r="B2" s="453"/>
      <c r="C2" s="453"/>
      <c r="D2" s="453"/>
      <c r="E2" s="453"/>
      <c r="F2" s="454"/>
      <c r="G2" s="454"/>
      <c r="H2" s="454"/>
      <c r="I2" s="454"/>
      <c r="J2" s="454"/>
      <c r="K2" s="454"/>
      <c r="L2" s="455"/>
      <c r="M2" s="455"/>
      <c r="N2" s="455"/>
      <c r="O2" s="455"/>
      <c r="P2" s="455"/>
      <c r="Q2" s="455"/>
      <c r="R2" s="455"/>
      <c r="S2" s="455"/>
      <c r="T2" s="455"/>
      <c r="U2" s="455"/>
      <c r="V2" s="455"/>
      <c r="W2" s="455"/>
      <c r="X2" s="455"/>
      <c r="Y2" s="455"/>
      <c r="Z2" s="455"/>
      <c r="AA2" s="455"/>
      <c r="AB2" s="455"/>
      <c r="AC2" s="455"/>
      <c r="AD2" s="455"/>
      <c r="AE2" s="455"/>
      <c r="AF2" s="456"/>
      <c r="AG2" s="456"/>
      <c r="AH2" s="456"/>
      <c r="AI2" s="456"/>
      <c r="AJ2" s="457"/>
    </row>
    <row r="3" s="444" customFormat="1" ht="20" customHeight="1" spans="1:36">
      <c r="A3" s="453"/>
      <c r="B3" s="453"/>
      <c r="C3" s="453"/>
      <c r="D3" s="453"/>
      <c r="E3" s="453"/>
      <c r="F3" s="458" t="s">
        <v>289</v>
      </c>
      <c r="G3" s="459" t="s">
        <v>290</v>
      </c>
      <c r="H3" s="460"/>
      <c r="I3" s="460"/>
      <c r="J3" s="460"/>
      <c r="K3" s="460"/>
      <c r="L3" s="460"/>
      <c r="M3" s="460"/>
      <c r="N3" s="460"/>
      <c r="O3" s="460"/>
      <c r="P3" s="460"/>
      <c r="Q3" s="460"/>
      <c r="R3" s="460"/>
      <c r="S3" s="460"/>
      <c r="T3" s="460"/>
      <c r="U3" s="460"/>
      <c r="V3" s="460"/>
      <c r="W3" s="460"/>
      <c r="X3" s="460"/>
      <c r="Y3" s="460"/>
      <c r="Z3" s="460"/>
      <c r="AA3" s="460"/>
      <c r="AB3" s="460"/>
      <c r="AC3" s="460"/>
      <c r="AD3" s="460"/>
      <c r="AE3" s="460"/>
      <c r="AF3" s="460" t="s">
        <v>291</v>
      </c>
      <c r="AG3" s="460"/>
      <c r="AH3" s="460"/>
      <c r="AI3" s="460"/>
      <c r="AJ3" s="461"/>
    </row>
    <row r="4" s="444" customFormat="1" ht="60" customHeight="1" spans="1:36">
      <c r="A4" s="462" t="str">
        <f>主卡!AF14</f>
        <v>=DISPIMG("ID_411D84E06C08443995D759FB88AFFC25",1)</v>
      </c>
      <c r="B4" s="462"/>
      <c r="C4" s="463" t="str">
        <f>主卡!AI14</f>
        <v>冲锋手</v>
      </c>
      <c r="D4" s="464"/>
      <c r="E4" s="464"/>
      <c r="F4" s="465"/>
      <c r="G4" s="466" t="s">
        <v>292</v>
      </c>
      <c r="H4" s="467"/>
      <c r="I4" s="467"/>
      <c r="J4" s="467"/>
      <c r="K4" s="467"/>
      <c r="L4" s="468" t="s">
        <v>293</v>
      </c>
      <c r="M4" s="469">
        <v>0</v>
      </c>
      <c r="N4" s="470">
        <v>0</v>
      </c>
      <c r="O4" s="468" t="s">
        <v>294</v>
      </c>
      <c r="P4" s="471"/>
      <c r="Q4" s="468" t="s">
        <v>293</v>
      </c>
      <c r="R4" s="469">
        <v>0</v>
      </c>
      <c r="S4" s="470">
        <v>0</v>
      </c>
      <c r="T4" s="468" t="s">
        <v>294</v>
      </c>
      <c r="U4" s="471"/>
      <c r="V4" s="468" t="s">
        <v>293</v>
      </c>
      <c r="W4" s="469">
        <v>0</v>
      </c>
      <c r="X4" s="470">
        <v>0</v>
      </c>
      <c r="Y4" s="468" t="s">
        <v>294</v>
      </c>
      <c r="Z4" s="471"/>
      <c r="AA4" s="468" t="s">
        <v>293</v>
      </c>
      <c r="AB4" s="469">
        <v>0</v>
      </c>
      <c r="AC4" s="470">
        <v>0</v>
      </c>
      <c r="AD4" s="468" t="s">
        <v>294</v>
      </c>
      <c r="AE4" s="471"/>
      <c r="AF4" s="468" t="s">
        <v>295</v>
      </c>
      <c r="AG4" s="472"/>
      <c r="AH4" s="472"/>
      <c r="AI4" s="472"/>
      <c r="AJ4" s="473"/>
    </row>
    <row r="5" s="444" customFormat="1" ht="60" customHeight="1" spans="1:36">
      <c r="A5" s="462"/>
      <c r="B5" s="462"/>
      <c r="C5" s="464"/>
      <c r="D5" s="464"/>
      <c r="E5" s="464"/>
      <c r="F5" s="465"/>
      <c r="G5" s="466" t="s">
        <v>296</v>
      </c>
      <c r="H5" s="474"/>
      <c r="I5" s="474"/>
      <c r="J5" s="474"/>
      <c r="K5" s="474"/>
      <c r="L5" s="468" t="s">
        <v>297</v>
      </c>
      <c r="M5" s="475">
        <v>0</v>
      </c>
      <c r="N5" s="476">
        <v>0</v>
      </c>
      <c r="O5" s="468" t="s">
        <v>298</v>
      </c>
      <c r="P5" s="471"/>
      <c r="Q5" s="468" t="s">
        <v>297</v>
      </c>
      <c r="R5" s="475">
        <v>0</v>
      </c>
      <c r="S5" s="476">
        <v>0</v>
      </c>
      <c r="T5" s="468" t="s">
        <v>298</v>
      </c>
      <c r="U5" s="471"/>
      <c r="V5" s="468" t="s">
        <v>297</v>
      </c>
      <c r="W5" s="475">
        <v>0</v>
      </c>
      <c r="X5" s="476">
        <v>0</v>
      </c>
      <c r="Y5" s="468" t="s">
        <v>298</v>
      </c>
      <c r="Z5" s="471"/>
      <c r="AA5" s="468" t="s">
        <v>297</v>
      </c>
      <c r="AB5" s="475">
        <v>0</v>
      </c>
      <c r="AC5" s="476">
        <v>0</v>
      </c>
      <c r="AD5" s="468" t="s">
        <v>298</v>
      </c>
      <c r="AE5" s="471"/>
      <c r="AF5" s="468" t="s">
        <v>299</v>
      </c>
      <c r="AG5" s="477"/>
      <c r="AH5" s="477"/>
      <c r="AI5" s="477"/>
      <c r="AJ5" s="478"/>
    </row>
    <row r="6" s="444" customFormat="1" ht="60" customHeight="1" spans="1:36">
      <c r="A6" s="479" t="s">
        <v>300</v>
      </c>
      <c r="B6" s="480" t="str">
        <f>主卡!AF19</f>
        <v>穿戴中甲，具有中生命值
擅长通过快速移动对敌人造成大量伤害的近战输出职业</v>
      </c>
      <c r="C6" s="481"/>
      <c r="D6" s="481"/>
      <c r="E6" s="481"/>
      <c r="F6" s="482"/>
      <c r="G6" s="483"/>
      <c r="H6" s="484"/>
      <c r="I6" s="484"/>
      <c r="J6" s="484"/>
      <c r="K6" s="484"/>
      <c r="L6" s="485" t="s">
        <v>301</v>
      </c>
      <c r="M6" s="486"/>
      <c r="N6" s="486"/>
      <c r="O6" s="486"/>
      <c r="P6" s="486"/>
      <c r="Q6" s="485" t="s">
        <v>301</v>
      </c>
      <c r="R6" s="487"/>
      <c r="S6" s="487"/>
      <c r="T6" s="487"/>
      <c r="U6" s="487"/>
      <c r="V6" s="485" t="s">
        <v>301</v>
      </c>
      <c r="W6" s="487"/>
      <c r="X6" s="487"/>
      <c r="Y6" s="487"/>
      <c r="Z6" s="487"/>
      <c r="AA6" s="485" t="s">
        <v>301</v>
      </c>
      <c r="AB6" s="487"/>
      <c r="AC6" s="487"/>
      <c r="AD6" s="487"/>
      <c r="AE6" s="487"/>
      <c r="AF6" s="485"/>
      <c r="AG6" s="488"/>
      <c r="AH6" s="488"/>
      <c r="AI6" s="488"/>
      <c r="AJ6" s="489"/>
    </row>
    <row r="7" s="444" customFormat="1" ht="20" customHeight="1" spans="1:36">
      <c r="A7" s="479" t="s">
        <v>302</v>
      </c>
      <c r="B7" s="480" t="str">
        <f>主卡!AW13</f>
        <v>伤害骰面为D6的近战物理武器
通常是各类长柄武器，如长枪和戟。
能够在中等距离发动灵活的突刺，将移动与伤害合为一体。</v>
      </c>
      <c r="C7" s="480"/>
      <c r="D7" s="480"/>
      <c r="E7" s="480"/>
      <c r="F7" s="465" t="s">
        <v>303</v>
      </c>
      <c r="G7" s="459" t="s">
        <v>304</v>
      </c>
      <c r="H7" s="460"/>
      <c r="I7" s="460"/>
      <c r="J7" s="460"/>
      <c r="K7" s="460"/>
      <c r="L7" s="460"/>
      <c r="M7" s="460"/>
      <c r="N7" s="460"/>
      <c r="O7" s="460"/>
      <c r="P7" s="460"/>
      <c r="Q7" s="460"/>
      <c r="R7" s="460"/>
      <c r="S7" s="460"/>
      <c r="T7" s="460"/>
      <c r="U7" s="460"/>
      <c r="V7" s="460"/>
      <c r="W7" s="460"/>
      <c r="X7" s="460"/>
      <c r="Y7" s="460"/>
      <c r="Z7" s="460"/>
      <c r="AA7" s="460"/>
      <c r="AB7" s="460"/>
      <c r="AC7" s="460"/>
      <c r="AD7" s="460"/>
      <c r="AE7" s="460"/>
      <c r="AF7" s="460" t="s">
        <v>305</v>
      </c>
      <c r="AG7" s="460"/>
      <c r="AH7" s="460"/>
      <c r="AI7" s="460"/>
      <c r="AJ7" s="461"/>
    </row>
    <row r="8" s="444" customFormat="1" ht="60" customHeight="1" spans="1:36">
      <c r="A8" s="479"/>
      <c r="B8" s="480"/>
      <c r="C8" s="480"/>
      <c r="D8" s="480"/>
      <c r="E8" s="480"/>
      <c r="F8" s="465"/>
      <c r="G8" s="466" t="s">
        <v>292</v>
      </c>
      <c r="H8" s="467"/>
      <c r="I8" s="467"/>
      <c r="J8" s="467"/>
      <c r="K8" s="467"/>
      <c r="L8" s="468" t="s">
        <v>293</v>
      </c>
      <c r="M8" s="469">
        <v>0</v>
      </c>
      <c r="N8" s="470">
        <v>0</v>
      </c>
      <c r="O8" s="468" t="s">
        <v>294</v>
      </c>
      <c r="P8" s="471"/>
      <c r="Q8" s="468" t="s">
        <v>293</v>
      </c>
      <c r="R8" s="469">
        <v>0</v>
      </c>
      <c r="S8" s="470">
        <v>0</v>
      </c>
      <c r="T8" s="468" t="s">
        <v>294</v>
      </c>
      <c r="U8" s="471"/>
      <c r="V8" s="468" t="s">
        <v>293</v>
      </c>
      <c r="W8" s="469">
        <v>0</v>
      </c>
      <c r="X8" s="470">
        <v>0</v>
      </c>
      <c r="Y8" s="468" t="s">
        <v>294</v>
      </c>
      <c r="Z8" s="471"/>
      <c r="AA8" s="468" t="s">
        <v>293</v>
      </c>
      <c r="AB8" s="469">
        <v>0</v>
      </c>
      <c r="AC8" s="470">
        <v>0</v>
      </c>
      <c r="AD8" s="468" t="s">
        <v>294</v>
      </c>
      <c r="AE8" s="471"/>
      <c r="AF8" s="468" t="s">
        <v>295</v>
      </c>
      <c r="AG8" s="472"/>
      <c r="AH8" s="472"/>
      <c r="AI8" s="472"/>
      <c r="AJ8" s="473"/>
    </row>
    <row r="9" s="444" customFormat="1" ht="60" customHeight="1" spans="1:36">
      <c r="A9" s="479"/>
      <c r="B9" s="480"/>
      <c r="C9" s="480"/>
      <c r="D9" s="480"/>
      <c r="E9" s="480"/>
      <c r="F9" s="465"/>
      <c r="G9" s="466" t="s">
        <v>296</v>
      </c>
      <c r="H9" s="474"/>
      <c r="I9" s="474"/>
      <c r="J9" s="474"/>
      <c r="K9" s="474"/>
      <c r="L9" s="468" t="s">
        <v>297</v>
      </c>
      <c r="M9" s="475">
        <v>0</v>
      </c>
      <c r="N9" s="476">
        <v>0</v>
      </c>
      <c r="O9" s="468" t="s">
        <v>298</v>
      </c>
      <c r="P9" s="471"/>
      <c r="Q9" s="468" t="s">
        <v>297</v>
      </c>
      <c r="R9" s="475">
        <v>0</v>
      </c>
      <c r="S9" s="476">
        <v>0</v>
      </c>
      <c r="T9" s="468" t="s">
        <v>298</v>
      </c>
      <c r="U9" s="471"/>
      <c r="V9" s="468" t="s">
        <v>297</v>
      </c>
      <c r="W9" s="475">
        <v>0</v>
      </c>
      <c r="X9" s="476">
        <v>0</v>
      </c>
      <c r="Y9" s="468" t="s">
        <v>298</v>
      </c>
      <c r="Z9" s="471"/>
      <c r="AA9" s="468" t="s">
        <v>297</v>
      </c>
      <c r="AB9" s="475">
        <v>0</v>
      </c>
      <c r="AC9" s="476">
        <v>0</v>
      </c>
      <c r="AD9" s="468" t="s">
        <v>298</v>
      </c>
      <c r="AE9" s="471"/>
      <c r="AF9" s="468" t="s">
        <v>299</v>
      </c>
      <c r="AG9" s="477"/>
      <c r="AH9" s="477"/>
      <c r="AI9" s="477"/>
      <c r="AJ9" s="478"/>
    </row>
    <row r="10" s="444" customFormat="1" ht="60" customHeight="1" spans="1:36">
      <c r="A10" s="479" t="s">
        <v>306</v>
      </c>
      <c r="B10" s="480" t="str">
        <f>主卡!AR19</f>
        <v>你的回合结束时，如果你本回合主动移动过至少3个战术格，获得4SP。
每进入一个新的阶段，获得的SP+1</v>
      </c>
      <c r="C10" s="481"/>
      <c r="D10" s="481"/>
      <c r="E10" s="481"/>
      <c r="F10" s="465"/>
      <c r="G10" s="483"/>
      <c r="H10" s="484"/>
      <c r="I10" s="484"/>
      <c r="J10" s="484"/>
      <c r="K10" s="484"/>
      <c r="L10" s="485" t="s">
        <v>301</v>
      </c>
      <c r="M10" s="487"/>
      <c r="N10" s="487"/>
      <c r="O10" s="487"/>
      <c r="P10" s="487"/>
      <c r="Q10" s="485" t="s">
        <v>301</v>
      </c>
      <c r="R10" s="487"/>
      <c r="S10" s="487"/>
      <c r="T10" s="487"/>
      <c r="U10" s="487"/>
      <c r="V10" s="485" t="s">
        <v>301</v>
      </c>
      <c r="W10" s="487"/>
      <c r="X10" s="487"/>
      <c r="Y10" s="487"/>
      <c r="Z10" s="487"/>
      <c r="AA10" s="485" t="s">
        <v>301</v>
      </c>
      <c r="AB10" s="487"/>
      <c r="AC10" s="487"/>
      <c r="AD10" s="487"/>
      <c r="AE10" s="487"/>
      <c r="AF10" s="485"/>
      <c r="AG10" s="488"/>
      <c r="AH10" s="488"/>
      <c r="AI10" s="488"/>
      <c r="AJ10" s="489"/>
    </row>
    <row r="11" s="444" customFormat="1" ht="20" customHeight="1" spans="1:36">
      <c r="A11" s="490"/>
      <c r="B11" s="490"/>
      <c r="C11" s="490"/>
      <c r="D11" s="490"/>
      <c r="E11" s="490"/>
      <c r="F11" s="491" t="s">
        <v>307</v>
      </c>
      <c r="G11" s="459" t="s">
        <v>308</v>
      </c>
      <c r="H11" s="460"/>
      <c r="I11" s="460"/>
      <c r="J11" s="460"/>
      <c r="K11" s="460"/>
      <c r="L11" s="460"/>
      <c r="M11" s="460"/>
      <c r="N11" s="460"/>
      <c r="O11" s="460"/>
      <c r="P11" s="460"/>
      <c r="Q11" s="460"/>
      <c r="R11" s="460"/>
      <c r="S11" s="460"/>
      <c r="T11" s="460"/>
      <c r="U11" s="460"/>
      <c r="V11" s="460"/>
      <c r="W11" s="460"/>
      <c r="X11" s="460"/>
      <c r="Y11" s="460"/>
      <c r="Z11" s="460"/>
      <c r="AA11" s="460"/>
      <c r="AB11" s="460"/>
      <c r="AC11" s="460"/>
      <c r="AD11" s="460"/>
      <c r="AE11" s="460"/>
      <c r="AF11" s="460" t="s">
        <v>309</v>
      </c>
      <c r="AG11" s="460"/>
      <c r="AH11" s="460"/>
      <c r="AI11" s="460"/>
      <c r="AJ11" s="461"/>
    </row>
    <row r="12" s="444" customFormat="1" ht="60" customHeight="1" spans="1:36">
      <c r="A12" s="492" t="s">
        <v>310</v>
      </c>
      <c r="B12" s="493" t="str">
        <f>主卡!AP13</f>
        <v>=DISPIMG("ID_2FB619546A2944C291EBF3957FDE2776",1)</v>
      </c>
      <c r="C12" s="494"/>
      <c r="D12" s="494"/>
      <c r="E12" s="494"/>
      <c r="F12" s="465"/>
      <c r="G12" s="466" t="s">
        <v>292</v>
      </c>
      <c r="H12" s="495"/>
      <c r="I12" s="495"/>
      <c r="J12" s="495"/>
      <c r="K12" s="495"/>
      <c r="L12" s="468" t="s">
        <v>293</v>
      </c>
      <c r="M12" s="469">
        <v>0</v>
      </c>
      <c r="N12" s="470">
        <v>0</v>
      </c>
      <c r="O12" s="468" t="s">
        <v>294</v>
      </c>
      <c r="P12" s="471"/>
      <c r="Q12" s="468" t="s">
        <v>293</v>
      </c>
      <c r="R12" s="469">
        <v>0</v>
      </c>
      <c r="S12" s="470">
        <v>0</v>
      </c>
      <c r="T12" s="468" t="s">
        <v>294</v>
      </c>
      <c r="U12" s="471"/>
      <c r="V12" s="468" t="s">
        <v>293</v>
      </c>
      <c r="W12" s="469">
        <v>0</v>
      </c>
      <c r="X12" s="470">
        <v>0</v>
      </c>
      <c r="Y12" s="468" t="s">
        <v>294</v>
      </c>
      <c r="Z12" s="471"/>
      <c r="AA12" s="468" t="s">
        <v>293</v>
      </c>
      <c r="AB12" s="469">
        <v>0</v>
      </c>
      <c r="AC12" s="470">
        <v>0</v>
      </c>
      <c r="AD12" s="468" t="s">
        <v>294</v>
      </c>
      <c r="AE12" s="471"/>
      <c r="AF12" s="468" t="s">
        <v>295</v>
      </c>
      <c r="AG12" s="472"/>
      <c r="AH12" s="472"/>
      <c r="AI12" s="472"/>
      <c r="AJ12" s="473"/>
    </row>
    <row r="13" s="444" customFormat="1" ht="60" customHeight="1" spans="1:36">
      <c r="A13" s="496"/>
      <c r="B13" s="494"/>
      <c r="C13" s="494"/>
      <c r="D13" s="494"/>
      <c r="E13" s="494"/>
      <c r="F13" s="465"/>
      <c r="G13" s="466" t="s">
        <v>296</v>
      </c>
      <c r="H13" s="497"/>
      <c r="I13" s="497"/>
      <c r="J13" s="497"/>
      <c r="K13" s="497"/>
      <c r="L13" s="468" t="s">
        <v>297</v>
      </c>
      <c r="M13" s="475">
        <v>0</v>
      </c>
      <c r="N13" s="476">
        <v>0</v>
      </c>
      <c r="O13" s="468" t="s">
        <v>298</v>
      </c>
      <c r="P13" s="471"/>
      <c r="Q13" s="468" t="s">
        <v>297</v>
      </c>
      <c r="R13" s="475">
        <v>0</v>
      </c>
      <c r="S13" s="476">
        <v>0</v>
      </c>
      <c r="T13" s="468" t="s">
        <v>298</v>
      </c>
      <c r="U13" s="471"/>
      <c r="V13" s="468" t="s">
        <v>297</v>
      </c>
      <c r="W13" s="475">
        <v>0</v>
      </c>
      <c r="X13" s="476">
        <v>0</v>
      </c>
      <c r="Y13" s="468" t="s">
        <v>298</v>
      </c>
      <c r="Z13" s="471"/>
      <c r="AA13" s="468" t="s">
        <v>297</v>
      </c>
      <c r="AB13" s="475">
        <v>0</v>
      </c>
      <c r="AC13" s="476">
        <v>0</v>
      </c>
      <c r="AD13" s="468" t="s">
        <v>298</v>
      </c>
      <c r="AE13" s="471"/>
      <c r="AF13" s="468" t="s">
        <v>299</v>
      </c>
      <c r="AG13" s="477"/>
      <c r="AH13" s="477"/>
      <c r="AI13" s="477"/>
      <c r="AJ13" s="478"/>
    </row>
    <row r="14" s="444" customFormat="1" ht="60" customHeight="1" spans="1:36">
      <c r="A14" s="496"/>
      <c r="B14" s="494"/>
      <c r="C14" s="494"/>
      <c r="D14" s="494"/>
      <c r="E14" s="494"/>
      <c r="F14" s="482"/>
      <c r="G14" s="483"/>
      <c r="H14" s="498"/>
      <c r="I14" s="498"/>
      <c r="J14" s="498"/>
      <c r="K14" s="498"/>
      <c r="L14" s="485" t="s">
        <v>301</v>
      </c>
      <c r="M14" s="487"/>
      <c r="N14" s="487"/>
      <c r="O14" s="487"/>
      <c r="P14" s="487"/>
      <c r="Q14" s="485" t="s">
        <v>301</v>
      </c>
      <c r="R14" s="487"/>
      <c r="S14" s="487"/>
      <c r="T14" s="487"/>
      <c r="U14" s="487"/>
      <c r="V14" s="485" t="s">
        <v>301</v>
      </c>
      <c r="W14" s="487"/>
      <c r="X14" s="487"/>
      <c r="Y14" s="487"/>
      <c r="Z14" s="487"/>
      <c r="AA14" s="485" t="s">
        <v>301</v>
      </c>
      <c r="AB14" s="487"/>
      <c r="AC14" s="487"/>
      <c r="AD14" s="487"/>
      <c r="AE14" s="487"/>
      <c r="AF14" s="485"/>
      <c r="AG14" s="488"/>
      <c r="AH14" s="488"/>
      <c r="AI14" s="488"/>
      <c r="AJ14" s="489"/>
    </row>
    <row r="15" s="444" customFormat="1" ht="20" customHeight="1" spans="1:36">
      <c r="A15" s="499"/>
      <c r="B15" s="499"/>
      <c r="C15" s="499"/>
      <c r="D15" s="499"/>
      <c r="E15" s="499"/>
      <c r="F15" s="465" t="s">
        <v>311</v>
      </c>
      <c r="G15" s="459" t="s">
        <v>312</v>
      </c>
      <c r="H15" s="460"/>
      <c r="I15" s="460"/>
      <c r="J15" s="460"/>
      <c r="K15" s="460"/>
      <c r="L15" s="460"/>
      <c r="M15" s="460"/>
      <c r="N15" s="460"/>
      <c r="O15" s="460"/>
      <c r="P15" s="460"/>
      <c r="Q15" s="460"/>
      <c r="R15" s="460"/>
      <c r="S15" s="460"/>
      <c r="T15" s="460"/>
      <c r="U15" s="460"/>
      <c r="V15" s="460"/>
      <c r="W15" s="460"/>
      <c r="X15" s="460"/>
      <c r="Y15" s="460"/>
      <c r="Z15" s="460"/>
      <c r="AA15" s="460"/>
      <c r="AB15" s="460"/>
      <c r="AC15" s="460"/>
      <c r="AD15" s="460"/>
      <c r="AE15" s="460"/>
      <c r="AF15" s="460" t="s">
        <v>312</v>
      </c>
      <c r="AG15" s="460"/>
      <c r="AH15" s="460"/>
      <c r="AI15" s="460"/>
      <c r="AJ15" s="461"/>
    </row>
    <row r="16" s="444" customFormat="1" ht="60" customHeight="1" spans="1:36">
      <c r="A16" s="500" t="s">
        <v>313</v>
      </c>
      <c r="B16" s="501">
        <f ca="1">IFERROR(ROUNDDOWN(SUM(主卡!AK24:AM24),0),"")</f>
        <v>15</v>
      </c>
      <c r="C16" s="501"/>
      <c r="D16" s="501"/>
      <c r="E16" s="501"/>
      <c r="F16" s="465"/>
      <c r="G16" s="466" t="s">
        <v>292</v>
      </c>
      <c r="H16" s="502"/>
      <c r="I16" s="502"/>
      <c r="J16" s="502"/>
      <c r="K16" s="502"/>
      <c r="L16" s="468" t="s">
        <v>293</v>
      </c>
      <c r="M16" s="469">
        <v>0</v>
      </c>
      <c r="N16" s="470">
        <v>0</v>
      </c>
      <c r="O16" s="468" t="s">
        <v>294</v>
      </c>
      <c r="P16" s="471"/>
      <c r="Q16" s="468" t="s">
        <v>293</v>
      </c>
      <c r="R16" s="469">
        <v>0</v>
      </c>
      <c r="S16" s="470">
        <v>0</v>
      </c>
      <c r="T16" s="468" t="s">
        <v>294</v>
      </c>
      <c r="U16" s="471"/>
      <c r="V16" s="468" t="s">
        <v>293</v>
      </c>
      <c r="W16" s="469">
        <v>0</v>
      </c>
      <c r="X16" s="470">
        <v>0</v>
      </c>
      <c r="Y16" s="468" t="s">
        <v>294</v>
      </c>
      <c r="Z16" s="471"/>
      <c r="AA16" s="468" t="s">
        <v>293</v>
      </c>
      <c r="AB16" s="469">
        <v>0</v>
      </c>
      <c r="AC16" s="470">
        <v>0</v>
      </c>
      <c r="AD16" s="468" t="s">
        <v>294</v>
      </c>
      <c r="AE16" s="471"/>
      <c r="AF16" s="468" t="s">
        <v>292</v>
      </c>
      <c r="AG16" s="472"/>
      <c r="AH16" s="472"/>
      <c r="AI16" s="472"/>
      <c r="AJ16" s="473"/>
    </row>
    <row r="17" s="444" customFormat="1" ht="60" customHeight="1" spans="1:36">
      <c r="A17" s="500" t="s">
        <v>314</v>
      </c>
      <c r="B17" s="501">
        <f>IFERROR(ROUNDDOWN(SUM(主卡!AK25:AM25),0),"")</f>
        <v>3</v>
      </c>
      <c r="C17" s="501"/>
      <c r="D17" s="501"/>
      <c r="E17" s="501"/>
      <c r="F17" s="465"/>
      <c r="G17" s="466" t="s">
        <v>296</v>
      </c>
      <c r="H17" s="503"/>
      <c r="I17" s="503"/>
      <c r="J17" s="503"/>
      <c r="K17" s="503"/>
      <c r="L17" s="468" t="s">
        <v>297</v>
      </c>
      <c r="M17" s="475">
        <v>0</v>
      </c>
      <c r="N17" s="476">
        <v>0</v>
      </c>
      <c r="O17" s="468" t="s">
        <v>298</v>
      </c>
      <c r="P17" s="471"/>
      <c r="Q17" s="468" t="s">
        <v>297</v>
      </c>
      <c r="R17" s="475">
        <v>0</v>
      </c>
      <c r="S17" s="476">
        <v>0</v>
      </c>
      <c r="T17" s="468" t="s">
        <v>298</v>
      </c>
      <c r="U17" s="471"/>
      <c r="V17" s="468" t="s">
        <v>297</v>
      </c>
      <c r="W17" s="475">
        <v>0</v>
      </c>
      <c r="X17" s="476">
        <v>0</v>
      </c>
      <c r="Y17" s="468" t="s">
        <v>298</v>
      </c>
      <c r="Z17" s="471"/>
      <c r="AA17" s="468" t="s">
        <v>297</v>
      </c>
      <c r="AB17" s="475">
        <v>0</v>
      </c>
      <c r="AC17" s="476">
        <v>0</v>
      </c>
      <c r="AD17" s="468" t="s">
        <v>298</v>
      </c>
      <c r="AE17" s="471"/>
      <c r="AF17" s="468" t="s">
        <v>296</v>
      </c>
      <c r="AG17" s="477"/>
      <c r="AH17" s="477"/>
      <c r="AI17" s="477"/>
      <c r="AJ17" s="478"/>
    </row>
    <row r="18" s="444" customFormat="1" ht="60" customHeight="1" spans="1:36">
      <c r="A18" s="504" t="s">
        <v>315</v>
      </c>
      <c r="B18" s="505">
        <f>IFERROR(ROUNDDOWN(SUM(主卡!AK26:AM26),0),"")</f>
        <v>3</v>
      </c>
      <c r="C18" s="506"/>
      <c r="D18" s="506"/>
      <c r="E18" s="506"/>
      <c r="F18" s="507"/>
      <c r="G18" s="508"/>
      <c r="H18" s="509"/>
      <c r="I18" s="509"/>
      <c r="J18" s="509"/>
      <c r="K18" s="509"/>
      <c r="L18" s="510" t="s">
        <v>301</v>
      </c>
      <c r="M18" s="511"/>
      <c r="N18" s="511"/>
      <c r="O18" s="511"/>
      <c r="P18" s="511"/>
      <c r="Q18" s="510" t="s">
        <v>301</v>
      </c>
      <c r="R18" s="512"/>
      <c r="S18" s="512"/>
      <c r="T18" s="512"/>
      <c r="U18" s="512"/>
      <c r="V18" s="510" t="s">
        <v>301</v>
      </c>
      <c r="W18" s="512"/>
      <c r="X18" s="512"/>
      <c r="Y18" s="512"/>
      <c r="Z18" s="512"/>
      <c r="AA18" s="510" t="s">
        <v>301</v>
      </c>
      <c r="AB18" s="511"/>
      <c r="AC18" s="511"/>
      <c r="AD18" s="511"/>
      <c r="AE18" s="511"/>
      <c r="AF18" s="510"/>
      <c r="AG18" s="513"/>
      <c r="AH18" s="513"/>
      <c r="AI18" s="513"/>
      <c r="AJ18" s="514"/>
    </row>
    <row r="47" spans="18:18">
      <c r="R47"/>
    </row>
  </sheetData>
  <sheetProtection selectLockedCells="1" formatCells="0" formatColumns="0" formatRows="0" insertRows="0" insertColumns="0" insertHyperlinks="0" deleteColumns="0" deleteRows="0" sort="0" autoFilter="0" pivotTables="0"/>
  <mergeCells count="86">
    <mergeCell ref="B1:C1"/>
    <mergeCell ref="D1:E1"/>
    <mergeCell ref="L1:P1"/>
    <mergeCell ref="Q1:U1"/>
    <mergeCell ref="V1:Z1"/>
    <mergeCell ref="AA1:AE1"/>
    <mergeCell ref="AF1:AJ1"/>
    <mergeCell ref="G3:K3"/>
    <mergeCell ref="L3:P3"/>
    <mergeCell ref="Q3:U3"/>
    <mergeCell ref="V3:Z3"/>
    <mergeCell ref="AA3:AE3"/>
    <mergeCell ref="AF3:AJ3"/>
    <mergeCell ref="H4:K4"/>
    <mergeCell ref="AG4:AJ4"/>
    <mergeCell ref="B6:E6"/>
    <mergeCell ref="M6:P6"/>
    <mergeCell ref="R6:U6"/>
    <mergeCell ref="W6:Z6"/>
    <mergeCell ref="AB6:AE6"/>
    <mergeCell ref="G7:K7"/>
    <mergeCell ref="L7:P7"/>
    <mergeCell ref="Q7:U7"/>
    <mergeCell ref="V7:Z7"/>
    <mergeCell ref="AA7:AE7"/>
    <mergeCell ref="AF7:AJ7"/>
    <mergeCell ref="H8:K8"/>
    <mergeCell ref="AG8:AJ8"/>
    <mergeCell ref="B10:E10"/>
    <mergeCell ref="M10:P10"/>
    <mergeCell ref="R10:U10"/>
    <mergeCell ref="W10:Z10"/>
    <mergeCell ref="AB10:AE10"/>
    <mergeCell ref="G11:K11"/>
    <mergeCell ref="L11:P11"/>
    <mergeCell ref="Q11:U11"/>
    <mergeCell ref="V11:Z11"/>
    <mergeCell ref="AA11:AE11"/>
    <mergeCell ref="AF11:AJ11"/>
    <mergeCell ref="H12:K12"/>
    <mergeCell ref="AG12:AJ12"/>
    <mergeCell ref="M14:P14"/>
    <mergeCell ref="R14:U14"/>
    <mergeCell ref="W14:Z14"/>
    <mergeCell ref="AB14:AE14"/>
    <mergeCell ref="G15:K15"/>
    <mergeCell ref="L15:P15"/>
    <mergeCell ref="Q15:U15"/>
    <mergeCell ref="V15:Z15"/>
    <mergeCell ref="AA15:AE15"/>
    <mergeCell ref="AF15:AJ15"/>
    <mergeCell ref="B16:E16"/>
    <mergeCell ref="H16:K16"/>
    <mergeCell ref="AG16:AJ16"/>
    <mergeCell ref="B17:E17"/>
    <mergeCell ref="B18:E18"/>
    <mergeCell ref="M18:P18"/>
    <mergeCell ref="R18:U18"/>
    <mergeCell ref="W18:Z18"/>
    <mergeCell ref="AB18:AE18"/>
    <mergeCell ref="A7:A9"/>
    <mergeCell ref="A12:A14"/>
    <mergeCell ref="F3:F6"/>
    <mergeCell ref="F7:F10"/>
    <mergeCell ref="F11:F14"/>
    <mergeCell ref="F15:F18"/>
    <mergeCell ref="G5:G6"/>
    <mergeCell ref="G9:G10"/>
    <mergeCell ref="G13:G14"/>
    <mergeCell ref="G17:G18"/>
    <mergeCell ref="AF5:AF6"/>
    <mergeCell ref="AF9:AF10"/>
    <mergeCell ref="AF13:AF14"/>
    <mergeCell ref="AF17:AF18"/>
    <mergeCell ref="A4:B5"/>
    <mergeCell ref="C4:E5"/>
    <mergeCell ref="B7:E9"/>
    <mergeCell ref="B12:E14"/>
    <mergeCell ref="H13:K14"/>
    <mergeCell ref="AG13:AJ14"/>
    <mergeCell ref="H17:K18"/>
    <mergeCell ref="AG17:AJ18"/>
    <mergeCell ref="H5:K6"/>
    <mergeCell ref="AG5:AJ6"/>
    <mergeCell ref="H9:K10"/>
    <mergeCell ref="AG9:AJ10"/>
  </mergeCells>
  <conditionalFormatting sqref="M4:N5 R4:S5 M8:N9 R8:S9 W4:X5 W8:X9">
    <cfRule type="cellIs" dxfId="5" priority="4" operator="equal">
      <formula>0</formula>
    </cfRule>
  </conditionalFormatting>
  <conditionalFormatting sqref="M4 R4 W4 AB4 AB8 W8 R8 M8">
    <cfRule type="cellIs" dxfId="6" priority="1" operator="equal">
      <formula>0</formula>
    </cfRule>
  </conditionalFormatting>
  <conditionalFormatting sqref="N4 S4 X4 AC4 AC8 X8 N8 S8">
    <cfRule type="cellIs" dxfId="6" priority="2" operator="equal">
      <formula>0</formula>
    </cfRule>
  </conditionalFormatting>
  <conditionalFormatting sqref="AB4:AC5 AB8:AC9">
    <cfRule type="cellIs" dxfId="5" priority="3" operator="equal">
      <formula>0</formula>
    </cfRule>
  </conditionalFormatting>
  <conditionalFormatting sqref="M12:N13 R12:S13 W12:X13 M16:N17 R16:S17 W16:X17">
    <cfRule type="cellIs" dxfId="5" priority="32" operator="equal">
      <formula>0</formula>
    </cfRule>
  </conditionalFormatting>
  <conditionalFormatting sqref="M12 R12 W12 AB12 M16 R16 W16 AB16">
    <cfRule type="cellIs" dxfId="6" priority="29" operator="equal">
      <formula>0</formula>
    </cfRule>
  </conditionalFormatting>
  <conditionalFormatting sqref="N12 S12 X12 AC12 AC16 X16 S16 N16">
    <cfRule type="cellIs" dxfId="6" priority="30" operator="equal">
      <formula>0</formula>
    </cfRule>
  </conditionalFormatting>
  <conditionalFormatting sqref="AB12:AC13 AB16:AC17">
    <cfRule type="cellIs" dxfId="5" priority="31" operator="equal">
      <formula>0</formula>
    </cfRule>
  </conditionalFormatting>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
  </sheetPr>
  <dimension ref="A1:O37"/>
  <sheetViews>
    <sheetView zoomScale="80" zoomScaleNormal="80" workbookViewId="0">
      <pane ySplit="1" topLeftCell="A2" activePane="bottomLeft" state="frozen"/>
      <selection/>
      <selection pane="bottomLeft" activeCell="A1" sqref="A1"/>
    </sheetView>
  </sheetViews>
  <sheetFormatPr defaultColWidth="9" defaultRowHeight="14.4"/>
  <cols>
    <col min="1" max="1" width="10.6666666666667" style="255" customWidth="1"/>
    <col min="2" max="2" width="12.5555555555556" style="255" customWidth="1"/>
    <col min="3" max="3" width="47.6944444444444" style="310" customWidth="1"/>
    <col min="4" max="4" width="81.6944444444444" style="310" customWidth="1"/>
    <col min="5" max="5" width="11.1111111111111" style="255" customWidth="1"/>
    <col min="6" max="6" width="70.9259259259259" style="255" customWidth="1"/>
    <col min="7" max="7" width="7.33333333333333" style="255" customWidth="1"/>
    <col min="8" max="8" width="76" style="255" customWidth="1"/>
    <col min="9" max="9" width="12.7685185185185" style="255" customWidth="1"/>
    <col min="10" max="10" width="16.1111111111111" style="255" customWidth="1"/>
    <col min="11" max="11" width="13.5555555555556" style="255" customWidth="1"/>
    <col min="12" max="12" width="17" style="255" customWidth="1"/>
    <col min="13" max="15" width="9" style="255"/>
    <col min="16" max="16" width="10.3148148148148" style="255" customWidth="1"/>
    <col min="17" max="16384" width="9" style="255"/>
  </cols>
  <sheetData>
    <row r="1" ht="18.9" spans="1:15">
      <c r="A1" s="364" t="s">
        <v>316</v>
      </c>
      <c r="B1" s="365" t="s">
        <v>317</v>
      </c>
      <c r="C1" s="366" t="s">
        <v>318</v>
      </c>
      <c r="D1" s="366" t="s">
        <v>217</v>
      </c>
      <c r="E1" s="367" t="s">
        <v>319</v>
      </c>
      <c r="F1" s="368" t="s">
        <v>320</v>
      </c>
      <c r="G1" s="369" t="s">
        <v>321</v>
      </c>
      <c r="H1" s="370" t="s">
        <v>320</v>
      </c>
      <c r="I1" s="319" t="s">
        <v>322</v>
      </c>
      <c r="J1" s="320"/>
      <c r="K1" s="320"/>
      <c r="L1" s="321"/>
    </row>
    <row r="2" ht="18.15" spans="1:15">
      <c r="A2" s="371" t="s">
        <v>323</v>
      </c>
      <c r="B2" s="372" t="s">
        <v>324</v>
      </c>
      <c r="C2" s="373" t="s">
        <v>325</v>
      </c>
      <c r="D2" s="374" t="s">
        <v>326</v>
      </c>
      <c r="E2" s="375" t="s">
        <v>327</v>
      </c>
      <c r="F2" s="376" t="s">
        <v>328</v>
      </c>
      <c r="G2" s="377" t="s">
        <v>329</v>
      </c>
      <c r="H2" s="376" t="s">
        <v>330</v>
      </c>
      <c r="I2" s="329" t="s">
        <v>331</v>
      </c>
      <c r="J2" s="304" t="s">
        <v>332</v>
      </c>
      <c r="K2" s="304" t="s">
        <v>331</v>
      </c>
      <c r="L2" s="330" t="s">
        <v>333</v>
      </c>
    </row>
    <row r="3" ht="16.2" spans="1:15">
      <c r="A3" s="378" t="s">
        <v>334</v>
      </c>
      <c r="B3" s="113" t="s">
        <v>324</v>
      </c>
      <c r="C3" s="379" t="s">
        <v>325</v>
      </c>
      <c r="D3" s="380" t="s">
        <v>335</v>
      </c>
      <c r="E3" s="375" t="s">
        <v>336</v>
      </c>
      <c r="F3" s="376" t="s">
        <v>337</v>
      </c>
      <c r="G3" s="381" t="s">
        <v>338</v>
      </c>
      <c r="H3" s="376" t="s">
        <v>339</v>
      </c>
      <c r="I3" s="338" t="str">
        <f>_xlfn.DISPIMG("ID_F24032A0ABB24BAD95DE4231078C89A4",1)</f>
        <v>=DISPIMG("ID_F24032A0ABB24BAD95DE4231078C89A4",1)</v>
      </c>
      <c r="J3" s="382" t="s">
        <v>340</v>
      </c>
      <c r="K3" s="383" t="str">
        <f>_xlfn.DISPIMG("ID_316C90CB662848898D225F2BA6B737CC",1)</f>
        <v>=DISPIMG("ID_316C90CB662848898D225F2BA6B737CC",1)</v>
      </c>
      <c r="L3" s="384" t="s">
        <v>341</v>
      </c>
      <c r="O3" s="42"/>
    </row>
    <row r="4" ht="16.95" spans="1:15">
      <c r="A4" s="385" t="s">
        <v>342</v>
      </c>
      <c r="B4" s="113" t="s">
        <v>324</v>
      </c>
      <c r="C4" s="379" t="s">
        <v>343</v>
      </c>
      <c r="D4" s="380" t="s">
        <v>344</v>
      </c>
      <c r="E4" s="375" t="s">
        <v>345</v>
      </c>
      <c r="F4" s="376" t="s">
        <v>346</v>
      </c>
      <c r="G4" s="386" t="s">
        <v>347</v>
      </c>
      <c r="H4" s="376" t="s">
        <v>348</v>
      </c>
      <c r="I4" s="338"/>
      <c r="J4" s="382"/>
      <c r="K4" s="383"/>
      <c r="L4" s="384"/>
    </row>
    <row r="5" ht="16.2" spans="1:15">
      <c r="A5" s="385" t="s">
        <v>349</v>
      </c>
      <c r="B5" s="113" t="s">
        <v>324</v>
      </c>
      <c r="C5" s="379" t="s">
        <v>350</v>
      </c>
      <c r="D5" s="380" t="s">
        <v>351</v>
      </c>
      <c r="E5" s="375" t="s">
        <v>352</v>
      </c>
      <c r="F5" s="376" t="s">
        <v>353</v>
      </c>
      <c r="G5" s="387" t="s">
        <v>354</v>
      </c>
      <c r="H5" s="388" t="s">
        <v>355</v>
      </c>
      <c r="I5" s="338"/>
      <c r="J5" s="382"/>
      <c r="K5" s="383"/>
      <c r="L5" s="384"/>
      <c r="O5" s="42"/>
    </row>
    <row r="6" ht="16.95" spans="1:15">
      <c r="A6" s="385"/>
      <c r="B6" s="113"/>
      <c r="C6" s="379"/>
      <c r="D6" s="380"/>
      <c r="E6" s="375" t="s">
        <v>356</v>
      </c>
      <c r="F6" s="376" t="s">
        <v>357</v>
      </c>
      <c r="G6" s="389" t="s">
        <v>358</v>
      </c>
      <c r="H6" s="390" t="s">
        <v>359</v>
      </c>
      <c r="I6" s="338" t="str">
        <f>_xlfn.DISPIMG("ID_9E0615141E544072985A467390B07B49",1)</f>
        <v>=DISPIMG("ID_9E0615141E544072985A467390B07B49",1)</v>
      </c>
      <c r="J6" s="382" t="s">
        <v>360</v>
      </c>
      <c r="K6" s="383" t="str">
        <f>_xlfn.DISPIMG("ID_256465A6DA5D45AAA99BC6A000B2D0A1",1)</f>
        <v>=DISPIMG("ID_256465A6DA5D45AAA99BC6A000B2D0A1",1)</v>
      </c>
      <c r="L6" s="384" t="s">
        <v>361</v>
      </c>
    </row>
    <row r="7" ht="16.2" spans="1:15">
      <c r="A7" s="385" t="s">
        <v>362</v>
      </c>
      <c r="B7" s="113" t="s">
        <v>363</v>
      </c>
      <c r="C7" s="379" t="s">
        <v>364</v>
      </c>
      <c r="D7" s="380" t="s">
        <v>365</v>
      </c>
      <c r="E7" s="375" t="s">
        <v>366</v>
      </c>
      <c r="F7" s="376" t="s">
        <v>367</v>
      </c>
      <c r="G7" s="391" t="s">
        <v>368</v>
      </c>
      <c r="H7" s="392" t="s">
        <v>369</v>
      </c>
      <c r="I7" s="338"/>
      <c r="J7" s="382"/>
      <c r="K7" s="383"/>
      <c r="L7" s="384"/>
    </row>
    <row r="8" ht="33.15" spans="1:15">
      <c r="A8" s="393" t="s">
        <v>370</v>
      </c>
      <c r="B8" s="394" t="s">
        <v>371</v>
      </c>
      <c r="C8" s="395" t="s">
        <v>372</v>
      </c>
      <c r="D8" s="396" t="s">
        <v>373</v>
      </c>
      <c r="E8" s="375" t="s">
        <v>374</v>
      </c>
      <c r="F8" s="376" t="s">
        <v>375</v>
      </c>
      <c r="G8" s="389" t="s">
        <v>376</v>
      </c>
      <c r="H8" s="390" t="s">
        <v>377</v>
      </c>
      <c r="I8" s="338"/>
      <c r="J8" s="382"/>
      <c r="K8" s="383"/>
      <c r="L8" s="384"/>
    </row>
    <row r="9" ht="16.2" spans="1:15">
      <c r="A9" s="397" t="s">
        <v>378</v>
      </c>
      <c r="B9" s="398" t="s">
        <v>363</v>
      </c>
      <c r="C9" s="399" t="s">
        <v>379</v>
      </c>
      <c r="D9" s="400" t="s">
        <v>380</v>
      </c>
      <c r="E9" s="375" t="s">
        <v>381</v>
      </c>
      <c r="F9" s="376" t="s">
        <v>382</v>
      </c>
      <c r="G9" s="391" t="s">
        <v>383</v>
      </c>
      <c r="H9" s="392" t="s">
        <v>384</v>
      </c>
      <c r="I9" s="338" t="str">
        <f>_xlfn.DISPIMG("ID_65FCD58497EF437FA699165EA403C4BB",1)</f>
        <v>=DISPIMG("ID_65FCD58497EF437FA699165EA403C4BB",1)</v>
      </c>
      <c r="J9" s="382" t="s">
        <v>385</v>
      </c>
      <c r="K9" s="383" t="str">
        <f>_xlfn.DISPIMG("ID_B4EB322AA68242E1B2447C8B8A70DCEA",1)</f>
        <v>=DISPIMG("ID_B4EB322AA68242E1B2447C8B8A70DCEA",1)</v>
      </c>
      <c r="L9" s="384" t="s">
        <v>386</v>
      </c>
    </row>
    <row r="10" ht="49.35" spans="1:15">
      <c r="A10" s="385" t="s">
        <v>387</v>
      </c>
      <c r="B10" s="113" t="s">
        <v>363</v>
      </c>
      <c r="C10" s="379" t="s">
        <v>388</v>
      </c>
      <c r="D10" s="380" t="s">
        <v>389</v>
      </c>
      <c r="E10" s="375" t="s">
        <v>390</v>
      </c>
      <c r="F10" s="376" t="s">
        <v>391</v>
      </c>
      <c r="G10" s="389" t="s">
        <v>392</v>
      </c>
      <c r="H10" s="390" t="s">
        <v>393</v>
      </c>
      <c r="I10" s="338"/>
      <c r="J10" s="382"/>
      <c r="K10" s="383"/>
      <c r="L10" s="384"/>
    </row>
    <row r="11" ht="33.15" spans="1:15">
      <c r="A11" s="385" t="s">
        <v>394</v>
      </c>
      <c r="B11" s="113" t="s">
        <v>363</v>
      </c>
      <c r="C11" s="379" t="s">
        <v>395</v>
      </c>
      <c r="D11" s="380" t="s">
        <v>396</v>
      </c>
      <c r="E11" s="375" t="s">
        <v>397</v>
      </c>
      <c r="F11" s="376" t="s">
        <v>398</v>
      </c>
      <c r="G11" s="391" t="s">
        <v>399</v>
      </c>
      <c r="H11" s="392" t="s">
        <v>400</v>
      </c>
      <c r="I11" s="342"/>
      <c r="J11" s="401"/>
      <c r="K11" s="402"/>
      <c r="L11" s="403"/>
    </row>
    <row r="12" ht="17.7" spans="1:15">
      <c r="A12" s="385" t="s">
        <v>401</v>
      </c>
      <c r="B12" s="113" t="s">
        <v>402</v>
      </c>
      <c r="C12" s="379" t="s">
        <v>403</v>
      </c>
      <c r="D12" s="380" t="s">
        <v>404</v>
      </c>
      <c r="E12" s="375" t="s">
        <v>405</v>
      </c>
      <c r="F12" s="376" t="s">
        <v>406</v>
      </c>
      <c r="G12" s="389" t="s">
        <v>407</v>
      </c>
      <c r="H12" s="390" t="s">
        <v>408</v>
      </c>
    </row>
    <row r="13" ht="16.2" spans="1:15">
      <c r="A13" s="385"/>
      <c r="B13" s="113"/>
      <c r="C13" s="379"/>
      <c r="D13" s="380"/>
      <c r="E13" s="375" t="s">
        <v>409</v>
      </c>
      <c r="F13" s="376" t="s">
        <v>410</v>
      </c>
      <c r="G13" s="391" t="s">
        <v>411</v>
      </c>
      <c r="H13" s="392" t="s">
        <v>412</v>
      </c>
    </row>
    <row r="14" ht="33.15" spans="1:15">
      <c r="A14" s="393" t="s">
        <v>413</v>
      </c>
      <c r="B14" s="394" t="s">
        <v>371</v>
      </c>
      <c r="C14" s="395" t="s">
        <v>414</v>
      </c>
      <c r="D14" s="396" t="s">
        <v>415</v>
      </c>
      <c r="E14" s="375" t="s">
        <v>416</v>
      </c>
      <c r="F14" s="376" t="s">
        <v>417</v>
      </c>
      <c r="G14" s="389" t="s">
        <v>418</v>
      </c>
      <c r="H14" s="390" t="s">
        <v>419</v>
      </c>
    </row>
    <row r="15" ht="16.2" spans="1:15">
      <c r="A15" s="397" t="s">
        <v>136</v>
      </c>
      <c r="B15" s="398" t="s">
        <v>324</v>
      </c>
      <c r="C15" s="399" t="s">
        <v>420</v>
      </c>
      <c r="D15" s="400" t="s">
        <v>421</v>
      </c>
      <c r="E15" s="375" t="s">
        <v>422</v>
      </c>
      <c r="F15" s="376" t="s">
        <v>423</v>
      </c>
      <c r="G15" s="404" t="s">
        <v>424</v>
      </c>
      <c r="H15" s="376" t="s">
        <v>425</v>
      </c>
    </row>
    <row r="16" ht="32.4" spans="1:15">
      <c r="A16" s="385" t="s">
        <v>426</v>
      </c>
      <c r="B16" s="113" t="s">
        <v>363</v>
      </c>
      <c r="C16" s="379" t="s">
        <v>379</v>
      </c>
      <c r="D16" s="380" t="s">
        <v>427</v>
      </c>
      <c r="E16" s="375" t="s">
        <v>428</v>
      </c>
      <c r="F16" s="376" t="s">
        <v>429</v>
      </c>
      <c r="G16" s="405" t="s">
        <v>430</v>
      </c>
      <c r="H16" s="376" t="s">
        <v>431</v>
      </c>
    </row>
    <row r="17" ht="16.95" spans="1:8">
      <c r="A17" s="406" t="s">
        <v>123</v>
      </c>
      <c r="B17" s="407" t="s">
        <v>324</v>
      </c>
      <c r="C17" s="408" t="s">
        <v>432</v>
      </c>
      <c r="D17" s="409" t="s">
        <v>433</v>
      </c>
      <c r="E17" s="375" t="s">
        <v>434</v>
      </c>
      <c r="F17" s="376" t="s">
        <v>435</v>
      </c>
      <c r="G17" s="405" t="s">
        <v>436</v>
      </c>
      <c r="H17" s="376" t="s">
        <v>437</v>
      </c>
    </row>
    <row r="18" ht="33.15" spans="1:8">
      <c r="A18" s="410" t="s">
        <v>438</v>
      </c>
      <c r="B18" s="411" t="s">
        <v>317</v>
      </c>
      <c r="C18" s="412" t="s">
        <v>318</v>
      </c>
      <c r="D18" s="412" t="s">
        <v>217</v>
      </c>
      <c r="E18" s="375" t="s">
        <v>439</v>
      </c>
      <c r="F18" s="376" t="s">
        <v>440</v>
      </c>
      <c r="G18" s="405" t="s">
        <v>441</v>
      </c>
      <c r="H18" s="376" t="s">
        <v>442</v>
      </c>
    </row>
    <row r="19" ht="16.95" spans="1:8">
      <c r="A19" s="413" t="s">
        <v>443</v>
      </c>
      <c r="B19" s="414" t="s">
        <v>324</v>
      </c>
      <c r="C19" s="415" t="s">
        <v>444</v>
      </c>
      <c r="D19" s="415" t="s">
        <v>445</v>
      </c>
      <c r="E19" s="416" t="s">
        <v>446</v>
      </c>
      <c r="F19" s="416" t="s">
        <v>320</v>
      </c>
      <c r="G19" s="405" t="s">
        <v>447</v>
      </c>
      <c r="H19" s="376" t="s">
        <v>448</v>
      </c>
    </row>
    <row r="20" ht="32.4" spans="1:8">
      <c r="A20" s="413" t="s">
        <v>449</v>
      </c>
      <c r="B20" s="414" t="s">
        <v>324</v>
      </c>
      <c r="C20" s="417" t="s">
        <v>444</v>
      </c>
      <c r="D20" s="417" t="s">
        <v>450</v>
      </c>
      <c r="E20" s="418" t="s">
        <v>451</v>
      </c>
      <c r="F20" s="419" t="s">
        <v>452</v>
      </c>
      <c r="G20" s="405" t="s">
        <v>453</v>
      </c>
      <c r="H20" s="376" t="s">
        <v>454</v>
      </c>
    </row>
    <row r="21" ht="33.15" spans="1:8">
      <c r="A21" s="413" t="s">
        <v>455</v>
      </c>
      <c r="B21" s="414" t="s">
        <v>371</v>
      </c>
      <c r="C21" s="417" t="s">
        <v>456</v>
      </c>
      <c r="D21" s="417" t="s">
        <v>457</v>
      </c>
      <c r="E21" s="420" t="s">
        <v>458</v>
      </c>
      <c r="F21" s="421" t="s">
        <v>459</v>
      </c>
      <c r="G21" s="422" t="s">
        <v>460</v>
      </c>
      <c r="H21" s="376" t="s">
        <v>461</v>
      </c>
    </row>
    <row r="22" ht="33.15" spans="1:8">
      <c r="A22" s="413" t="s">
        <v>462</v>
      </c>
      <c r="B22" s="414" t="s">
        <v>463</v>
      </c>
      <c r="C22" s="417" t="s">
        <v>464</v>
      </c>
      <c r="D22" s="417" t="s">
        <v>465</v>
      </c>
      <c r="E22" s="423" t="s">
        <v>466</v>
      </c>
      <c r="F22" s="376" t="s">
        <v>467</v>
      </c>
      <c r="G22" s="424" t="s">
        <v>468</v>
      </c>
      <c r="H22" s="425" t="s">
        <v>469</v>
      </c>
    </row>
    <row r="23" ht="16.95" spans="1:8">
      <c r="A23" s="426"/>
      <c r="B23" s="54"/>
      <c r="C23" s="427"/>
      <c r="D23" s="427"/>
      <c r="E23" s="428" t="s">
        <v>470</v>
      </c>
      <c r="F23" s="428" t="s">
        <v>217</v>
      </c>
      <c r="G23" s="429" t="s">
        <v>471</v>
      </c>
      <c r="H23" s="430" t="s">
        <v>472</v>
      </c>
    </row>
    <row r="24" ht="49.35" spans="1:8">
      <c r="A24" s="426"/>
      <c r="B24" s="54"/>
      <c r="C24" s="427"/>
      <c r="D24" s="427"/>
      <c r="E24" s="431" t="s">
        <v>473</v>
      </c>
      <c r="F24" s="432" t="s">
        <v>474</v>
      </c>
      <c r="G24" s="429" t="s">
        <v>475</v>
      </c>
      <c r="H24" s="430" t="s">
        <v>476</v>
      </c>
    </row>
    <row r="25" ht="16.95" spans="1:8">
      <c r="A25" s="426"/>
      <c r="B25" s="54"/>
      <c r="C25" s="427"/>
      <c r="D25" s="427"/>
      <c r="E25" s="433"/>
      <c r="F25" s="434" t="s">
        <v>477</v>
      </c>
      <c r="G25" s="429" t="s">
        <v>478</v>
      </c>
      <c r="H25" s="430" t="s">
        <v>479</v>
      </c>
    </row>
    <row r="26" ht="16.95" spans="1:8">
      <c r="A26" s="426"/>
      <c r="B26" s="54"/>
      <c r="C26" s="427"/>
      <c r="D26" s="427"/>
      <c r="E26" s="435" t="s">
        <v>480</v>
      </c>
      <c r="F26" s="436" t="s">
        <v>481</v>
      </c>
      <c r="G26" s="429"/>
      <c r="H26" s="430"/>
    </row>
    <row r="27" ht="33.15" spans="1:8">
      <c r="A27" s="426"/>
      <c r="B27" s="54"/>
      <c r="C27" s="427"/>
      <c r="D27" s="427"/>
      <c r="E27" s="435"/>
      <c r="F27" s="436" t="s">
        <v>477</v>
      </c>
      <c r="G27" s="429" t="s">
        <v>482</v>
      </c>
      <c r="H27" s="430" t="s">
        <v>483</v>
      </c>
    </row>
    <row r="28" ht="33.15" spans="1:8">
      <c r="A28" s="426"/>
      <c r="B28" s="54"/>
      <c r="C28" s="427"/>
      <c r="D28" s="427"/>
      <c r="E28" s="437" t="s">
        <v>484</v>
      </c>
      <c r="F28" s="438" t="s">
        <v>485</v>
      </c>
      <c r="G28" s="429" t="s">
        <v>486</v>
      </c>
      <c r="H28" s="430" t="s">
        <v>487</v>
      </c>
    </row>
    <row r="29" ht="33.15" spans="1:8">
      <c r="A29" s="426"/>
      <c r="B29" s="54"/>
      <c r="C29" s="427"/>
      <c r="D29" s="427"/>
      <c r="E29" s="433"/>
      <c r="F29" s="434" t="s">
        <v>488</v>
      </c>
      <c r="G29" s="429" t="s">
        <v>489</v>
      </c>
      <c r="H29" s="430" t="s">
        <v>490</v>
      </c>
    </row>
    <row r="30" ht="33.15" spans="1:8">
      <c r="A30" s="426"/>
      <c r="B30" s="54"/>
      <c r="C30" s="427"/>
      <c r="D30" s="427"/>
      <c r="E30" s="435" t="s">
        <v>491</v>
      </c>
      <c r="F30" s="436" t="s">
        <v>485</v>
      </c>
      <c r="G30" s="429" t="s">
        <v>492</v>
      </c>
      <c r="H30" s="430" t="s">
        <v>493</v>
      </c>
    </row>
    <row r="31" ht="33.15" spans="1:8">
      <c r="A31" s="426"/>
      <c r="B31" s="54"/>
      <c r="C31" s="427"/>
      <c r="D31" s="427"/>
      <c r="E31" s="433"/>
      <c r="F31" s="434" t="s">
        <v>494</v>
      </c>
      <c r="G31" s="429" t="s">
        <v>495</v>
      </c>
      <c r="H31" s="430" t="s">
        <v>496</v>
      </c>
    </row>
    <row r="32" ht="16.95" spans="1:8">
      <c r="A32" s="426"/>
      <c r="B32" s="54"/>
      <c r="C32" s="427"/>
      <c r="D32" s="427"/>
      <c r="E32" s="435" t="s">
        <v>497</v>
      </c>
      <c r="F32" s="436" t="s">
        <v>485</v>
      </c>
      <c r="G32" s="429" t="s">
        <v>498</v>
      </c>
      <c r="H32" s="430" t="s">
        <v>499</v>
      </c>
    </row>
    <row r="33" ht="33.15" spans="1:8">
      <c r="A33" s="426"/>
      <c r="B33" s="54"/>
      <c r="C33" s="427"/>
      <c r="D33" s="427"/>
      <c r="E33" s="433"/>
      <c r="F33" s="434" t="s">
        <v>500</v>
      </c>
      <c r="G33" s="429" t="s">
        <v>501</v>
      </c>
      <c r="H33" s="430" t="s">
        <v>502</v>
      </c>
    </row>
    <row r="34" ht="33.15" spans="1:8">
      <c r="A34" s="426"/>
      <c r="B34" s="54"/>
      <c r="C34" s="427"/>
      <c r="D34" s="427"/>
      <c r="E34" s="439" t="s">
        <v>503</v>
      </c>
      <c r="F34" s="436" t="s">
        <v>504</v>
      </c>
      <c r="G34" s="429" t="s">
        <v>505</v>
      </c>
      <c r="H34" s="430" t="s">
        <v>506</v>
      </c>
    </row>
    <row r="35" ht="33.15" spans="1:8">
      <c r="A35" s="426"/>
      <c r="B35" s="54"/>
      <c r="C35" s="427"/>
      <c r="D35" s="427"/>
      <c r="E35" s="440"/>
      <c r="F35" s="441" t="s">
        <v>507</v>
      </c>
      <c r="G35" s="429" t="s">
        <v>508</v>
      </c>
      <c r="H35" s="430" t="s">
        <v>509</v>
      </c>
    </row>
    <row r="36" ht="33.15" spans="1:8">
      <c r="A36" s="426"/>
      <c r="B36" s="54"/>
      <c r="C36" s="427"/>
      <c r="D36" s="427"/>
      <c r="G36" s="429" t="s">
        <v>510</v>
      </c>
      <c r="H36" s="430" t="s">
        <v>511</v>
      </c>
    </row>
    <row r="37" ht="33.15" spans="1:8">
      <c r="A37" s="426"/>
      <c r="B37" s="54"/>
      <c r="C37" s="427"/>
      <c r="D37" s="427"/>
      <c r="G37" s="442" t="s">
        <v>512</v>
      </c>
      <c r="H37" s="443" t="s">
        <v>513</v>
      </c>
    </row>
  </sheetData>
  <sheetProtection formatCells="0" formatColumns="0" formatRows="0" insertRows="0" insertColumns="0" insertHyperlinks="0" deleteColumns="0" deleteRows="0" sort="0" autoFilter="0" pivotTables="0"/>
  <mergeCells count="27">
    <mergeCell ref="I1:L1"/>
    <mergeCell ref="A5:A6"/>
    <mergeCell ref="A12:A13"/>
    <mergeCell ref="B5:B6"/>
    <mergeCell ref="B12:B13"/>
    <mergeCell ref="C5:C6"/>
    <mergeCell ref="C12:C13"/>
    <mergeCell ref="D5:D6"/>
    <mergeCell ref="D12:D13"/>
    <mergeCell ref="E24:E25"/>
    <mergeCell ref="E26:E27"/>
    <mergeCell ref="E28:E29"/>
    <mergeCell ref="E30:E31"/>
    <mergeCell ref="E32:E33"/>
    <mergeCell ref="E34:E35"/>
    <mergeCell ref="I3:I5"/>
    <mergeCell ref="I6:I8"/>
    <mergeCell ref="I9:I11"/>
    <mergeCell ref="J3:J5"/>
    <mergeCell ref="J6:J8"/>
    <mergeCell ref="J9:J11"/>
    <mergeCell ref="K3:K5"/>
    <mergeCell ref="K6:K8"/>
    <mergeCell ref="K9:K11"/>
    <mergeCell ref="L3:L5"/>
    <mergeCell ref="L6:L8"/>
    <mergeCell ref="L9:L1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5"/>
  </sheetPr>
  <dimension ref="A1:N57"/>
  <sheetViews>
    <sheetView zoomScale="70" zoomScaleNormal="70" workbookViewId="0">
      <pane ySplit="2" topLeftCell="A3" activePane="bottomLeft" state="frozen"/>
      <selection/>
      <selection pane="bottomLeft" activeCell="C3" sqref="C3"/>
    </sheetView>
  </sheetViews>
  <sheetFormatPr defaultColWidth="9" defaultRowHeight="14.4"/>
  <cols>
    <col min="1" max="1" width="17.5" style="255" customWidth="1"/>
    <col min="2" max="2" width="8.13888888888889" style="255" customWidth="1"/>
    <col min="3" max="3" width="120.12962962963" style="310" customWidth="1"/>
    <col min="4" max="4" width="77.1666666666667" style="310" customWidth="1"/>
    <col min="5" max="5" width="26" style="255" customWidth="1"/>
    <col min="6" max="6" width="9.63888888888889" style="255" customWidth="1"/>
    <col min="7" max="7" width="72.9166666666667" style="310" customWidth="1"/>
    <col min="8" max="8" width="75.3796296296296" style="310" customWidth="1"/>
    <col min="9" max="9" width="16.1388888888889" style="255" customWidth="1"/>
    <col min="10" max="10" width="8.13888888888889" style="255" customWidth="1"/>
    <col min="11" max="11" width="106.537037037037" style="255" customWidth="1"/>
    <col min="12" max="12" width="62.6851851851852" style="255" customWidth="1"/>
    <col min="13" max="16" width="10.6388888888889" style="255" customWidth="1"/>
    <col min="17" max="16384" width="9" style="255"/>
  </cols>
  <sheetData>
    <row r="1" ht="18.15" spans="1:14">
      <c r="A1" s="311" t="s">
        <v>514</v>
      </c>
      <c r="B1" s="312"/>
      <c r="C1" s="313"/>
      <c r="D1" s="314"/>
      <c r="E1" s="315" t="s">
        <v>515</v>
      </c>
      <c r="F1" s="316"/>
      <c r="G1" s="317"/>
      <c r="H1" s="318"/>
      <c r="I1" s="319" t="s">
        <v>516</v>
      </c>
      <c r="J1" s="320"/>
      <c r="K1" s="320"/>
      <c r="L1" s="321"/>
    </row>
    <row r="2" ht="32.4" spans="1:14">
      <c r="A2" s="322" t="s">
        <v>249</v>
      </c>
      <c r="B2" s="323" t="s">
        <v>252</v>
      </c>
      <c r="C2" s="324" t="s">
        <v>250</v>
      </c>
      <c r="D2" s="325" t="s">
        <v>251</v>
      </c>
      <c r="E2" s="326" t="s">
        <v>249</v>
      </c>
      <c r="F2" s="298" t="s">
        <v>252</v>
      </c>
      <c r="G2" s="327" t="s">
        <v>250</v>
      </c>
      <c r="H2" s="328" t="s">
        <v>251</v>
      </c>
      <c r="I2" s="329" t="s">
        <v>249</v>
      </c>
      <c r="J2" s="304" t="s">
        <v>252</v>
      </c>
      <c r="K2" s="304" t="s">
        <v>250</v>
      </c>
      <c r="L2" s="330" t="s">
        <v>251</v>
      </c>
      <c r="N2" s="331"/>
    </row>
    <row r="3" ht="124.8" spans="1:14">
      <c r="A3" s="332" t="s">
        <v>517</v>
      </c>
      <c r="B3" s="333">
        <v>0</v>
      </c>
      <c r="C3" s="262" t="s">
        <v>518</v>
      </c>
      <c r="D3" s="334" t="s">
        <v>519</v>
      </c>
      <c r="E3" s="335" t="s">
        <v>520</v>
      </c>
      <c r="F3" s="333">
        <v>0</v>
      </c>
      <c r="G3" s="336" t="s">
        <v>521</v>
      </c>
      <c r="H3" s="337" t="s">
        <v>522</v>
      </c>
      <c r="I3" s="338" t="s">
        <v>523</v>
      </c>
      <c r="J3" s="339">
        <v>0</v>
      </c>
      <c r="K3" s="262" t="s">
        <v>524</v>
      </c>
      <c r="L3" s="337" t="s">
        <v>525</v>
      </c>
    </row>
    <row r="4" ht="93.6" spans="1:14">
      <c r="A4" s="332" t="s">
        <v>526</v>
      </c>
      <c r="B4" s="333">
        <v>0</v>
      </c>
      <c r="C4" s="262" t="s">
        <v>527</v>
      </c>
      <c r="D4" s="334" t="s">
        <v>528</v>
      </c>
      <c r="E4" s="335" t="s">
        <v>529</v>
      </c>
      <c r="F4" s="333">
        <v>5</v>
      </c>
      <c r="G4" s="336" t="s">
        <v>530</v>
      </c>
      <c r="H4" s="337" t="s">
        <v>531</v>
      </c>
      <c r="I4" s="338" t="s">
        <v>532</v>
      </c>
      <c r="J4" s="339">
        <v>0</v>
      </c>
      <c r="K4" s="262" t="s">
        <v>533</v>
      </c>
      <c r="L4" s="337" t="s">
        <v>534</v>
      </c>
    </row>
    <row r="5" ht="93.6" spans="1:14">
      <c r="A5" s="332" t="s">
        <v>535</v>
      </c>
      <c r="B5" s="333">
        <v>0</v>
      </c>
      <c r="C5" s="262" t="s">
        <v>536</v>
      </c>
      <c r="D5" s="334" t="s">
        <v>537</v>
      </c>
      <c r="E5" s="335" t="s">
        <v>538</v>
      </c>
      <c r="F5" s="333">
        <v>25</v>
      </c>
      <c r="G5" s="336" t="s">
        <v>539</v>
      </c>
      <c r="H5" s="340" t="s">
        <v>540</v>
      </c>
      <c r="I5" s="338" t="s">
        <v>541</v>
      </c>
      <c r="J5" s="339">
        <v>0</v>
      </c>
      <c r="K5" s="262" t="s">
        <v>542</v>
      </c>
      <c r="L5" s="337" t="s">
        <v>543</v>
      </c>
    </row>
    <row r="6" ht="124.8" spans="1:14">
      <c r="A6" s="332" t="s">
        <v>544</v>
      </c>
      <c r="B6" s="333">
        <v>0</v>
      </c>
      <c r="C6" s="262" t="s">
        <v>545</v>
      </c>
      <c r="D6" s="334" t="s">
        <v>546</v>
      </c>
      <c r="E6" s="335" t="s">
        <v>547</v>
      </c>
      <c r="F6" s="333">
        <v>0</v>
      </c>
      <c r="G6" s="336" t="s">
        <v>548</v>
      </c>
      <c r="H6" s="337" t="s">
        <v>549</v>
      </c>
      <c r="I6" s="338" t="s">
        <v>550</v>
      </c>
      <c r="J6" s="339">
        <v>0</v>
      </c>
      <c r="K6" s="262" t="s">
        <v>551</v>
      </c>
      <c r="L6" s="337" t="s">
        <v>552</v>
      </c>
    </row>
    <row r="7" ht="93.6" spans="1:14">
      <c r="A7" s="332" t="s">
        <v>553</v>
      </c>
      <c r="B7" s="333">
        <v>0</v>
      </c>
      <c r="C7" s="262" t="s">
        <v>554</v>
      </c>
      <c r="D7" s="334" t="s">
        <v>555</v>
      </c>
      <c r="E7" s="335" t="s">
        <v>556</v>
      </c>
      <c r="F7" s="333">
        <v>10</v>
      </c>
      <c r="G7" s="336" t="s">
        <v>557</v>
      </c>
      <c r="H7" s="340" t="s">
        <v>558</v>
      </c>
      <c r="I7" s="338" t="s">
        <v>559</v>
      </c>
      <c r="J7" s="339">
        <v>0</v>
      </c>
      <c r="K7" s="262" t="s">
        <v>560</v>
      </c>
      <c r="L7" s="337" t="s">
        <v>561</v>
      </c>
    </row>
    <row r="8" ht="93.6" spans="1:14">
      <c r="A8" s="332" t="s">
        <v>562</v>
      </c>
      <c r="B8" s="333">
        <v>0</v>
      </c>
      <c r="C8" s="262" t="s">
        <v>563</v>
      </c>
      <c r="D8" s="334" t="s">
        <v>564</v>
      </c>
      <c r="E8" s="335" t="s">
        <v>565</v>
      </c>
      <c r="F8" s="333">
        <v>-15</v>
      </c>
      <c r="G8" s="336" t="s">
        <v>566</v>
      </c>
      <c r="H8" s="337" t="s">
        <v>567</v>
      </c>
      <c r="I8" s="338" t="s">
        <v>568</v>
      </c>
      <c r="J8" s="339">
        <v>0</v>
      </c>
      <c r="K8" s="262" t="s">
        <v>569</v>
      </c>
      <c r="L8" s="337" t="s">
        <v>570</v>
      </c>
    </row>
    <row r="9" ht="109.2" spans="1:14">
      <c r="A9" s="332" t="s">
        <v>571</v>
      </c>
      <c r="B9" s="333">
        <v>0</v>
      </c>
      <c r="C9" s="262" t="s">
        <v>572</v>
      </c>
      <c r="D9" s="334" t="s">
        <v>573</v>
      </c>
      <c r="E9" s="335" t="s">
        <v>574</v>
      </c>
      <c r="F9" s="333">
        <v>-5</v>
      </c>
      <c r="G9" s="336" t="s">
        <v>575</v>
      </c>
      <c r="H9" s="340" t="s">
        <v>576</v>
      </c>
      <c r="I9" s="338" t="s">
        <v>577</v>
      </c>
      <c r="J9" s="339">
        <v>0</v>
      </c>
      <c r="K9" s="262" t="s">
        <v>578</v>
      </c>
      <c r="L9" s="337" t="s">
        <v>579</v>
      </c>
    </row>
    <row r="10" ht="109.2" spans="1:14">
      <c r="A10" s="332" t="s">
        <v>580</v>
      </c>
      <c r="B10" s="333">
        <v>0</v>
      </c>
      <c r="C10" s="262" t="s">
        <v>581</v>
      </c>
      <c r="D10" s="334" t="s">
        <v>582</v>
      </c>
      <c r="E10" s="335" t="s">
        <v>583</v>
      </c>
      <c r="F10" s="333">
        <v>15</v>
      </c>
      <c r="G10" s="336" t="s">
        <v>584</v>
      </c>
      <c r="H10" s="337" t="s">
        <v>585</v>
      </c>
      <c r="I10" s="338" t="s">
        <v>586</v>
      </c>
      <c r="J10" s="339">
        <v>0</v>
      </c>
      <c r="K10" s="262" t="s">
        <v>587</v>
      </c>
      <c r="L10" s="337" t="s">
        <v>588</v>
      </c>
    </row>
    <row r="11" ht="93.6" spans="1:14">
      <c r="A11" s="332" t="s">
        <v>589</v>
      </c>
      <c r="B11" s="333">
        <v>0</v>
      </c>
      <c r="C11" s="262" t="s">
        <v>590</v>
      </c>
      <c r="D11" s="334" t="s">
        <v>591</v>
      </c>
      <c r="E11" s="335" t="s">
        <v>592</v>
      </c>
      <c r="F11" s="333">
        <v>25</v>
      </c>
      <c r="G11" s="336" t="s">
        <v>593</v>
      </c>
      <c r="H11" s="340" t="s">
        <v>594</v>
      </c>
      <c r="I11" s="338" t="s">
        <v>595</v>
      </c>
      <c r="J11" s="341">
        <v>15</v>
      </c>
      <c r="K11" s="262" t="s">
        <v>596</v>
      </c>
      <c r="L11" s="337" t="s">
        <v>597</v>
      </c>
    </row>
    <row r="12" ht="93.6" spans="1:14">
      <c r="A12" s="332" t="s">
        <v>598</v>
      </c>
      <c r="B12" s="333">
        <v>0</v>
      </c>
      <c r="C12" s="262" t="s">
        <v>599</v>
      </c>
      <c r="D12" s="334" t="s">
        <v>600</v>
      </c>
      <c r="E12" s="335" t="s">
        <v>601</v>
      </c>
      <c r="F12" s="333">
        <v>15</v>
      </c>
      <c r="G12" s="336" t="s">
        <v>602</v>
      </c>
      <c r="H12" s="337" t="s">
        <v>603</v>
      </c>
      <c r="I12" s="338" t="s">
        <v>604</v>
      </c>
      <c r="J12" s="341">
        <v>0</v>
      </c>
      <c r="K12" s="262" t="s">
        <v>605</v>
      </c>
      <c r="L12" s="337" t="s">
        <v>606</v>
      </c>
    </row>
    <row r="13" ht="109.95" spans="1:14">
      <c r="A13" s="332" t="s">
        <v>607</v>
      </c>
      <c r="B13" s="333">
        <v>0</v>
      </c>
      <c r="C13" s="262" t="s">
        <v>608</v>
      </c>
      <c r="D13" s="334" t="s">
        <v>609</v>
      </c>
      <c r="E13" s="335" t="s">
        <v>610</v>
      </c>
      <c r="F13" s="333">
        <v>35</v>
      </c>
      <c r="G13" s="336" t="s">
        <v>611</v>
      </c>
      <c r="H13" s="340" t="s">
        <v>612</v>
      </c>
      <c r="I13" s="342" t="s">
        <v>613</v>
      </c>
      <c r="J13" s="343">
        <v>0</v>
      </c>
      <c r="K13" s="270" t="s">
        <v>614</v>
      </c>
      <c r="L13" s="344" t="s">
        <v>615</v>
      </c>
    </row>
    <row r="14" ht="110.7" spans="1:14">
      <c r="A14" s="332" t="s">
        <v>616</v>
      </c>
      <c r="B14" s="333">
        <v>0</v>
      </c>
      <c r="C14" s="262" t="s">
        <v>617</v>
      </c>
      <c r="D14" s="334" t="s">
        <v>618</v>
      </c>
      <c r="E14" s="335" t="s">
        <v>619</v>
      </c>
      <c r="F14" s="333">
        <v>10</v>
      </c>
      <c r="G14" s="336" t="s">
        <v>620</v>
      </c>
      <c r="H14" s="337" t="s">
        <v>621</v>
      </c>
      <c r="I14" s="342" t="s">
        <v>622</v>
      </c>
      <c r="J14" s="345"/>
      <c r="K14" s="346"/>
      <c r="L14" s="347"/>
    </row>
    <row r="15" ht="94.35" spans="1:14">
      <c r="A15" s="332" t="s">
        <v>623</v>
      </c>
      <c r="B15" s="333">
        <v>0</v>
      </c>
      <c r="C15" s="262" t="s">
        <v>624</v>
      </c>
      <c r="D15" s="334" t="s">
        <v>625</v>
      </c>
      <c r="E15" s="335" t="s">
        <v>626</v>
      </c>
      <c r="F15" s="333">
        <v>10</v>
      </c>
      <c r="G15" s="336" t="s">
        <v>627</v>
      </c>
      <c r="H15" s="340" t="s">
        <v>628</v>
      </c>
      <c r="I15" s="348"/>
      <c r="J15" s="348"/>
      <c r="K15" s="348"/>
      <c r="L15" s="348"/>
    </row>
    <row r="16" ht="93.6" spans="1:14">
      <c r="A16" s="332" t="s">
        <v>629</v>
      </c>
      <c r="B16" s="333">
        <v>0</v>
      </c>
      <c r="C16" s="262" t="s">
        <v>630</v>
      </c>
      <c r="D16" s="334" t="s">
        <v>631</v>
      </c>
      <c r="E16" s="335" t="s">
        <v>632</v>
      </c>
      <c r="F16" s="333">
        <v>5</v>
      </c>
      <c r="G16" s="336" t="s">
        <v>633</v>
      </c>
      <c r="H16" s="340" t="s">
        <v>634</v>
      </c>
      <c r="I16" s="349" t="s">
        <v>635</v>
      </c>
      <c r="J16" s="348" t="str">
        <f>IFERROR(VLOOKUP(主卡!X14,I3:J14,2,0),"")</f>
        <v/>
      </c>
      <c r="K16" s="348"/>
      <c r="L16" s="348"/>
    </row>
    <row r="17" ht="78" spans="1:12">
      <c r="A17" s="332" t="s">
        <v>636</v>
      </c>
      <c r="B17" s="333">
        <v>0</v>
      </c>
      <c r="C17" s="262" t="s">
        <v>637</v>
      </c>
      <c r="D17" s="334" t="s">
        <v>638</v>
      </c>
      <c r="E17" s="335"/>
      <c r="F17" s="350"/>
      <c r="G17" s="336"/>
      <c r="H17" s="337"/>
      <c r="I17" s="348"/>
      <c r="J17" s="348"/>
      <c r="K17" s="348"/>
      <c r="L17" s="348"/>
    </row>
    <row r="18" ht="78" spans="1:12">
      <c r="A18" s="332" t="s">
        <v>639</v>
      </c>
      <c r="B18" s="333">
        <v>0</v>
      </c>
      <c r="C18" s="262" t="s">
        <v>640</v>
      </c>
      <c r="D18" s="334" t="s">
        <v>641</v>
      </c>
      <c r="E18" s="335" t="s">
        <v>642</v>
      </c>
      <c r="F18" s="333">
        <v>-10</v>
      </c>
      <c r="G18" s="336" t="s">
        <v>643</v>
      </c>
      <c r="H18" s="337" t="s">
        <v>644</v>
      </c>
      <c r="I18" s="348"/>
      <c r="J18" s="348"/>
      <c r="K18" s="348"/>
      <c r="L18" s="348"/>
    </row>
    <row r="19" ht="109.2" spans="1:12">
      <c r="A19" s="332" t="s">
        <v>645</v>
      </c>
      <c r="B19" s="333">
        <v>0</v>
      </c>
      <c r="C19" s="262" t="s">
        <v>646</v>
      </c>
      <c r="D19" s="334" t="s">
        <v>647</v>
      </c>
      <c r="E19" s="335" t="s">
        <v>648</v>
      </c>
      <c r="F19" s="333">
        <v>10</v>
      </c>
      <c r="G19" s="336" t="s">
        <v>649</v>
      </c>
      <c r="H19" s="340" t="s">
        <v>650</v>
      </c>
      <c r="I19" s="348"/>
      <c r="J19" s="348"/>
      <c r="K19" s="348"/>
      <c r="L19" s="348"/>
    </row>
    <row r="20" ht="124.8" spans="1:12">
      <c r="A20" s="332" t="s">
        <v>651</v>
      </c>
      <c r="B20" s="333">
        <v>0</v>
      </c>
      <c r="C20" s="262" t="s">
        <v>652</v>
      </c>
      <c r="D20" s="334" t="s">
        <v>653</v>
      </c>
      <c r="E20" s="335" t="s">
        <v>654</v>
      </c>
      <c r="F20" s="333">
        <v>0</v>
      </c>
      <c r="G20" s="336" t="s">
        <v>655</v>
      </c>
      <c r="H20" s="340" t="s">
        <v>656</v>
      </c>
      <c r="I20" s="348"/>
      <c r="J20" s="348"/>
      <c r="K20" s="348"/>
      <c r="L20" s="348"/>
    </row>
    <row r="21" ht="109.2" spans="1:12">
      <c r="A21" s="332" t="s">
        <v>657</v>
      </c>
      <c r="B21" s="333">
        <v>0</v>
      </c>
      <c r="C21" s="262" t="s">
        <v>658</v>
      </c>
      <c r="D21" s="334" t="s">
        <v>659</v>
      </c>
      <c r="E21" s="335" t="s">
        <v>660</v>
      </c>
      <c r="F21" s="350">
        <v>10</v>
      </c>
      <c r="G21" s="336" t="s">
        <v>661</v>
      </c>
      <c r="H21" s="340" t="s">
        <v>662</v>
      </c>
      <c r="I21" s="348"/>
      <c r="J21" s="348"/>
      <c r="K21" s="348"/>
      <c r="L21" s="348"/>
    </row>
    <row r="22" ht="109.2" spans="1:12">
      <c r="A22" s="332" t="s">
        <v>663</v>
      </c>
      <c r="B22" s="333">
        <v>0</v>
      </c>
      <c r="C22" s="262" t="s">
        <v>664</v>
      </c>
      <c r="D22" s="334" t="s">
        <v>665</v>
      </c>
      <c r="E22" s="335" t="s">
        <v>666</v>
      </c>
      <c r="F22" s="333">
        <v>0</v>
      </c>
      <c r="G22" s="336" t="s">
        <v>667</v>
      </c>
      <c r="H22" s="351" t="s">
        <v>668</v>
      </c>
      <c r="I22" s="348"/>
      <c r="J22" s="348"/>
      <c r="K22" s="348"/>
      <c r="L22" s="348"/>
    </row>
    <row r="23" ht="109.2" spans="1:12">
      <c r="A23" s="332" t="s">
        <v>669</v>
      </c>
      <c r="B23" s="333">
        <v>0</v>
      </c>
      <c r="C23" s="262" t="s">
        <v>670</v>
      </c>
      <c r="D23" s="334" t="s">
        <v>671</v>
      </c>
      <c r="E23" s="335" t="s">
        <v>672</v>
      </c>
      <c r="F23" s="333">
        <v>20</v>
      </c>
      <c r="G23" s="336" t="s">
        <v>673</v>
      </c>
      <c r="H23" s="340" t="s">
        <v>674</v>
      </c>
      <c r="I23" s="348"/>
      <c r="J23" s="348"/>
      <c r="K23" s="348"/>
      <c r="L23" s="348"/>
    </row>
    <row r="24" ht="109.2" spans="1:12">
      <c r="A24" s="332" t="s">
        <v>675</v>
      </c>
      <c r="B24" s="333">
        <v>0</v>
      </c>
      <c r="C24" s="262" t="s">
        <v>676</v>
      </c>
      <c r="D24" s="334" t="s">
        <v>677</v>
      </c>
      <c r="E24" s="335" t="s">
        <v>678</v>
      </c>
      <c r="F24" s="333">
        <v>0</v>
      </c>
      <c r="G24" s="336" t="s">
        <v>679</v>
      </c>
      <c r="H24" s="337" t="s">
        <v>680</v>
      </c>
      <c r="I24" s="348"/>
      <c r="J24" s="348"/>
      <c r="K24" s="348"/>
      <c r="L24" s="348"/>
    </row>
    <row r="25" ht="62.4" spans="1:12">
      <c r="A25" s="332" t="s">
        <v>681</v>
      </c>
      <c r="B25" s="333">
        <v>-40</v>
      </c>
      <c r="C25" s="262" t="s">
        <v>682</v>
      </c>
      <c r="D25" s="334" t="s">
        <v>683</v>
      </c>
      <c r="E25" s="335" t="s">
        <v>684</v>
      </c>
      <c r="F25" s="350">
        <v>10</v>
      </c>
      <c r="G25" s="352" t="s">
        <v>685</v>
      </c>
      <c r="H25" s="340" t="s">
        <v>686</v>
      </c>
      <c r="I25" s="348"/>
      <c r="J25" s="348"/>
      <c r="K25" s="348"/>
      <c r="L25" s="348"/>
    </row>
    <row r="26" ht="109.2" spans="1:12">
      <c r="A26" s="332" t="s">
        <v>687</v>
      </c>
      <c r="B26" s="333">
        <v>0</v>
      </c>
      <c r="C26" s="262" t="s">
        <v>688</v>
      </c>
      <c r="D26" s="334" t="s">
        <v>689</v>
      </c>
      <c r="E26" s="335" t="s">
        <v>690</v>
      </c>
      <c r="F26" s="333">
        <v>15</v>
      </c>
      <c r="G26" s="336" t="s">
        <v>691</v>
      </c>
      <c r="H26" s="337" t="s">
        <v>692</v>
      </c>
      <c r="I26" s="348"/>
      <c r="J26" s="348"/>
      <c r="K26" s="348"/>
      <c r="L26" s="348"/>
    </row>
    <row r="27" ht="109.2" spans="1:12">
      <c r="A27" s="332" t="s">
        <v>693</v>
      </c>
      <c r="B27" s="333">
        <v>0</v>
      </c>
      <c r="C27" s="262" t="s">
        <v>694</v>
      </c>
      <c r="D27" s="334" t="s">
        <v>695</v>
      </c>
      <c r="E27" s="353" t="s">
        <v>696</v>
      </c>
      <c r="F27" s="333">
        <v>25</v>
      </c>
      <c r="G27" s="352" t="s">
        <v>697</v>
      </c>
      <c r="H27" s="340" t="s">
        <v>698</v>
      </c>
      <c r="I27" s="348"/>
      <c r="J27" s="348"/>
      <c r="K27" s="348"/>
      <c r="L27" s="348"/>
    </row>
    <row r="28" ht="109.2" spans="1:12">
      <c r="A28" s="332" t="s">
        <v>699</v>
      </c>
      <c r="B28" s="333">
        <v>40</v>
      </c>
      <c r="C28" s="262" t="s">
        <v>700</v>
      </c>
      <c r="D28" s="334" t="s">
        <v>701</v>
      </c>
      <c r="E28" s="335" t="s">
        <v>702</v>
      </c>
      <c r="F28" s="333">
        <v>-10</v>
      </c>
      <c r="G28" s="336" t="s">
        <v>703</v>
      </c>
      <c r="H28" s="337" t="s">
        <v>704</v>
      </c>
      <c r="I28" s="348"/>
      <c r="J28" s="348"/>
      <c r="K28" s="348"/>
      <c r="L28" s="348"/>
    </row>
    <row r="29" ht="93.6" spans="1:12">
      <c r="A29" s="332" t="s">
        <v>705</v>
      </c>
      <c r="B29" s="333">
        <v>40</v>
      </c>
      <c r="C29" s="262" t="s">
        <v>706</v>
      </c>
      <c r="D29" s="334" t="s">
        <v>707</v>
      </c>
      <c r="E29" s="335" t="s">
        <v>708</v>
      </c>
      <c r="F29" s="333">
        <v>0</v>
      </c>
      <c r="G29" s="336" t="s">
        <v>709</v>
      </c>
      <c r="H29" s="340" t="s">
        <v>710</v>
      </c>
      <c r="I29" s="348"/>
      <c r="J29" s="348"/>
      <c r="K29" s="348"/>
      <c r="L29" s="348"/>
    </row>
    <row r="30" ht="109.2" spans="1:12">
      <c r="A30" s="332" t="s">
        <v>711</v>
      </c>
      <c r="B30" s="333">
        <v>0</v>
      </c>
      <c r="C30" s="262" t="s">
        <v>712</v>
      </c>
      <c r="D30" s="334" t="s">
        <v>713</v>
      </c>
      <c r="E30" s="335" t="s">
        <v>714</v>
      </c>
      <c r="F30" s="333">
        <v>-20</v>
      </c>
      <c r="G30" s="336" t="s">
        <v>715</v>
      </c>
      <c r="H30" s="340" t="s">
        <v>716</v>
      </c>
      <c r="I30" s="348"/>
      <c r="J30" s="348"/>
      <c r="K30" s="348"/>
      <c r="L30" s="348"/>
    </row>
    <row r="31" ht="109.2" spans="1:12">
      <c r="A31" s="332" t="s">
        <v>717</v>
      </c>
      <c r="B31" s="333">
        <v>0</v>
      </c>
      <c r="C31" s="262" t="s">
        <v>718</v>
      </c>
      <c r="D31" s="334" t="s">
        <v>719</v>
      </c>
      <c r="E31" s="335" t="s">
        <v>720</v>
      </c>
      <c r="F31" s="333">
        <v>0</v>
      </c>
      <c r="G31" s="336" t="s">
        <v>721</v>
      </c>
      <c r="H31" s="340" t="s">
        <v>722</v>
      </c>
      <c r="I31" s="348"/>
      <c r="J31" s="348"/>
      <c r="K31" s="348"/>
      <c r="L31" s="348"/>
    </row>
    <row r="32" ht="109.2" spans="1:12">
      <c r="A32" s="332" t="s">
        <v>723</v>
      </c>
      <c r="B32" s="333">
        <v>10</v>
      </c>
      <c r="C32" s="262" t="s">
        <v>724</v>
      </c>
      <c r="D32" s="334" t="s">
        <v>725</v>
      </c>
      <c r="E32" s="335" t="s">
        <v>726</v>
      </c>
      <c r="F32" s="350">
        <v>25</v>
      </c>
      <c r="G32" s="336" t="s">
        <v>727</v>
      </c>
      <c r="H32" s="340" t="s">
        <v>728</v>
      </c>
      <c r="I32" s="348"/>
      <c r="J32" s="348"/>
      <c r="K32" s="348"/>
      <c r="L32" s="348"/>
    </row>
    <row r="33" ht="78" spans="1:12">
      <c r="A33" s="332" t="s">
        <v>729</v>
      </c>
      <c r="B33" s="333">
        <v>10</v>
      </c>
      <c r="C33" s="262" t="s">
        <v>730</v>
      </c>
      <c r="D33" s="334" t="s">
        <v>731</v>
      </c>
      <c r="E33" s="335" t="s">
        <v>732</v>
      </c>
      <c r="F33" s="333">
        <v>0</v>
      </c>
      <c r="G33" s="336" t="s">
        <v>733</v>
      </c>
      <c r="H33" s="337" t="s">
        <v>734</v>
      </c>
      <c r="I33" s="348"/>
      <c r="J33" s="348"/>
      <c r="K33" s="348"/>
      <c r="L33" s="348"/>
    </row>
    <row r="34" ht="124.8" spans="1:12">
      <c r="A34" s="332" t="s">
        <v>735</v>
      </c>
      <c r="B34" s="333">
        <v>-20</v>
      </c>
      <c r="C34" s="262" t="s">
        <v>736</v>
      </c>
      <c r="D34" s="334" t="s">
        <v>737</v>
      </c>
      <c r="E34" s="335" t="s">
        <v>738</v>
      </c>
      <c r="F34" s="350">
        <v>20</v>
      </c>
      <c r="G34" s="336" t="s">
        <v>739</v>
      </c>
      <c r="H34" s="340" t="s">
        <v>740</v>
      </c>
      <c r="I34" s="348"/>
      <c r="J34" s="348"/>
      <c r="K34" s="348"/>
      <c r="L34" s="348"/>
    </row>
    <row r="35" ht="125.55" spans="1:12">
      <c r="A35" s="354" t="s">
        <v>741</v>
      </c>
      <c r="B35" s="355"/>
      <c r="C35" s="270"/>
      <c r="D35" s="356"/>
      <c r="E35" s="335" t="s">
        <v>742</v>
      </c>
      <c r="F35" s="333">
        <v>-10</v>
      </c>
      <c r="G35" s="336" t="s">
        <v>743</v>
      </c>
      <c r="H35" s="337" t="s">
        <v>744</v>
      </c>
      <c r="I35" s="348"/>
      <c r="J35" s="348"/>
      <c r="K35" s="348"/>
      <c r="L35" s="348"/>
    </row>
    <row r="36" ht="78.75" spans="1:12">
      <c r="A36" s="349"/>
      <c r="B36" s="349"/>
      <c r="C36" s="357"/>
      <c r="D36" s="358"/>
      <c r="E36" s="335" t="s">
        <v>745</v>
      </c>
      <c r="F36" s="333">
        <v>0</v>
      </c>
      <c r="G36" s="336" t="s">
        <v>746</v>
      </c>
      <c r="H36" s="340" t="s">
        <v>747</v>
      </c>
      <c r="I36" s="348"/>
      <c r="J36" s="348"/>
      <c r="K36" s="348"/>
      <c r="L36" s="348"/>
    </row>
    <row r="37" ht="62.4" spans="1:12">
      <c r="A37" s="349" t="s">
        <v>635</v>
      </c>
      <c r="B37" s="349" t="str">
        <f>IFERROR(VLOOKUP(主卡!L14,A3:B35,2,0),"")</f>
        <v/>
      </c>
      <c r="C37" s="357"/>
      <c r="D37" s="358"/>
      <c r="E37" s="335" t="s">
        <v>748</v>
      </c>
      <c r="F37" s="333">
        <v>-10</v>
      </c>
      <c r="G37" s="336" t="s">
        <v>749</v>
      </c>
      <c r="H37" s="337" t="s">
        <v>750</v>
      </c>
      <c r="I37" s="348"/>
      <c r="J37" s="348"/>
      <c r="K37" s="348"/>
      <c r="L37" s="348"/>
    </row>
    <row r="38" ht="78" spans="1:12">
      <c r="A38" s="349"/>
      <c r="B38" s="349"/>
      <c r="C38" s="357"/>
      <c r="D38" s="358"/>
      <c r="E38" s="335" t="s">
        <v>751</v>
      </c>
      <c r="F38" s="333">
        <v>20</v>
      </c>
      <c r="G38" s="336" t="s">
        <v>752</v>
      </c>
      <c r="H38" s="340" t="s">
        <v>753</v>
      </c>
      <c r="I38" s="348"/>
      <c r="J38" s="348"/>
      <c r="K38" s="348"/>
      <c r="L38" s="348"/>
    </row>
    <row r="39" ht="109.2" spans="1:12">
      <c r="A39" s="349"/>
      <c r="B39" s="349"/>
      <c r="C39" s="357"/>
      <c r="D39" s="358"/>
      <c r="E39" s="335" t="s">
        <v>754</v>
      </c>
      <c r="F39" s="333">
        <v>30</v>
      </c>
      <c r="G39" s="336" t="s">
        <v>755</v>
      </c>
      <c r="H39" s="337" t="s">
        <v>756</v>
      </c>
      <c r="I39" s="348"/>
      <c r="J39" s="348"/>
      <c r="K39" s="348"/>
      <c r="L39" s="348"/>
    </row>
    <row r="40" ht="78" spans="1:12">
      <c r="A40" s="349"/>
      <c r="B40" s="349"/>
      <c r="C40" s="357"/>
      <c r="D40" s="358"/>
      <c r="E40" s="335" t="s">
        <v>757</v>
      </c>
      <c r="F40" s="333">
        <v>30</v>
      </c>
      <c r="G40" s="336" t="s">
        <v>758</v>
      </c>
      <c r="H40" s="340" t="s">
        <v>759</v>
      </c>
      <c r="I40" s="348"/>
      <c r="J40" s="348"/>
      <c r="K40" s="348"/>
      <c r="L40" s="348"/>
    </row>
    <row r="41" ht="78" spans="1:12">
      <c r="A41" s="348"/>
      <c r="B41" s="348"/>
      <c r="C41" s="358"/>
      <c r="D41" s="358"/>
      <c r="E41" s="335" t="s">
        <v>760</v>
      </c>
      <c r="F41" s="333">
        <v>-20</v>
      </c>
      <c r="G41" s="336" t="s">
        <v>761</v>
      </c>
      <c r="H41" s="337" t="s">
        <v>762</v>
      </c>
      <c r="I41" s="348"/>
      <c r="J41" s="348"/>
      <c r="K41" s="348"/>
      <c r="L41" s="348"/>
    </row>
    <row r="42" ht="62.4" spans="1:12">
      <c r="A42" s="348"/>
      <c r="B42" s="348"/>
      <c r="C42" s="358"/>
      <c r="D42" s="358"/>
      <c r="E42" s="335" t="s">
        <v>763</v>
      </c>
      <c r="F42" s="333">
        <v>-15</v>
      </c>
      <c r="G42" s="336" t="s">
        <v>764</v>
      </c>
      <c r="H42" s="340" t="s">
        <v>765</v>
      </c>
      <c r="I42" s="348"/>
      <c r="J42" s="348"/>
      <c r="K42" s="348"/>
      <c r="L42" s="348"/>
    </row>
    <row r="43" ht="62.4" spans="1:12">
      <c r="A43" s="348"/>
      <c r="B43" s="348"/>
      <c r="C43" s="358"/>
      <c r="D43" s="358"/>
      <c r="E43" s="335" t="s">
        <v>766</v>
      </c>
      <c r="F43" s="333">
        <v>-20</v>
      </c>
      <c r="G43" s="336" t="s">
        <v>767</v>
      </c>
      <c r="H43" s="337" t="s">
        <v>768</v>
      </c>
      <c r="I43" s="348"/>
      <c r="J43" s="348"/>
      <c r="K43" s="348"/>
      <c r="L43" s="348"/>
    </row>
    <row r="44" ht="93.6" spans="1:12">
      <c r="A44" s="348"/>
      <c r="B44" s="348"/>
      <c r="C44" s="358"/>
      <c r="D44" s="358"/>
      <c r="E44" s="335" t="s">
        <v>769</v>
      </c>
      <c r="F44" s="333">
        <v>20</v>
      </c>
      <c r="G44" s="336" t="s">
        <v>770</v>
      </c>
      <c r="H44" s="340" t="s">
        <v>771</v>
      </c>
      <c r="I44" s="348"/>
      <c r="J44" s="348"/>
      <c r="K44" s="348"/>
      <c r="L44" s="348"/>
    </row>
    <row r="45" ht="78" spans="1:12">
      <c r="A45" s="348"/>
      <c r="B45" s="348"/>
      <c r="C45" s="358"/>
      <c r="D45" s="358"/>
      <c r="E45" s="335" t="s">
        <v>772</v>
      </c>
      <c r="F45" s="333">
        <v>20</v>
      </c>
      <c r="G45" s="336" t="s">
        <v>773</v>
      </c>
      <c r="H45" s="340" t="s">
        <v>774</v>
      </c>
      <c r="I45" s="348"/>
      <c r="J45" s="348"/>
      <c r="K45" s="348"/>
      <c r="L45" s="348"/>
    </row>
    <row r="46" ht="16.2" spans="1:12">
      <c r="A46" s="348"/>
      <c r="B46" s="348"/>
      <c r="C46" s="358"/>
      <c r="D46" s="358"/>
      <c r="E46" s="335"/>
      <c r="F46" s="333"/>
      <c r="G46" s="336"/>
      <c r="H46" s="337"/>
      <c r="I46" s="348"/>
      <c r="J46" s="348"/>
      <c r="K46" s="348"/>
      <c r="L46" s="348"/>
    </row>
    <row r="47" ht="62.4" spans="1:12">
      <c r="A47" s="348"/>
      <c r="B47" s="348"/>
      <c r="C47" s="358"/>
      <c r="D47" s="358"/>
      <c r="E47" s="335" t="s">
        <v>775</v>
      </c>
      <c r="F47" s="333">
        <v>20</v>
      </c>
      <c r="G47" s="336" t="s">
        <v>776</v>
      </c>
      <c r="H47" s="337" t="s">
        <v>777</v>
      </c>
      <c r="I47" s="348"/>
      <c r="J47" s="348"/>
      <c r="K47" s="348"/>
      <c r="L47" s="348"/>
    </row>
    <row r="48" ht="93.6" spans="1:12">
      <c r="A48" s="348"/>
      <c r="B48" s="348"/>
      <c r="C48" s="358"/>
      <c r="D48" s="358"/>
      <c r="E48" s="335" t="s">
        <v>778</v>
      </c>
      <c r="F48" s="333">
        <v>40</v>
      </c>
      <c r="G48" s="336" t="s">
        <v>779</v>
      </c>
      <c r="H48" s="340" t="s">
        <v>780</v>
      </c>
      <c r="I48" s="348"/>
      <c r="J48" s="348"/>
      <c r="K48" s="348"/>
      <c r="L48" s="348"/>
    </row>
    <row r="49" ht="156" spans="1:12">
      <c r="A49" s="348"/>
      <c r="B49" s="348"/>
      <c r="C49" s="358"/>
      <c r="D49" s="358"/>
      <c r="E49" s="335" t="s">
        <v>781</v>
      </c>
      <c r="F49" s="333">
        <v>70</v>
      </c>
      <c r="G49" s="336" t="s">
        <v>782</v>
      </c>
      <c r="H49" s="340" t="s">
        <v>783</v>
      </c>
      <c r="I49" s="348"/>
      <c r="J49" s="348"/>
      <c r="K49" s="348"/>
      <c r="L49" s="348"/>
    </row>
    <row r="50" ht="187.2" spans="1:12">
      <c r="A50" s="348"/>
      <c r="B50" s="348"/>
      <c r="C50" s="358"/>
      <c r="D50" s="358"/>
      <c r="E50" s="335" t="s">
        <v>784</v>
      </c>
      <c r="F50" s="333">
        <v>90</v>
      </c>
      <c r="G50" s="336" t="s">
        <v>782</v>
      </c>
      <c r="H50" s="340" t="s">
        <v>785</v>
      </c>
      <c r="I50" s="348"/>
      <c r="J50" s="348"/>
      <c r="K50" s="348"/>
      <c r="L50" s="348"/>
    </row>
    <row r="51" ht="78" spans="1:12">
      <c r="A51" s="348"/>
      <c r="B51" s="348"/>
      <c r="C51" s="358"/>
      <c r="D51" s="358"/>
      <c r="E51" s="335" t="s">
        <v>786</v>
      </c>
      <c r="F51" s="333">
        <v>20</v>
      </c>
      <c r="G51" s="336" t="s">
        <v>787</v>
      </c>
      <c r="H51" s="337" t="s">
        <v>788</v>
      </c>
      <c r="I51" s="348"/>
      <c r="J51" s="348"/>
      <c r="K51" s="348"/>
      <c r="L51" s="348"/>
    </row>
    <row r="52" ht="78" spans="1:12">
      <c r="A52" s="348"/>
      <c r="B52" s="348"/>
      <c r="C52" s="358"/>
      <c r="D52" s="358"/>
      <c r="E52" s="335" t="s">
        <v>789</v>
      </c>
      <c r="F52" s="333">
        <v>30</v>
      </c>
      <c r="G52" s="336" t="s">
        <v>790</v>
      </c>
      <c r="H52" s="340" t="s">
        <v>791</v>
      </c>
      <c r="I52" s="348"/>
      <c r="J52" s="348"/>
      <c r="K52" s="348"/>
      <c r="L52" s="348"/>
    </row>
    <row r="53" ht="93.6" spans="1:12">
      <c r="A53" s="348"/>
      <c r="B53" s="348"/>
      <c r="C53" s="358"/>
      <c r="D53" s="358"/>
      <c r="E53" s="335" t="s">
        <v>792</v>
      </c>
      <c r="F53" s="333">
        <v>0</v>
      </c>
      <c r="G53" s="336" t="s">
        <v>793</v>
      </c>
      <c r="H53" s="337" t="s">
        <v>794</v>
      </c>
      <c r="I53" s="348"/>
      <c r="J53" s="348"/>
      <c r="K53" s="348"/>
      <c r="L53" s="348"/>
    </row>
    <row r="54" ht="124.8" spans="1:12">
      <c r="A54" s="348"/>
      <c r="B54" s="348"/>
      <c r="C54" s="358"/>
      <c r="D54" s="358"/>
      <c r="E54" s="335" t="s">
        <v>795</v>
      </c>
      <c r="F54" s="255">
        <v>10</v>
      </c>
      <c r="G54" s="336" t="s">
        <v>796</v>
      </c>
      <c r="H54" s="340" t="s">
        <v>797</v>
      </c>
      <c r="I54" s="348"/>
      <c r="J54" s="348"/>
      <c r="K54" s="348"/>
      <c r="L54" s="348"/>
    </row>
    <row r="55" ht="16.95" spans="1:12">
      <c r="A55" s="348"/>
      <c r="B55" s="348"/>
      <c r="C55" s="358"/>
      <c r="D55" s="358"/>
      <c r="E55" s="359" t="s">
        <v>798</v>
      </c>
      <c r="F55" s="360"/>
      <c r="G55" s="361"/>
      <c r="H55" s="344"/>
      <c r="I55" s="348"/>
      <c r="J55" s="348"/>
      <c r="K55" s="348"/>
      <c r="L55" s="348"/>
    </row>
    <row r="56" ht="16.35" spans="1:12">
      <c r="A56" s="348"/>
      <c r="B56" s="348"/>
      <c r="C56" s="358"/>
      <c r="D56" s="358"/>
      <c r="E56"/>
      <c r="F56"/>
      <c r="G56"/>
      <c r="H56" s="362"/>
      <c r="I56" s="348"/>
      <c r="J56" s="348"/>
      <c r="K56" s="348"/>
      <c r="L56" s="348"/>
    </row>
    <row r="57" spans="1:12">
      <c r="E57" s="331" t="s">
        <v>635</v>
      </c>
      <c r="F57" s="363" t="str">
        <f>IFERROR(VLOOKUP(主卡!R14,E3:F55,2,0),"")</f>
        <v/>
      </c>
    </row>
  </sheetData>
  <sheetProtection formatCells="0" formatColumns="0" formatRows="0" insertRows="0" insertColumns="0" insertHyperlinks="0" deleteColumns="0" deleteRows="0" sort="0" autoFilter="0" pivotTables="0"/>
  <autoFilter xmlns:etc="http://www.wps.cn/officeDocument/2017/etCustomData" ref="A2:L45" etc:filterBottomFollowUsedRange="0">
    <extLst/>
  </autoFilter>
  <mergeCells count="3">
    <mergeCell ref="A1:D1"/>
    <mergeCell ref="E1:H1"/>
    <mergeCell ref="I1:L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25"/>
  </sheetPr>
  <dimension ref="A1:F172"/>
  <sheetViews>
    <sheetView zoomScale="90" zoomScaleNormal="90" workbookViewId="0">
      <selection activeCell="F2" sqref="F2"/>
    </sheetView>
  </sheetViews>
  <sheetFormatPr defaultColWidth="8.73148148148148" defaultRowHeight="16.2" outlineLevelCol="5"/>
  <cols>
    <col min="1" max="1" width="5.73148148148148" customWidth="1"/>
    <col min="2" max="2" width="9.73148148148148" customWidth="1"/>
    <col min="3" max="3" width="22.8148148148148" style="289" customWidth="1"/>
    <col min="4" max="4" width="63.1111111111111" style="289" customWidth="1"/>
    <col min="5" max="5" width="81" style="289" customWidth="1"/>
    <col min="6" max="6" width="16" style="289" customWidth="1"/>
  </cols>
  <sheetData>
    <row r="1" spans="1:6">
      <c r="A1" s="290" t="s">
        <v>799</v>
      </c>
      <c r="B1" s="290" t="s">
        <v>800</v>
      </c>
      <c r="C1" s="290" t="s">
        <v>249</v>
      </c>
      <c r="D1" s="290" t="s">
        <v>250</v>
      </c>
      <c r="E1" s="290" t="s">
        <v>251</v>
      </c>
      <c r="F1" s="290" t="s">
        <v>252</v>
      </c>
    </row>
    <row r="2" ht="129.6" spans="1:6">
      <c r="A2" s="291">
        <v>1</v>
      </c>
      <c r="B2" s="292" t="s">
        <v>801</v>
      </c>
      <c r="C2" s="293" t="s">
        <v>802</v>
      </c>
      <c r="D2" s="294" t="s">
        <v>803</v>
      </c>
      <c r="E2" s="294" t="s">
        <v>804</v>
      </c>
      <c r="F2" s="294">
        <v>0</v>
      </c>
    </row>
    <row r="3" ht="32.4" spans="1:6">
      <c r="A3" s="291">
        <v>2</v>
      </c>
      <c r="B3" s="292" t="s">
        <v>801</v>
      </c>
      <c r="C3" s="293" t="s">
        <v>805</v>
      </c>
      <c r="D3" s="294" t="s">
        <v>806</v>
      </c>
      <c r="E3" s="294" t="s">
        <v>807</v>
      </c>
      <c r="F3" s="294">
        <v>-10</v>
      </c>
    </row>
    <row r="4" ht="48.6" spans="1:6">
      <c r="A4" s="291">
        <v>3</v>
      </c>
      <c r="B4" s="292" t="s">
        <v>801</v>
      </c>
      <c r="C4" s="293" t="s">
        <v>808</v>
      </c>
      <c r="D4" s="294" t="s">
        <v>809</v>
      </c>
      <c r="E4" s="294" t="s">
        <v>810</v>
      </c>
      <c r="F4" s="294">
        <v>0</v>
      </c>
    </row>
    <row r="5" ht="32.4" spans="1:6">
      <c r="A5" s="291">
        <v>4</v>
      </c>
      <c r="B5" s="292" t="s">
        <v>801</v>
      </c>
      <c r="C5" s="293" t="s">
        <v>811</v>
      </c>
      <c r="D5" s="294" t="s">
        <v>812</v>
      </c>
      <c r="E5" s="294" t="s">
        <v>813</v>
      </c>
      <c r="F5" s="294">
        <v>10</v>
      </c>
    </row>
    <row r="6" ht="32.4" spans="1:6">
      <c r="A6" s="291">
        <v>5</v>
      </c>
      <c r="B6" s="292" t="s">
        <v>801</v>
      </c>
      <c r="C6" s="293" t="s">
        <v>814</v>
      </c>
      <c r="D6" s="294" t="s">
        <v>815</v>
      </c>
      <c r="E6" s="294" t="s">
        <v>816</v>
      </c>
      <c r="F6" s="294">
        <v>10</v>
      </c>
    </row>
    <row r="7" ht="32.4" spans="1:6">
      <c r="A7" s="291">
        <v>6</v>
      </c>
      <c r="B7" s="292" t="s">
        <v>801</v>
      </c>
      <c r="C7" s="293" t="s">
        <v>817</v>
      </c>
      <c r="D7" s="294" t="s">
        <v>818</v>
      </c>
      <c r="E7" s="294" t="s">
        <v>819</v>
      </c>
      <c r="F7" s="294">
        <v>20</v>
      </c>
    </row>
    <row r="8" ht="32.4" spans="1:6">
      <c r="A8" s="291">
        <v>7</v>
      </c>
      <c r="B8" s="292" t="s">
        <v>801</v>
      </c>
      <c r="C8" s="293" t="s">
        <v>820</v>
      </c>
      <c r="D8" s="294" t="s">
        <v>821</v>
      </c>
      <c r="E8" s="294" t="s">
        <v>822</v>
      </c>
      <c r="F8" s="294">
        <v>10</v>
      </c>
    </row>
    <row r="9" spans="1:6">
      <c r="A9" s="291">
        <v>8</v>
      </c>
      <c r="B9" s="292" t="s">
        <v>801</v>
      </c>
      <c r="C9" s="293" t="s">
        <v>823</v>
      </c>
      <c r="D9" s="294" t="s">
        <v>824</v>
      </c>
      <c r="E9" s="294" t="s">
        <v>825</v>
      </c>
      <c r="F9" s="294">
        <v>15</v>
      </c>
    </row>
    <row r="10" ht="32.4" spans="1:6">
      <c r="A10" s="291">
        <v>9</v>
      </c>
      <c r="B10" s="292" t="s">
        <v>801</v>
      </c>
      <c r="C10" s="293" t="s">
        <v>826</v>
      </c>
      <c r="D10" s="294" t="s">
        <v>827</v>
      </c>
      <c r="E10" s="294" t="s">
        <v>828</v>
      </c>
      <c r="F10" s="294">
        <v>10</v>
      </c>
    </row>
    <row r="11" ht="32.4" spans="1:6">
      <c r="A11" s="291">
        <v>10</v>
      </c>
      <c r="B11" s="292" t="s">
        <v>801</v>
      </c>
      <c r="C11" s="293" t="s">
        <v>829</v>
      </c>
      <c r="D11" s="294" t="s">
        <v>830</v>
      </c>
      <c r="E11" s="294" t="s">
        <v>831</v>
      </c>
      <c r="F11" s="294">
        <v>10</v>
      </c>
    </row>
    <row r="12" ht="97.2" spans="1:6">
      <c r="A12" s="291">
        <v>11</v>
      </c>
      <c r="B12" s="292" t="s">
        <v>801</v>
      </c>
      <c r="C12" s="293" t="s">
        <v>832</v>
      </c>
      <c r="D12" s="294" t="s">
        <v>833</v>
      </c>
      <c r="E12" s="294" t="s">
        <v>834</v>
      </c>
      <c r="F12" s="294">
        <v>30</v>
      </c>
    </row>
    <row r="13" ht="32.4" spans="1:6">
      <c r="A13" s="291">
        <v>12</v>
      </c>
      <c r="B13" s="292" t="s">
        <v>801</v>
      </c>
      <c r="C13" s="293" t="s">
        <v>835</v>
      </c>
      <c r="D13" s="294" t="s">
        <v>836</v>
      </c>
      <c r="E13" s="294" t="s">
        <v>837</v>
      </c>
      <c r="F13" s="294">
        <v>-15</v>
      </c>
    </row>
    <row r="14" ht="64.8" spans="1:6">
      <c r="A14" s="291">
        <v>13</v>
      </c>
      <c r="B14" s="292" t="s">
        <v>801</v>
      </c>
      <c r="C14" s="293" t="s">
        <v>838</v>
      </c>
      <c r="D14" s="294" t="s">
        <v>839</v>
      </c>
      <c r="E14" s="294" t="s">
        <v>840</v>
      </c>
      <c r="F14" s="294">
        <v>10</v>
      </c>
    </row>
    <row r="15" ht="48.6" spans="1:6">
      <c r="A15" s="291">
        <v>14</v>
      </c>
      <c r="B15" s="292" t="s">
        <v>801</v>
      </c>
      <c r="C15" s="293" t="s">
        <v>841</v>
      </c>
      <c r="D15" s="294" t="s">
        <v>842</v>
      </c>
      <c r="E15" s="294" t="s">
        <v>843</v>
      </c>
      <c r="F15" s="294">
        <v>5</v>
      </c>
    </row>
    <row r="16" ht="64.8" spans="1:6">
      <c r="A16" s="291">
        <v>15</v>
      </c>
      <c r="B16" s="292" t="s">
        <v>801</v>
      </c>
      <c r="C16" s="293" t="s">
        <v>844</v>
      </c>
      <c r="D16" s="294" t="s">
        <v>845</v>
      </c>
      <c r="E16" s="294" t="s">
        <v>846</v>
      </c>
      <c r="F16" s="294">
        <v>10</v>
      </c>
    </row>
    <row r="17" ht="48.6" spans="1:6">
      <c r="A17" s="291">
        <v>16</v>
      </c>
      <c r="B17" s="292" t="s">
        <v>801</v>
      </c>
      <c r="C17" s="293" t="s">
        <v>847</v>
      </c>
      <c r="D17" s="294" t="s">
        <v>848</v>
      </c>
      <c r="E17" s="294" t="s">
        <v>849</v>
      </c>
      <c r="F17" s="294">
        <v>-5</v>
      </c>
    </row>
    <row r="18" ht="81" spans="1:6">
      <c r="A18" s="291">
        <v>17</v>
      </c>
      <c r="B18" s="292" t="s">
        <v>801</v>
      </c>
      <c r="C18" s="293" t="s">
        <v>850</v>
      </c>
      <c r="D18" s="294" t="s">
        <v>851</v>
      </c>
      <c r="E18" s="294" t="s">
        <v>852</v>
      </c>
      <c r="F18" s="294">
        <v>20</v>
      </c>
    </row>
    <row r="19" ht="32.4" spans="1:6">
      <c r="A19" s="291">
        <v>18</v>
      </c>
      <c r="B19" s="292" t="s">
        <v>801</v>
      </c>
      <c r="C19" s="293" t="s">
        <v>853</v>
      </c>
      <c r="D19" s="294" t="s">
        <v>854</v>
      </c>
      <c r="E19" s="294" t="s">
        <v>855</v>
      </c>
      <c r="F19" s="294">
        <v>20</v>
      </c>
    </row>
    <row r="20" spans="1:6">
      <c r="A20" s="291">
        <v>19</v>
      </c>
      <c r="B20" s="292" t="s">
        <v>801</v>
      </c>
      <c r="C20" s="293" t="s">
        <v>856</v>
      </c>
      <c r="D20" s="294" t="s">
        <v>857</v>
      </c>
      <c r="E20" s="294" t="s">
        <v>858</v>
      </c>
      <c r="F20" s="294">
        <v>10</v>
      </c>
    </row>
    <row r="21" spans="1:6">
      <c r="A21" s="291">
        <v>20</v>
      </c>
      <c r="B21" s="292" t="s">
        <v>801</v>
      </c>
      <c r="C21" s="293" t="s">
        <v>859</v>
      </c>
      <c r="D21" s="294" t="s">
        <v>860</v>
      </c>
      <c r="E21" s="294" t="s">
        <v>861</v>
      </c>
      <c r="F21" s="294">
        <v>10</v>
      </c>
    </row>
    <row r="22" spans="1:6">
      <c r="A22" s="291">
        <v>21</v>
      </c>
      <c r="B22" s="292" t="s">
        <v>801</v>
      </c>
      <c r="C22" s="293" t="s">
        <v>862</v>
      </c>
      <c r="D22" s="294" t="s">
        <v>863</v>
      </c>
      <c r="E22" s="294" t="s">
        <v>864</v>
      </c>
      <c r="F22" s="294">
        <v>10</v>
      </c>
    </row>
    <row r="23" ht="32.4" spans="1:6">
      <c r="A23" s="291">
        <v>22</v>
      </c>
      <c r="B23" s="292" t="s">
        <v>801</v>
      </c>
      <c r="C23" s="293" t="s">
        <v>865</v>
      </c>
      <c r="D23" s="294" t="s">
        <v>866</v>
      </c>
      <c r="E23" s="294" t="s">
        <v>810</v>
      </c>
      <c r="F23" s="294">
        <v>0</v>
      </c>
    </row>
    <row r="24" ht="64.8" spans="1:6">
      <c r="A24" s="291">
        <v>23</v>
      </c>
      <c r="B24" s="292" t="s">
        <v>801</v>
      </c>
      <c r="C24" s="293" t="s">
        <v>867</v>
      </c>
      <c r="D24" s="294" t="s">
        <v>868</v>
      </c>
      <c r="E24" s="294" t="s">
        <v>869</v>
      </c>
      <c r="F24" s="294">
        <v>10</v>
      </c>
    </row>
    <row r="25" ht="48.6" spans="1:6">
      <c r="A25" s="291">
        <v>24</v>
      </c>
      <c r="B25" s="292" t="s">
        <v>801</v>
      </c>
      <c r="C25" s="293" t="s">
        <v>870</v>
      </c>
      <c r="D25" s="294" t="s">
        <v>871</v>
      </c>
      <c r="E25" s="294" t="s">
        <v>872</v>
      </c>
      <c r="F25" s="294">
        <v>10</v>
      </c>
    </row>
    <row r="26" ht="32.4" spans="1:6">
      <c r="A26" s="291">
        <v>25</v>
      </c>
      <c r="B26" s="292" t="s">
        <v>801</v>
      </c>
      <c r="C26" s="293" t="s">
        <v>873</v>
      </c>
      <c r="D26" s="294" t="s">
        <v>874</v>
      </c>
      <c r="E26" s="294" t="s">
        <v>810</v>
      </c>
      <c r="F26" s="294">
        <v>0</v>
      </c>
    </row>
    <row r="27" ht="64.8" spans="1:6">
      <c r="A27" s="291">
        <v>26</v>
      </c>
      <c r="B27" s="292" t="s">
        <v>801</v>
      </c>
      <c r="C27" s="293" t="s">
        <v>875</v>
      </c>
      <c r="D27" s="294" t="s">
        <v>876</v>
      </c>
      <c r="E27" s="294" t="s">
        <v>877</v>
      </c>
      <c r="F27" s="294">
        <v>5</v>
      </c>
    </row>
    <row r="28" ht="32.4" spans="1:6">
      <c r="A28" s="291">
        <v>27</v>
      </c>
      <c r="B28" s="292" t="s">
        <v>801</v>
      </c>
      <c r="C28" s="293" t="s">
        <v>878</v>
      </c>
      <c r="D28" s="294" t="s">
        <v>879</v>
      </c>
      <c r="E28" s="294" t="s">
        <v>880</v>
      </c>
      <c r="F28" s="294">
        <v>5</v>
      </c>
    </row>
    <row r="29" ht="81" spans="1:6">
      <c r="A29" s="291">
        <v>28</v>
      </c>
      <c r="B29" s="292" t="s">
        <v>801</v>
      </c>
      <c r="C29" s="293" t="s">
        <v>881</v>
      </c>
      <c r="D29" s="294" t="s">
        <v>882</v>
      </c>
      <c r="E29" s="294" t="s">
        <v>883</v>
      </c>
      <c r="F29" s="294">
        <v>5</v>
      </c>
    </row>
    <row r="30" ht="32.4" spans="1:6">
      <c r="A30" s="291">
        <v>29</v>
      </c>
      <c r="B30" s="292" t="s">
        <v>801</v>
      </c>
      <c r="C30" s="293" t="s">
        <v>884</v>
      </c>
      <c r="D30" s="294" t="s">
        <v>885</v>
      </c>
      <c r="E30" s="294" t="s">
        <v>886</v>
      </c>
      <c r="F30" s="294">
        <v>15</v>
      </c>
    </row>
    <row r="31" ht="64.8" spans="1:6">
      <c r="A31" s="291">
        <v>30</v>
      </c>
      <c r="B31" s="292" t="s">
        <v>801</v>
      </c>
      <c r="C31" s="293" t="s">
        <v>887</v>
      </c>
      <c r="D31" s="294" t="s">
        <v>888</v>
      </c>
      <c r="E31" s="294" t="s">
        <v>889</v>
      </c>
      <c r="F31" s="294">
        <v>15</v>
      </c>
    </row>
    <row r="32" ht="32.4" spans="1:6">
      <c r="A32" s="291">
        <v>31</v>
      </c>
      <c r="B32" s="292" t="s">
        <v>801</v>
      </c>
      <c r="C32" s="293" t="s">
        <v>890</v>
      </c>
      <c r="D32" s="294" t="s">
        <v>891</v>
      </c>
      <c r="E32" s="294" t="s">
        <v>892</v>
      </c>
      <c r="F32" s="294">
        <v>20</v>
      </c>
    </row>
    <row r="33" ht="48.6" spans="1:6">
      <c r="A33" s="291">
        <v>32</v>
      </c>
      <c r="B33" s="292" t="s">
        <v>801</v>
      </c>
      <c r="C33" s="293" t="s">
        <v>893</v>
      </c>
      <c r="D33" s="294" t="s">
        <v>894</v>
      </c>
      <c r="E33" s="294" t="s">
        <v>895</v>
      </c>
      <c r="F33" s="294">
        <v>10</v>
      </c>
    </row>
    <row r="34" ht="48.6" spans="1:6">
      <c r="A34" s="291">
        <v>33</v>
      </c>
      <c r="B34" s="292" t="s">
        <v>801</v>
      </c>
      <c r="C34" s="293" t="s">
        <v>896</v>
      </c>
      <c r="D34" s="294" t="s">
        <v>897</v>
      </c>
      <c r="E34" s="294" t="s">
        <v>898</v>
      </c>
      <c r="F34" s="294">
        <v>20</v>
      </c>
    </row>
    <row r="35" ht="32.4" spans="1:6">
      <c r="A35" s="291">
        <v>34</v>
      </c>
      <c r="B35" s="292" t="s">
        <v>801</v>
      </c>
      <c r="C35" s="293" t="s">
        <v>899</v>
      </c>
      <c r="D35" s="294" t="s">
        <v>900</v>
      </c>
      <c r="E35" s="294" t="s">
        <v>810</v>
      </c>
      <c r="F35" s="294">
        <v>0</v>
      </c>
    </row>
    <row r="36" spans="1:6">
      <c r="A36" s="291">
        <v>35</v>
      </c>
      <c r="B36" s="292" t="s">
        <v>801</v>
      </c>
      <c r="C36" s="293" t="s">
        <v>901</v>
      </c>
      <c r="D36" s="294" t="s">
        <v>902</v>
      </c>
      <c r="E36" s="294" t="s">
        <v>903</v>
      </c>
      <c r="F36" s="294">
        <v>5</v>
      </c>
    </row>
    <row r="37" spans="1:6">
      <c r="A37" s="291">
        <v>36</v>
      </c>
      <c r="B37" s="292" t="s">
        <v>801</v>
      </c>
      <c r="C37" s="293" t="s">
        <v>904</v>
      </c>
      <c r="D37" s="294" t="s">
        <v>905</v>
      </c>
      <c r="E37" s="294" t="s">
        <v>906</v>
      </c>
      <c r="F37" s="294">
        <v>5</v>
      </c>
    </row>
    <row r="38" spans="1:6">
      <c r="A38" s="291">
        <v>37</v>
      </c>
      <c r="B38" s="292" t="s">
        <v>801</v>
      </c>
      <c r="C38" s="293" t="s">
        <v>907</v>
      </c>
      <c r="D38" s="294" t="s">
        <v>908</v>
      </c>
      <c r="E38" s="294" t="s">
        <v>909</v>
      </c>
      <c r="F38" s="294">
        <v>5</v>
      </c>
    </row>
    <row r="39" ht="32.4" spans="1:6">
      <c r="A39" s="291">
        <v>38</v>
      </c>
      <c r="B39" s="292" t="s">
        <v>801</v>
      </c>
      <c r="C39" s="293" t="s">
        <v>910</v>
      </c>
      <c r="D39" s="294" t="s">
        <v>911</v>
      </c>
      <c r="E39" s="294" t="s">
        <v>912</v>
      </c>
      <c r="F39" s="294">
        <v>25</v>
      </c>
    </row>
    <row r="40" ht="48.6" spans="1:6">
      <c r="A40" s="291">
        <v>39</v>
      </c>
      <c r="B40" s="292" t="s">
        <v>801</v>
      </c>
      <c r="C40" s="293" t="s">
        <v>913</v>
      </c>
      <c r="D40" s="294" t="s">
        <v>914</v>
      </c>
      <c r="E40" s="294" t="s">
        <v>915</v>
      </c>
      <c r="F40" s="294">
        <v>10</v>
      </c>
    </row>
    <row r="41" ht="64.8" spans="1:6">
      <c r="A41" s="291">
        <v>40</v>
      </c>
      <c r="B41" s="292" t="s">
        <v>801</v>
      </c>
      <c r="C41" s="293" t="s">
        <v>916</v>
      </c>
      <c r="D41" s="294" t="s">
        <v>917</v>
      </c>
      <c r="E41" s="294" t="s">
        <v>810</v>
      </c>
      <c r="F41" s="294">
        <v>0</v>
      </c>
    </row>
    <row r="42" ht="32.4" spans="1:6">
      <c r="A42" s="291">
        <v>41</v>
      </c>
      <c r="B42" s="292" t="s">
        <v>801</v>
      </c>
      <c r="C42" s="293" t="s">
        <v>918</v>
      </c>
      <c r="D42" s="294" t="s">
        <v>919</v>
      </c>
      <c r="E42" s="294" t="s">
        <v>920</v>
      </c>
      <c r="F42" s="294">
        <v>10</v>
      </c>
    </row>
    <row r="43" ht="32.4" spans="1:6">
      <c r="A43" s="291">
        <v>42</v>
      </c>
      <c r="B43" s="292" t="s">
        <v>801</v>
      </c>
      <c r="C43" s="293" t="s">
        <v>921</v>
      </c>
      <c r="D43" s="294" t="s">
        <v>922</v>
      </c>
      <c r="E43" s="294" t="s">
        <v>920</v>
      </c>
      <c r="F43" s="294">
        <v>10</v>
      </c>
    </row>
    <row r="44" ht="32.4" spans="1:6">
      <c r="A44" s="291">
        <v>43</v>
      </c>
      <c r="B44" s="292" t="s">
        <v>801</v>
      </c>
      <c r="C44" s="293" t="s">
        <v>923</v>
      </c>
      <c r="D44" s="294" t="s">
        <v>924</v>
      </c>
      <c r="E44" s="294" t="s">
        <v>920</v>
      </c>
      <c r="F44" s="294">
        <v>10</v>
      </c>
    </row>
    <row r="45" ht="32.4" spans="1:6">
      <c r="A45" s="291">
        <v>44</v>
      </c>
      <c r="B45" s="292" t="s">
        <v>801</v>
      </c>
      <c r="C45" s="293" t="s">
        <v>925</v>
      </c>
      <c r="D45" s="294" t="s">
        <v>926</v>
      </c>
      <c r="E45" s="294" t="s">
        <v>920</v>
      </c>
      <c r="F45" s="294">
        <v>10</v>
      </c>
    </row>
    <row r="46" spans="1:6">
      <c r="A46" s="291">
        <v>45</v>
      </c>
      <c r="B46" s="292" t="s">
        <v>801</v>
      </c>
      <c r="C46" s="293" t="s">
        <v>927</v>
      </c>
      <c r="D46" s="294" t="s">
        <v>928</v>
      </c>
      <c r="E46" s="294" t="s">
        <v>929</v>
      </c>
      <c r="F46" s="294">
        <v>20</v>
      </c>
    </row>
    <row r="47" ht="97.2" spans="1:6">
      <c r="A47" s="291">
        <v>46</v>
      </c>
      <c r="B47" s="292" t="s">
        <v>801</v>
      </c>
      <c r="C47" s="293" t="s">
        <v>930</v>
      </c>
      <c r="D47" s="294" t="s">
        <v>931</v>
      </c>
      <c r="E47" s="294" t="s">
        <v>932</v>
      </c>
      <c r="F47" s="294">
        <v>20</v>
      </c>
    </row>
    <row r="48" ht="64.8" spans="1:6">
      <c r="A48" s="291">
        <v>47</v>
      </c>
      <c r="B48" s="292" t="s">
        <v>801</v>
      </c>
      <c r="C48" s="293" t="s">
        <v>933</v>
      </c>
      <c r="D48" s="294" t="s">
        <v>934</v>
      </c>
      <c r="E48" s="294" t="s">
        <v>935</v>
      </c>
      <c r="F48" s="294">
        <v>25</v>
      </c>
    </row>
    <row r="49" ht="32.4" spans="1:6">
      <c r="A49" s="291">
        <v>48</v>
      </c>
      <c r="B49" s="292" t="s">
        <v>801</v>
      </c>
      <c r="C49" s="293" t="s">
        <v>936</v>
      </c>
      <c r="D49" s="294" t="s">
        <v>937</v>
      </c>
      <c r="E49" s="294" t="s">
        <v>938</v>
      </c>
      <c r="F49" s="294">
        <v>10</v>
      </c>
    </row>
    <row r="50" ht="48.6" spans="1:6">
      <c r="A50" s="291">
        <v>49</v>
      </c>
      <c r="B50" s="292" t="s">
        <v>801</v>
      </c>
      <c r="C50" s="293" t="s">
        <v>939</v>
      </c>
      <c r="D50" s="294" t="s">
        <v>940</v>
      </c>
      <c r="E50" s="294" t="s">
        <v>941</v>
      </c>
      <c r="F50" s="294">
        <v>10</v>
      </c>
    </row>
    <row r="51" ht="48.6" spans="1:6">
      <c r="A51" s="291">
        <v>50</v>
      </c>
      <c r="B51" s="292" t="s">
        <v>801</v>
      </c>
      <c r="C51" s="293" t="s">
        <v>942</v>
      </c>
      <c r="D51" s="294" t="s">
        <v>943</v>
      </c>
      <c r="E51" s="294" t="s">
        <v>944</v>
      </c>
      <c r="F51" s="294">
        <v>10</v>
      </c>
    </row>
    <row r="52" spans="1:6">
      <c r="A52" s="291">
        <v>51</v>
      </c>
      <c r="B52" s="292" t="s">
        <v>801</v>
      </c>
      <c r="C52" s="293" t="s">
        <v>945</v>
      </c>
      <c r="D52" s="294" t="s">
        <v>946</v>
      </c>
      <c r="E52" s="294" t="s">
        <v>947</v>
      </c>
      <c r="F52" s="294">
        <v>10</v>
      </c>
    </row>
    <row r="53" spans="1:6">
      <c r="A53" s="291">
        <v>52</v>
      </c>
      <c r="B53" s="292" t="s">
        <v>801</v>
      </c>
      <c r="C53" s="293" t="s">
        <v>948</v>
      </c>
      <c r="D53" s="294" t="s">
        <v>949</v>
      </c>
      <c r="E53" s="294" t="s">
        <v>950</v>
      </c>
      <c r="F53" s="294">
        <v>10</v>
      </c>
    </row>
    <row r="54" ht="32.4" spans="1:6">
      <c r="A54" s="291">
        <v>53</v>
      </c>
      <c r="B54" s="292" t="s">
        <v>801</v>
      </c>
      <c r="C54" s="293" t="s">
        <v>951</v>
      </c>
      <c r="D54" s="294" t="s">
        <v>952</v>
      </c>
      <c r="E54" s="294" t="s">
        <v>953</v>
      </c>
      <c r="F54" s="294">
        <v>15</v>
      </c>
    </row>
    <row r="55" ht="32.4" spans="1:6">
      <c r="A55" s="291">
        <v>54</v>
      </c>
      <c r="B55" s="292" t="s">
        <v>801</v>
      </c>
      <c r="C55" s="293" t="s">
        <v>954</v>
      </c>
      <c r="D55" s="294" t="s">
        <v>955</v>
      </c>
      <c r="E55" s="294" t="s">
        <v>956</v>
      </c>
      <c r="F55" s="294">
        <v>10</v>
      </c>
    </row>
    <row r="56" ht="48.6" spans="1:6">
      <c r="A56" s="291">
        <v>55</v>
      </c>
      <c r="B56" s="292" t="s">
        <v>801</v>
      </c>
      <c r="C56" s="293" t="s">
        <v>957</v>
      </c>
      <c r="D56" s="294" t="s">
        <v>958</v>
      </c>
      <c r="E56" s="294" t="s">
        <v>959</v>
      </c>
      <c r="F56" s="294">
        <v>15</v>
      </c>
    </row>
    <row r="57" ht="32.4" spans="1:6">
      <c r="A57" s="291">
        <v>56</v>
      </c>
      <c r="B57" s="292" t="s">
        <v>801</v>
      </c>
      <c r="C57" s="293" t="s">
        <v>960</v>
      </c>
      <c r="D57" s="294" t="s">
        <v>961</v>
      </c>
      <c r="E57" s="294" t="s">
        <v>962</v>
      </c>
      <c r="F57" s="294">
        <v>10</v>
      </c>
    </row>
    <row r="58" ht="32.4" spans="1:6">
      <c r="A58" s="291">
        <v>57</v>
      </c>
      <c r="B58" s="292" t="s">
        <v>801</v>
      </c>
      <c r="C58" s="293" t="s">
        <v>963</v>
      </c>
      <c r="D58" s="294" t="s">
        <v>964</v>
      </c>
      <c r="E58" s="294" t="s">
        <v>965</v>
      </c>
      <c r="F58" s="294">
        <v>10</v>
      </c>
    </row>
    <row r="59" ht="64.8" spans="1:6">
      <c r="A59" s="291">
        <v>58</v>
      </c>
      <c r="B59" s="292" t="s">
        <v>801</v>
      </c>
      <c r="C59" s="293" t="s">
        <v>966</v>
      </c>
      <c r="D59" s="294" t="s">
        <v>967</v>
      </c>
      <c r="E59" s="294" t="s">
        <v>968</v>
      </c>
      <c r="F59" s="294">
        <v>10</v>
      </c>
    </row>
    <row r="60" spans="1:6">
      <c r="A60" s="291">
        <v>59</v>
      </c>
      <c r="B60" s="292" t="s">
        <v>801</v>
      </c>
      <c r="C60" s="293" t="s">
        <v>969</v>
      </c>
      <c r="D60" s="294" t="s">
        <v>970</v>
      </c>
      <c r="E60" s="294" t="s">
        <v>971</v>
      </c>
      <c r="F60" s="294">
        <v>5</v>
      </c>
    </row>
    <row r="61" spans="1:6">
      <c r="A61" s="291">
        <v>60</v>
      </c>
      <c r="B61" s="292" t="s">
        <v>801</v>
      </c>
      <c r="C61" s="293" t="s">
        <v>972</v>
      </c>
      <c r="D61" s="294" t="s">
        <v>973</v>
      </c>
      <c r="E61" s="294" t="s">
        <v>971</v>
      </c>
      <c r="F61" s="294">
        <v>5</v>
      </c>
    </row>
    <row r="62" spans="1:6">
      <c r="A62" s="291">
        <v>61</v>
      </c>
      <c r="B62" s="292" t="s">
        <v>801</v>
      </c>
      <c r="C62" s="293" t="s">
        <v>974</v>
      </c>
      <c r="D62" s="294" t="s">
        <v>975</v>
      </c>
      <c r="E62" s="294" t="s">
        <v>971</v>
      </c>
      <c r="F62" s="294">
        <v>5</v>
      </c>
    </row>
    <row r="63" ht="64.8" spans="1:6">
      <c r="A63" s="291">
        <v>62</v>
      </c>
      <c r="B63" s="292" t="s">
        <v>801</v>
      </c>
      <c r="C63" s="293" t="s">
        <v>976</v>
      </c>
      <c r="D63" s="294" t="s">
        <v>977</v>
      </c>
      <c r="E63" s="294" t="s">
        <v>978</v>
      </c>
      <c r="F63" s="294">
        <v>10</v>
      </c>
    </row>
    <row r="64" ht="32.4" spans="1:6">
      <c r="A64" s="291">
        <v>63</v>
      </c>
      <c r="B64" s="292" t="s">
        <v>801</v>
      </c>
      <c r="C64" s="293" t="s">
        <v>979</v>
      </c>
      <c r="D64" s="294" t="s">
        <v>980</v>
      </c>
      <c r="E64" s="294" t="s">
        <v>981</v>
      </c>
      <c r="F64" s="294">
        <v>5</v>
      </c>
    </row>
    <row r="65" ht="32.4" spans="1:6">
      <c r="A65" s="291">
        <v>64</v>
      </c>
      <c r="B65" s="292" t="s">
        <v>801</v>
      </c>
      <c r="C65" s="293" t="s">
        <v>34</v>
      </c>
      <c r="D65" s="294" t="s">
        <v>982</v>
      </c>
      <c r="E65" s="294" t="s">
        <v>983</v>
      </c>
      <c r="F65" s="294">
        <v>5</v>
      </c>
    </row>
    <row r="66" ht="64.8" spans="1:6">
      <c r="A66" s="291">
        <v>65</v>
      </c>
      <c r="B66" s="292" t="s">
        <v>801</v>
      </c>
      <c r="C66" s="293" t="s">
        <v>984</v>
      </c>
      <c r="D66" s="294" t="s">
        <v>985</v>
      </c>
      <c r="E66" s="294" t="s">
        <v>986</v>
      </c>
      <c r="F66" s="294">
        <v>10</v>
      </c>
    </row>
    <row r="67" ht="48.6" spans="1:6">
      <c r="A67" s="291">
        <v>66</v>
      </c>
      <c r="B67" s="292" t="s">
        <v>801</v>
      </c>
      <c r="C67" s="293" t="s">
        <v>987</v>
      </c>
      <c r="D67" s="294" t="s">
        <v>988</v>
      </c>
      <c r="E67" s="294" t="s">
        <v>989</v>
      </c>
      <c r="F67" s="294">
        <v>10</v>
      </c>
    </row>
    <row r="68" ht="113.4" spans="1:6">
      <c r="A68" s="291">
        <v>67</v>
      </c>
      <c r="B68" s="295" t="s">
        <v>990</v>
      </c>
      <c r="C68" s="296" t="s">
        <v>991</v>
      </c>
      <c r="D68" s="297" t="s">
        <v>992</v>
      </c>
      <c r="E68" s="297" t="s">
        <v>993</v>
      </c>
      <c r="F68" s="297">
        <v>0</v>
      </c>
    </row>
    <row r="69" spans="1:6">
      <c r="A69" s="291">
        <v>68</v>
      </c>
      <c r="B69" s="295" t="s">
        <v>990</v>
      </c>
      <c r="C69" s="296" t="s">
        <v>994</v>
      </c>
      <c r="D69" s="297" t="s">
        <v>995</v>
      </c>
      <c r="E69" s="297" t="s">
        <v>996</v>
      </c>
      <c r="F69" s="297">
        <v>-20</v>
      </c>
    </row>
    <row r="70" ht="129.6" spans="1:6">
      <c r="A70" s="291">
        <v>69</v>
      </c>
      <c r="B70" s="295" t="s">
        <v>990</v>
      </c>
      <c r="C70" s="296" t="s">
        <v>997</v>
      </c>
      <c r="D70" s="297" t="s">
        <v>998</v>
      </c>
      <c r="E70" s="297" t="s">
        <v>999</v>
      </c>
      <c r="F70" s="297">
        <v>0</v>
      </c>
    </row>
    <row r="71" ht="32.4" spans="1:6">
      <c r="A71" s="291">
        <v>70</v>
      </c>
      <c r="B71" s="295" t="s">
        <v>990</v>
      </c>
      <c r="C71" s="296" t="s">
        <v>1000</v>
      </c>
      <c r="D71" s="297" t="s">
        <v>1001</v>
      </c>
      <c r="E71" s="297" t="s">
        <v>1002</v>
      </c>
      <c r="F71" s="297">
        <v>-10</v>
      </c>
    </row>
    <row r="72" ht="64.8" spans="1:6">
      <c r="A72" s="291">
        <v>71</v>
      </c>
      <c r="B72" s="295" t="s">
        <v>990</v>
      </c>
      <c r="C72" s="296" t="s">
        <v>1003</v>
      </c>
      <c r="D72" s="297" t="s">
        <v>1004</v>
      </c>
      <c r="E72" s="297" t="s">
        <v>1005</v>
      </c>
      <c r="F72" s="297">
        <v>-20</v>
      </c>
    </row>
    <row r="73" ht="64.8" spans="1:6">
      <c r="A73" s="291">
        <v>72</v>
      </c>
      <c r="B73" s="295" t="s">
        <v>990</v>
      </c>
      <c r="C73" s="296" t="s">
        <v>1006</v>
      </c>
      <c r="D73" s="297" t="s">
        <v>1007</v>
      </c>
      <c r="E73" s="297" t="s">
        <v>1008</v>
      </c>
      <c r="F73" s="297">
        <v>-15</v>
      </c>
    </row>
    <row r="74" ht="32.4" spans="1:6">
      <c r="A74" s="291">
        <v>73</v>
      </c>
      <c r="B74" s="295" t="s">
        <v>990</v>
      </c>
      <c r="C74" s="296" t="s">
        <v>1009</v>
      </c>
      <c r="D74" s="297" t="s">
        <v>1010</v>
      </c>
      <c r="E74" s="297" t="s">
        <v>1011</v>
      </c>
      <c r="F74" s="297">
        <v>-10</v>
      </c>
    </row>
    <row r="75" ht="32.4" spans="1:6">
      <c r="A75" s="291">
        <v>74</v>
      </c>
      <c r="B75" s="295" t="s">
        <v>990</v>
      </c>
      <c r="C75" s="296" t="s">
        <v>1012</v>
      </c>
      <c r="D75" s="297" t="s">
        <v>1013</v>
      </c>
      <c r="E75" s="297" t="s">
        <v>1014</v>
      </c>
      <c r="F75" s="297">
        <v>-25</v>
      </c>
    </row>
    <row r="76" ht="32.4" spans="1:6">
      <c r="A76" s="291">
        <v>75</v>
      </c>
      <c r="B76" s="295" t="s">
        <v>990</v>
      </c>
      <c r="C76" s="296" t="s">
        <v>1015</v>
      </c>
      <c r="D76" s="297" t="s">
        <v>1016</v>
      </c>
      <c r="E76" s="297" t="s">
        <v>810</v>
      </c>
      <c r="F76" s="297">
        <v>0</v>
      </c>
    </row>
    <row r="77" ht="32.4" spans="1:6">
      <c r="A77" s="291">
        <v>76</v>
      </c>
      <c r="B77" s="295" t="s">
        <v>990</v>
      </c>
      <c r="C77" s="296" t="s">
        <v>1017</v>
      </c>
      <c r="D77" s="297" t="s">
        <v>1018</v>
      </c>
      <c r="E77" s="297" t="s">
        <v>1019</v>
      </c>
      <c r="F77" s="297">
        <v>-15</v>
      </c>
    </row>
    <row r="78" ht="32.4" spans="1:6">
      <c r="A78" s="291">
        <v>77</v>
      </c>
      <c r="B78" s="295" t="s">
        <v>990</v>
      </c>
      <c r="C78" s="296" t="s">
        <v>1020</v>
      </c>
      <c r="D78" s="297" t="s">
        <v>1021</v>
      </c>
      <c r="E78" s="297" t="s">
        <v>1022</v>
      </c>
      <c r="F78" s="297">
        <v>-10</v>
      </c>
    </row>
    <row r="79" spans="1:6">
      <c r="A79" s="291">
        <v>78</v>
      </c>
      <c r="B79" s="295" t="s">
        <v>990</v>
      </c>
      <c r="C79" s="296" t="s">
        <v>1023</v>
      </c>
      <c r="D79" s="297" t="s">
        <v>1024</v>
      </c>
      <c r="E79" s="297" t="s">
        <v>1025</v>
      </c>
      <c r="F79" s="297">
        <v>-5</v>
      </c>
    </row>
    <row r="80" ht="48.6" spans="1:6">
      <c r="A80" s="291">
        <v>79</v>
      </c>
      <c r="B80" s="295" t="s">
        <v>990</v>
      </c>
      <c r="C80" s="296" t="s">
        <v>1026</v>
      </c>
      <c r="D80" s="297" t="s">
        <v>1027</v>
      </c>
      <c r="E80" s="297" t="s">
        <v>1028</v>
      </c>
      <c r="F80" s="297">
        <v>-10</v>
      </c>
    </row>
    <row r="81" ht="97.2" spans="1:6">
      <c r="A81" s="291">
        <v>80</v>
      </c>
      <c r="B81" s="295" t="s">
        <v>990</v>
      </c>
      <c r="C81" s="296" t="s">
        <v>1029</v>
      </c>
      <c r="D81" s="297" t="s">
        <v>1030</v>
      </c>
      <c r="E81" s="297" t="s">
        <v>1031</v>
      </c>
      <c r="F81" s="297">
        <v>-10</v>
      </c>
    </row>
    <row r="82" ht="48.6" spans="1:6">
      <c r="A82" s="291">
        <v>81</v>
      </c>
      <c r="B82" s="295" t="s">
        <v>990</v>
      </c>
      <c r="C82" s="296" t="s">
        <v>1032</v>
      </c>
      <c r="D82" s="297" t="s">
        <v>1033</v>
      </c>
      <c r="E82" s="297" t="s">
        <v>1034</v>
      </c>
      <c r="F82" s="297">
        <v>5</v>
      </c>
    </row>
    <row r="83" ht="64.8" spans="1:6">
      <c r="A83" s="291">
        <v>82</v>
      </c>
      <c r="B83" s="295" t="s">
        <v>990</v>
      </c>
      <c r="C83" s="296" t="s">
        <v>1035</v>
      </c>
      <c r="D83" s="297" t="s">
        <v>1036</v>
      </c>
      <c r="E83" s="297" t="s">
        <v>1037</v>
      </c>
      <c r="F83" s="297">
        <v>-20</v>
      </c>
    </row>
    <row r="84" spans="1:6">
      <c r="A84" s="291">
        <v>83</v>
      </c>
      <c r="B84" s="295" t="s">
        <v>990</v>
      </c>
      <c r="C84" s="296" t="s">
        <v>1038</v>
      </c>
      <c r="D84" s="297" t="s">
        <v>1039</v>
      </c>
      <c r="E84" s="297" t="s">
        <v>1040</v>
      </c>
      <c r="F84" s="297">
        <v>-10</v>
      </c>
    </row>
    <row r="85" ht="48.6" spans="1:6">
      <c r="A85" s="291">
        <v>84</v>
      </c>
      <c r="B85" s="295" t="s">
        <v>990</v>
      </c>
      <c r="C85" s="296" t="s">
        <v>1041</v>
      </c>
      <c r="D85" s="297" t="s">
        <v>1042</v>
      </c>
      <c r="E85" s="297" t="s">
        <v>1043</v>
      </c>
      <c r="F85" s="297">
        <v>-5</v>
      </c>
    </row>
    <row r="86" ht="32.4" spans="1:6">
      <c r="A86" s="291">
        <v>85</v>
      </c>
      <c r="B86" s="295" t="s">
        <v>990</v>
      </c>
      <c r="C86" s="296" t="s">
        <v>1044</v>
      </c>
      <c r="D86" s="297" t="s">
        <v>1045</v>
      </c>
      <c r="E86" s="297" t="s">
        <v>1046</v>
      </c>
      <c r="F86" s="297">
        <v>-20</v>
      </c>
    </row>
    <row r="87" ht="64.8" spans="1:6">
      <c r="A87" s="291">
        <v>86</v>
      </c>
      <c r="B87" s="295" t="s">
        <v>990</v>
      </c>
      <c r="C87" s="296" t="s">
        <v>1047</v>
      </c>
      <c r="D87" s="297" t="s">
        <v>1048</v>
      </c>
      <c r="E87" s="297" t="s">
        <v>1049</v>
      </c>
      <c r="F87" s="297">
        <v>-25</v>
      </c>
    </row>
    <row r="88" spans="1:6">
      <c r="A88" s="291">
        <v>87</v>
      </c>
      <c r="B88" s="295" t="s">
        <v>990</v>
      </c>
      <c r="C88" s="296" t="s">
        <v>1050</v>
      </c>
      <c r="D88" s="297" t="s">
        <v>1051</v>
      </c>
      <c r="E88" s="297" t="s">
        <v>1052</v>
      </c>
      <c r="F88" s="297">
        <v>-10</v>
      </c>
    </row>
    <row r="89" ht="64.8" spans="1:6">
      <c r="A89" s="291">
        <v>88</v>
      </c>
      <c r="B89" s="295" t="s">
        <v>990</v>
      </c>
      <c r="C89" s="296" t="s">
        <v>1053</v>
      </c>
      <c r="D89" s="297" t="s">
        <v>1054</v>
      </c>
      <c r="E89" s="297" t="s">
        <v>1055</v>
      </c>
      <c r="F89" s="297">
        <v>-5</v>
      </c>
    </row>
    <row r="90" ht="48.6" spans="1:6">
      <c r="A90" s="291">
        <v>89</v>
      </c>
      <c r="B90" s="295" t="s">
        <v>990</v>
      </c>
      <c r="C90" s="296" t="s">
        <v>1056</v>
      </c>
      <c r="D90" s="297" t="s">
        <v>1057</v>
      </c>
      <c r="E90" s="297" t="s">
        <v>1058</v>
      </c>
      <c r="F90" s="297">
        <v>-20</v>
      </c>
    </row>
    <row r="91" ht="64.8" spans="1:6">
      <c r="A91" s="291">
        <v>90</v>
      </c>
      <c r="B91" s="295" t="s">
        <v>990</v>
      </c>
      <c r="C91" s="296" t="s">
        <v>1059</v>
      </c>
      <c r="D91" s="297" t="s">
        <v>1060</v>
      </c>
      <c r="E91" s="297" t="s">
        <v>1061</v>
      </c>
      <c r="F91" s="297">
        <v>10</v>
      </c>
    </row>
    <row r="92" ht="97.2" spans="1:6">
      <c r="A92" s="291">
        <v>91</v>
      </c>
      <c r="B92" s="295" t="s">
        <v>990</v>
      </c>
      <c r="C92" s="296" t="s">
        <v>1062</v>
      </c>
      <c r="D92" s="297" t="s">
        <v>1063</v>
      </c>
      <c r="E92" s="297" t="s">
        <v>1064</v>
      </c>
      <c r="F92" s="297" t="s">
        <v>1065</v>
      </c>
    </row>
    <row r="93" ht="32.4" spans="1:6">
      <c r="A93" s="291">
        <v>92</v>
      </c>
      <c r="B93" s="295" t="s">
        <v>990</v>
      </c>
      <c r="C93" s="296" t="s">
        <v>1066</v>
      </c>
      <c r="D93" s="297" t="s">
        <v>1067</v>
      </c>
      <c r="E93" s="297" t="s">
        <v>1068</v>
      </c>
      <c r="F93" s="297" t="s">
        <v>1069</v>
      </c>
    </row>
    <row r="94" ht="32.4" spans="1:6">
      <c r="A94" s="291">
        <v>93</v>
      </c>
      <c r="B94" s="298" t="s">
        <v>1070</v>
      </c>
      <c r="C94" s="299" t="s">
        <v>1071</v>
      </c>
      <c r="D94" s="300" t="s">
        <v>1072</v>
      </c>
      <c r="E94" s="300" t="s">
        <v>1073</v>
      </c>
      <c r="F94" s="300">
        <v>20</v>
      </c>
    </row>
    <row r="95" ht="32.4" spans="1:6">
      <c r="A95" s="291">
        <v>94</v>
      </c>
      <c r="B95" s="298" t="s">
        <v>1070</v>
      </c>
      <c r="C95" s="299" t="s">
        <v>1074</v>
      </c>
      <c r="D95" s="300" t="s">
        <v>1075</v>
      </c>
      <c r="E95" s="300" t="s">
        <v>1076</v>
      </c>
      <c r="F95" s="300">
        <v>0</v>
      </c>
    </row>
    <row r="96" ht="64.8" spans="1:6">
      <c r="A96" s="291">
        <v>95</v>
      </c>
      <c r="B96" s="298" t="s">
        <v>1070</v>
      </c>
      <c r="C96" s="299" t="s">
        <v>1077</v>
      </c>
      <c r="D96" s="300" t="s">
        <v>1078</v>
      </c>
      <c r="E96" s="300" t="s">
        <v>1079</v>
      </c>
      <c r="F96" s="300">
        <v>15</v>
      </c>
    </row>
    <row r="97" ht="48.6" spans="1:6">
      <c r="A97" s="291">
        <v>96</v>
      </c>
      <c r="B97" s="298" t="s">
        <v>1070</v>
      </c>
      <c r="C97" s="299" t="s">
        <v>1080</v>
      </c>
      <c r="D97" s="300" t="s">
        <v>1081</v>
      </c>
      <c r="E97" s="300" t="s">
        <v>1082</v>
      </c>
      <c r="F97" s="300">
        <v>15</v>
      </c>
    </row>
    <row r="98" ht="32.4" spans="1:6">
      <c r="A98" s="291">
        <v>97</v>
      </c>
      <c r="B98" s="298" t="s">
        <v>1070</v>
      </c>
      <c r="C98" s="299" t="s">
        <v>1083</v>
      </c>
      <c r="D98" s="300" t="s">
        <v>1084</v>
      </c>
      <c r="E98" s="300" t="s">
        <v>1085</v>
      </c>
      <c r="F98" s="300">
        <v>10</v>
      </c>
    </row>
    <row r="99" ht="32.4" spans="1:6">
      <c r="A99" s="291">
        <v>98</v>
      </c>
      <c r="B99" s="298" t="s">
        <v>1070</v>
      </c>
      <c r="C99" s="299" t="s">
        <v>1086</v>
      </c>
      <c r="D99" s="300" t="s">
        <v>1087</v>
      </c>
      <c r="E99" s="300" t="s">
        <v>1088</v>
      </c>
      <c r="F99" s="300">
        <v>25</v>
      </c>
    </row>
    <row r="100" ht="32.4" spans="1:6">
      <c r="A100" s="291">
        <v>99</v>
      </c>
      <c r="B100" s="298" t="s">
        <v>1070</v>
      </c>
      <c r="C100" s="299" t="s">
        <v>1089</v>
      </c>
      <c r="D100" s="300" t="s">
        <v>1090</v>
      </c>
      <c r="E100" s="300" t="s">
        <v>1091</v>
      </c>
      <c r="F100" s="300">
        <v>-10</v>
      </c>
    </row>
    <row r="101" ht="32.4" spans="1:6">
      <c r="A101" s="291">
        <v>100</v>
      </c>
      <c r="B101" s="298" t="s">
        <v>1070</v>
      </c>
      <c r="C101" s="299" t="s">
        <v>1092</v>
      </c>
      <c r="D101" s="300" t="s">
        <v>1093</v>
      </c>
      <c r="E101" s="300" t="s">
        <v>1094</v>
      </c>
      <c r="F101" s="300">
        <v>50</v>
      </c>
    </row>
    <row r="102" ht="48.6" spans="1:6">
      <c r="A102" s="291">
        <v>101</v>
      </c>
      <c r="B102" s="298" t="s">
        <v>1070</v>
      </c>
      <c r="C102" s="299" t="s">
        <v>1095</v>
      </c>
      <c r="D102" s="300" t="s">
        <v>1096</v>
      </c>
      <c r="E102" s="300" t="s">
        <v>1097</v>
      </c>
      <c r="F102" s="300">
        <v>0</v>
      </c>
    </row>
    <row r="103" ht="64.8" spans="1:6">
      <c r="A103" s="291">
        <v>102</v>
      </c>
      <c r="B103" s="298" t="s">
        <v>1070</v>
      </c>
      <c r="C103" s="299" t="s">
        <v>1098</v>
      </c>
      <c r="D103" s="300" t="s">
        <v>1099</v>
      </c>
      <c r="E103" s="300" t="s">
        <v>1100</v>
      </c>
      <c r="F103" s="300">
        <v>10</v>
      </c>
    </row>
    <row r="104" ht="113.4" spans="1:6">
      <c r="A104" s="291">
        <v>103</v>
      </c>
      <c r="B104" s="298" t="s">
        <v>1070</v>
      </c>
      <c r="C104" s="299" t="s">
        <v>1101</v>
      </c>
      <c r="D104" s="300" t="s">
        <v>1102</v>
      </c>
      <c r="E104" s="300" t="s">
        <v>1103</v>
      </c>
      <c r="F104" s="300">
        <v>20</v>
      </c>
    </row>
    <row r="105" ht="48.6" spans="1:6">
      <c r="A105" s="291">
        <v>104</v>
      </c>
      <c r="B105" s="298" t="s">
        <v>1070</v>
      </c>
      <c r="C105" s="299" t="s">
        <v>1104</v>
      </c>
      <c r="D105" s="300" t="s">
        <v>1105</v>
      </c>
      <c r="E105" s="300" t="s">
        <v>1106</v>
      </c>
      <c r="F105" s="300">
        <v>10</v>
      </c>
    </row>
    <row r="106" ht="48.6" spans="1:6">
      <c r="A106" s="291">
        <v>105</v>
      </c>
      <c r="B106" s="298" t="s">
        <v>1070</v>
      </c>
      <c r="C106" s="299" t="s">
        <v>1107</v>
      </c>
      <c r="D106" s="300" t="s">
        <v>1108</v>
      </c>
      <c r="E106" s="300" t="s">
        <v>1109</v>
      </c>
      <c r="F106" s="300">
        <v>20</v>
      </c>
    </row>
    <row r="107" ht="32.4" spans="1:6">
      <c r="A107" s="291">
        <v>106</v>
      </c>
      <c r="B107" s="298" t="s">
        <v>1070</v>
      </c>
      <c r="C107" s="299" t="s">
        <v>1110</v>
      </c>
      <c r="D107" s="300" t="s">
        <v>1111</v>
      </c>
      <c r="E107" s="300" t="s">
        <v>1111</v>
      </c>
      <c r="F107" s="300" t="s">
        <v>1112</v>
      </c>
    </row>
    <row r="108" ht="97.2" spans="1:6">
      <c r="A108" s="291">
        <v>107</v>
      </c>
      <c r="B108" s="298" t="s">
        <v>1070</v>
      </c>
      <c r="C108" s="299" t="s">
        <v>1113</v>
      </c>
      <c r="D108" s="300" t="s">
        <v>1114</v>
      </c>
      <c r="E108" s="300" t="s">
        <v>1115</v>
      </c>
      <c r="F108" s="300">
        <v>15</v>
      </c>
    </row>
    <row r="109" ht="64.8" spans="1:6">
      <c r="A109" s="291">
        <v>108</v>
      </c>
      <c r="B109" s="298" t="s">
        <v>1070</v>
      </c>
      <c r="C109" s="299" t="s">
        <v>1116</v>
      </c>
      <c r="D109" s="300" t="s">
        <v>1117</v>
      </c>
      <c r="E109" s="300" t="s">
        <v>1118</v>
      </c>
      <c r="F109" s="300">
        <v>0</v>
      </c>
    </row>
    <row r="110" ht="145.8" spans="1:6">
      <c r="A110" s="291">
        <v>109</v>
      </c>
      <c r="B110" s="298" t="s">
        <v>1070</v>
      </c>
      <c r="C110" s="299" t="s">
        <v>1119</v>
      </c>
      <c r="D110" s="300" t="s">
        <v>1120</v>
      </c>
      <c r="E110" s="300" t="s">
        <v>1121</v>
      </c>
      <c r="F110" s="300">
        <v>10</v>
      </c>
    </row>
    <row r="111" ht="64.8" spans="1:6">
      <c r="A111" s="291">
        <v>110</v>
      </c>
      <c r="B111" s="298" t="s">
        <v>1070</v>
      </c>
      <c r="C111" s="299" t="s">
        <v>1122</v>
      </c>
      <c r="D111" s="300" t="s">
        <v>1123</v>
      </c>
      <c r="E111" s="300" t="s">
        <v>1124</v>
      </c>
      <c r="F111" s="300">
        <v>10</v>
      </c>
    </row>
    <row r="112" ht="97.2" spans="1:6">
      <c r="A112" s="291">
        <v>111</v>
      </c>
      <c r="B112" s="298" t="s">
        <v>1070</v>
      </c>
      <c r="C112" s="299" t="s">
        <v>1125</v>
      </c>
      <c r="D112" s="300" t="s">
        <v>1126</v>
      </c>
      <c r="E112" s="300" t="s">
        <v>1127</v>
      </c>
      <c r="F112" s="300">
        <v>20</v>
      </c>
    </row>
    <row r="113" ht="129.6" spans="1:6">
      <c r="A113" s="291">
        <v>112</v>
      </c>
      <c r="B113" s="298" t="s">
        <v>1070</v>
      </c>
      <c r="C113" s="299" t="s">
        <v>1128</v>
      </c>
      <c r="D113" s="300" t="s">
        <v>1129</v>
      </c>
      <c r="E113" s="300" t="s">
        <v>1130</v>
      </c>
      <c r="F113" s="300">
        <v>10</v>
      </c>
    </row>
    <row r="114" ht="32.4" spans="1:6">
      <c r="A114" s="291">
        <v>113</v>
      </c>
      <c r="B114" s="298" t="s">
        <v>1070</v>
      </c>
      <c r="C114" s="299" t="s">
        <v>1131</v>
      </c>
      <c r="D114" s="300" t="s">
        <v>1132</v>
      </c>
      <c r="E114" s="300" t="s">
        <v>1133</v>
      </c>
      <c r="F114" s="300">
        <v>10</v>
      </c>
    </row>
    <row r="115" ht="97.2" spans="1:6">
      <c r="A115" s="291">
        <v>114</v>
      </c>
      <c r="B115" s="298" t="s">
        <v>1070</v>
      </c>
      <c r="C115" s="299" t="s">
        <v>1134</v>
      </c>
      <c r="D115" s="300" t="s">
        <v>1135</v>
      </c>
      <c r="E115" s="300" t="s">
        <v>1136</v>
      </c>
      <c r="F115" s="300">
        <v>20</v>
      </c>
    </row>
    <row r="116" ht="97.2" spans="1:6">
      <c r="A116" s="291">
        <v>115</v>
      </c>
      <c r="B116" s="298" t="s">
        <v>1070</v>
      </c>
      <c r="C116" s="299" t="s">
        <v>1137</v>
      </c>
      <c r="D116" s="300" t="s">
        <v>1138</v>
      </c>
      <c r="E116" s="300" t="s">
        <v>1139</v>
      </c>
      <c r="F116" s="300">
        <v>30</v>
      </c>
    </row>
    <row r="117" ht="32.4" spans="1:6">
      <c r="A117" s="291">
        <v>116</v>
      </c>
      <c r="B117" s="298" t="s">
        <v>1070</v>
      </c>
      <c r="C117" s="299" t="s">
        <v>1140</v>
      </c>
      <c r="D117" s="300" t="s">
        <v>1141</v>
      </c>
      <c r="E117" s="300" t="s">
        <v>1142</v>
      </c>
      <c r="F117" s="300">
        <v>10</v>
      </c>
    </row>
    <row r="118" spans="1:6">
      <c r="A118" s="291">
        <v>117</v>
      </c>
      <c r="B118" s="298" t="s">
        <v>1070</v>
      </c>
      <c r="C118" s="299" t="s">
        <v>1143</v>
      </c>
      <c r="D118" s="300" t="s">
        <v>1144</v>
      </c>
      <c r="E118" s="300" t="s">
        <v>1145</v>
      </c>
      <c r="F118" s="300">
        <v>5</v>
      </c>
    </row>
    <row r="119" ht="32.4" spans="1:6">
      <c r="A119" s="291">
        <v>118</v>
      </c>
      <c r="B119" s="298" t="s">
        <v>1070</v>
      </c>
      <c r="C119" s="299" t="s">
        <v>1146</v>
      </c>
      <c r="D119" s="300" t="s">
        <v>1147</v>
      </c>
      <c r="E119" s="300" t="s">
        <v>1148</v>
      </c>
      <c r="F119" s="300">
        <v>10</v>
      </c>
    </row>
    <row r="120" spans="1:6">
      <c r="A120" s="291">
        <v>119</v>
      </c>
      <c r="B120" s="298" t="s">
        <v>1070</v>
      </c>
      <c r="C120" s="299" t="s">
        <v>1149</v>
      </c>
      <c r="D120" s="300" t="s">
        <v>1150</v>
      </c>
      <c r="E120" s="300" t="s">
        <v>1150</v>
      </c>
      <c r="F120" s="300">
        <v>5</v>
      </c>
    </row>
    <row r="121" ht="48.6" spans="1:6">
      <c r="A121" s="291">
        <v>120</v>
      </c>
      <c r="B121" s="298" t="s">
        <v>1070</v>
      </c>
      <c r="C121" s="299" t="s">
        <v>1151</v>
      </c>
      <c r="D121" s="300" t="s">
        <v>1152</v>
      </c>
      <c r="E121" s="300" t="s">
        <v>1153</v>
      </c>
      <c r="F121" s="300">
        <v>30</v>
      </c>
    </row>
    <row r="122" ht="32.4" spans="1:6">
      <c r="A122" s="291">
        <v>121</v>
      </c>
      <c r="B122" s="298" t="s">
        <v>1070</v>
      </c>
      <c r="C122" s="299" t="s">
        <v>1154</v>
      </c>
      <c r="D122" s="300" t="s">
        <v>1155</v>
      </c>
      <c r="E122" s="300" t="s">
        <v>1156</v>
      </c>
      <c r="F122" s="300">
        <v>10</v>
      </c>
    </row>
    <row r="123" ht="48.6" spans="1:6">
      <c r="A123" s="291">
        <v>122</v>
      </c>
      <c r="B123" s="298" t="s">
        <v>1070</v>
      </c>
      <c r="C123" s="299" t="s">
        <v>1157</v>
      </c>
      <c r="D123" s="300" t="s">
        <v>1158</v>
      </c>
      <c r="E123" s="300" t="s">
        <v>1159</v>
      </c>
      <c r="F123" s="300">
        <v>10</v>
      </c>
    </row>
    <row r="124" ht="64.8" spans="1:6">
      <c r="A124" s="291">
        <v>123</v>
      </c>
      <c r="B124" s="298" t="s">
        <v>1070</v>
      </c>
      <c r="C124" s="299" t="s">
        <v>1160</v>
      </c>
      <c r="D124" s="300" t="s">
        <v>1161</v>
      </c>
      <c r="E124" s="300" t="s">
        <v>1162</v>
      </c>
      <c r="F124" s="300">
        <v>0</v>
      </c>
    </row>
    <row r="125" ht="48.6" spans="1:6">
      <c r="A125" s="291">
        <v>124</v>
      </c>
      <c r="B125" s="298" t="s">
        <v>1070</v>
      </c>
      <c r="C125" s="299" t="s">
        <v>1163</v>
      </c>
      <c r="D125" s="300" t="s">
        <v>1164</v>
      </c>
      <c r="E125" s="300" t="s">
        <v>1165</v>
      </c>
      <c r="F125" s="300">
        <v>0</v>
      </c>
    </row>
    <row r="126" ht="178.2" spans="1:6">
      <c r="A126" s="291">
        <v>125</v>
      </c>
      <c r="B126" s="301" t="s">
        <v>1166</v>
      </c>
      <c r="C126" s="302" t="s">
        <v>1167</v>
      </c>
      <c r="D126" s="303" t="s">
        <v>1168</v>
      </c>
      <c r="E126" s="303" t="s">
        <v>1169</v>
      </c>
      <c r="F126" s="303" t="s">
        <v>1065</v>
      </c>
    </row>
    <row r="127" ht="48.6" spans="1:6">
      <c r="A127" s="291">
        <v>126</v>
      </c>
      <c r="B127" s="301" t="s">
        <v>1166</v>
      </c>
      <c r="C127" s="302" t="s">
        <v>1170</v>
      </c>
      <c r="D127" s="303" t="s">
        <v>1171</v>
      </c>
      <c r="E127" s="303" t="s">
        <v>1172</v>
      </c>
      <c r="F127" s="303">
        <v>-10</v>
      </c>
    </row>
    <row r="128" ht="32.4" spans="1:6">
      <c r="A128" s="291">
        <v>127</v>
      </c>
      <c r="B128" s="301" t="s">
        <v>1166</v>
      </c>
      <c r="C128" s="302" t="s">
        <v>1173</v>
      </c>
      <c r="D128" s="303" t="s">
        <v>1174</v>
      </c>
      <c r="E128" s="303" t="s">
        <v>1175</v>
      </c>
      <c r="F128" s="303">
        <v>-15</v>
      </c>
    </row>
    <row r="129" ht="81" spans="1:6">
      <c r="A129" s="291">
        <v>128</v>
      </c>
      <c r="B129" s="301" t="s">
        <v>1166</v>
      </c>
      <c r="C129" s="302" t="s">
        <v>1176</v>
      </c>
      <c r="D129" s="303" t="s">
        <v>1177</v>
      </c>
      <c r="E129" s="303" t="s">
        <v>1178</v>
      </c>
      <c r="F129" s="303">
        <v>0</v>
      </c>
    </row>
    <row r="130" ht="48.6" spans="1:6">
      <c r="A130" s="291">
        <v>129</v>
      </c>
      <c r="B130" s="301" t="s">
        <v>1166</v>
      </c>
      <c r="C130" s="302" t="s">
        <v>1179</v>
      </c>
      <c r="D130" s="303" t="s">
        <v>1180</v>
      </c>
      <c r="E130" s="303" t="s">
        <v>1181</v>
      </c>
      <c r="F130" s="303">
        <v>-10</v>
      </c>
    </row>
    <row r="131" ht="48.6" spans="1:6">
      <c r="A131" s="291">
        <v>130</v>
      </c>
      <c r="B131" s="301" t="s">
        <v>1166</v>
      </c>
      <c r="C131" s="302" t="s">
        <v>1182</v>
      </c>
      <c r="D131" s="303" t="s">
        <v>1183</v>
      </c>
      <c r="E131" s="303" t="s">
        <v>1184</v>
      </c>
      <c r="F131" s="303">
        <v>10</v>
      </c>
    </row>
    <row r="132" ht="32.4" spans="1:6">
      <c r="A132" s="291">
        <v>131</v>
      </c>
      <c r="B132" s="301" t="s">
        <v>1166</v>
      </c>
      <c r="C132" s="302" t="s">
        <v>1185</v>
      </c>
      <c r="D132" s="303" t="s">
        <v>1186</v>
      </c>
      <c r="E132" s="303" t="s">
        <v>1187</v>
      </c>
      <c r="F132" s="303">
        <v>-10</v>
      </c>
    </row>
    <row r="133" ht="48.6" spans="1:6">
      <c r="A133" s="291">
        <v>132</v>
      </c>
      <c r="B133" s="301" t="s">
        <v>1166</v>
      </c>
      <c r="C133" s="302" t="s">
        <v>1188</v>
      </c>
      <c r="D133" s="303" t="s">
        <v>1189</v>
      </c>
      <c r="E133" s="303" t="s">
        <v>1190</v>
      </c>
      <c r="F133" s="303" t="s">
        <v>1191</v>
      </c>
    </row>
    <row r="134" ht="48.6" spans="1:6">
      <c r="A134" s="291">
        <v>133</v>
      </c>
      <c r="B134" s="301" t="s">
        <v>1166</v>
      </c>
      <c r="C134" s="302" t="s">
        <v>1192</v>
      </c>
      <c r="D134" s="303" t="s">
        <v>1193</v>
      </c>
      <c r="E134" s="303" t="s">
        <v>1194</v>
      </c>
      <c r="F134" s="303">
        <v>-10</v>
      </c>
    </row>
    <row r="135" ht="64.8" spans="1:6">
      <c r="A135" s="291">
        <v>134</v>
      </c>
      <c r="B135" s="301" t="s">
        <v>1166</v>
      </c>
      <c r="C135" s="302" t="s">
        <v>1195</v>
      </c>
      <c r="D135" s="303" t="s">
        <v>1196</v>
      </c>
      <c r="E135" s="303" t="s">
        <v>1197</v>
      </c>
      <c r="F135" s="303">
        <v>-10</v>
      </c>
    </row>
    <row r="136" ht="64.8" spans="1:6">
      <c r="A136" s="291">
        <v>135</v>
      </c>
      <c r="B136" s="301" t="s">
        <v>1166</v>
      </c>
      <c r="C136" s="302" t="s">
        <v>1198</v>
      </c>
      <c r="D136" s="303" t="s">
        <v>1199</v>
      </c>
      <c r="E136" s="303" t="s">
        <v>1200</v>
      </c>
      <c r="F136" s="303">
        <v>-10</v>
      </c>
    </row>
    <row r="137" ht="81" spans="1:6">
      <c r="A137" s="291">
        <v>136</v>
      </c>
      <c r="B137" s="301" t="s">
        <v>1166</v>
      </c>
      <c r="C137" s="302" t="s">
        <v>1201</v>
      </c>
      <c r="D137" s="303" t="s">
        <v>1202</v>
      </c>
      <c r="E137" s="303" t="s">
        <v>1203</v>
      </c>
      <c r="F137" s="303">
        <v>-10</v>
      </c>
    </row>
    <row r="138" ht="48.6" spans="1:6">
      <c r="A138" s="291">
        <v>137</v>
      </c>
      <c r="B138" s="301" t="s">
        <v>1166</v>
      </c>
      <c r="C138" s="302" t="s">
        <v>1204</v>
      </c>
      <c r="D138" s="303" t="s">
        <v>1205</v>
      </c>
      <c r="E138" s="303" t="s">
        <v>1206</v>
      </c>
      <c r="F138" s="303">
        <v>-15</v>
      </c>
    </row>
    <row r="139" ht="48.6" spans="1:6">
      <c r="A139" s="291">
        <v>138</v>
      </c>
      <c r="B139" s="301" t="s">
        <v>1166</v>
      </c>
      <c r="C139" s="302" t="s">
        <v>1207</v>
      </c>
      <c r="D139" s="303" t="s">
        <v>1208</v>
      </c>
      <c r="E139" s="303" t="s">
        <v>1209</v>
      </c>
      <c r="F139" s="303">
        <v>-5</v>
      </c>
    </row>
    <row r="140" ht="64.8" spans="1:6">
      <c r="A140" s="291">
        <v>139</v>
      </c>
      <c r="B140" s="301" t="s">
        <v>1166</v>
      </c>
      <c r="C140" s="302" t="s">
        <v>1210</v>
      </c>
      <c r="D140" s="303" t="s">
        <v>1211</v>
      </c>
      <c r="E140" s="303" t="s">
        <v>1212</v>
      </c>
      <c r="F140" s="303">
        <v>0</v>
      </c>
    </row>
    <row r="141" ht="129.6" spans="1:6">
      <c r="A141" s="291">
        <v>140</v>
      </c>
      <c r="B141" s="301" t="s">
        <v>1166</v>
      </c>
      <c r="C141" s="302" t="s">
        <v>1213</v>
      </c>
      <c r="D141" s="303" t="s">
        <v>1214</v>
      </c>
      <c r="E141" s="303" t="s">
        <v>1215</v>
      </c>
      <c r="F141" s="303">
        <v>-15</v>
      </c>
    </row>
    <row r="142" ht="129.6" spans="1:6">
      <c r="A142" s="291">
        <v>141</v>
      </c>
      <c r="B142" s="301" t="s">
        <v>1166</v>
      </c>
      <c r="C142" s="302" t="s">
        <v>1216</v>
      </c>
      <c r="D142" s="303" t="s">
        <v>1217</v>
      </c>
      <c r="E142" s="303" t="s">
        <v>1218</v>
      </c>
      <c r="F142" s="303">
        <v>-10</v>
      </c>
    </row>
    <row r="143" ht="97.2" spans="1:6">
      <c r="A143" s="291">
        <v>142</v>
      </c>
      <c r="B143" s="301" t="s">
        <v>1166</v>
      </c>
      <c r="C143" s="302" t="s">
        <v>1219</v>
      </c>
      <c r="D143" s="303" t="s">
        <v>1220</v>
      </c>
      <c r="E143" s="303" t="s">
        <v>1221</v>
      </c>
      <c r="F143" s="303" t="s">
        <v>1065</v>
      </c>
    </row>
    <row r="144" ht="48.6" spans="1:6">
      <c r="A144" s="291">
        <v>143</v>
      </c>
      <c r="B144" s="301" t="s">
        <v>1166</v>
      </c>
      <c r="C144" s="302" t="s">
        <v>1222</v>
      </c>
      <c r="D144" s="303" t="s">
        <v>1223</v>
      </c>
      <c r="E144" s="303" t="s">
        <v>1224</v>
      </c>
      <c r="F144" s="303">
        <v>-10</v>
      </c>
    </row>
    <row r="145" ht="113.4" spans="1:6">
      <c r="A145" s="291">
        <v>144</v>
      </c>
      <c r="B145" s="301" t="s">
        <v>1166</v>
      </c>
      <c r="C145" s="302" t="s">
        <v>1225</v>
      </c>
      <c r="D145" s="303" t="s">
        <v>1226</v>
      </c>
      <c r="E145" s="303" t="s">
        <v>1227</v>
      </c>
      <c r="F145" s="303">
        <v>-10</v>
      </c>
    </row>
    <row r="146" ht="48.6" spans="1:6">
      <c r="A146" s="291">
        <v>145</v>
      </c>
      <c r="B146" s="301" t="s">
        <v>1166</v>
      </c>
      <c r="C146" s="302" t="s">
        <v>1228</v>
      </c>
      <c r="D146" s="303" t="s">
        <v>1229</v>
      </c>
      <c r="E146" s="303" t="s">
        <v>1230</v>
      </c>
      <c r="F146" s="303" t="s">
        <v>1069</v>
      </c>
    </row>
    <row r="147" ht="81" spans="1:6">
      <c r="A147" s="291">
        <v>146</v>
      </c>
      <c r="B147" s="301" t="s">
        <v>1166</v>
      </c>
      <c r="C147" s="302" t="s">
        <v>453</v>
      </c>
      <c r="D147" s="303" t="s">
        <v>1231</v>
      </c>
      <c r="E147" s="303" t="s">
        <v>1232</v>
      </c>
      <c r="F147" s="303" t="s">
        <v>1069</v>
      </c>
    </row>
    <row r="148" ht="81" spans="1:6">
      <c r="A148" s="291">
        <v>147</v>
      </c>
      <c r="B148" s="301" t="s">
        <v>1166</v>
      </c>
      <c r="C148" s="302" t="s">
        <v>1233</v>
      </c>
      <c r="D148" s="303" t="s">
        <v>1234</v>
      </c>
      <c r="E148" s="303" t="s">
        <v>1235</v>
      </c>
      <c r="F148" s="303" t="s">
        <v>1069</v>
      </c>
    </row>
    <row r="149" ht="162" spans="1:6">
      <c r="A149" s="291">
        <v>148</v>
      </c>
      <c r="B149" s="301" t="s">
        <v>1166</v>
      </c>
      <c r="C149" s="302" t="s">
        <v>1236</v>
      </c>
      <c r="D149" s="303" t="s">
        <v>1237</v>
      </c>
      <c r="E149" s="303" t="s">
        <v>1238</v>
      </c>
      <c r="F149" s="303">
        <v>-15</v>
      </c>
    </row>
    <row r="150" ht="97.2" spans="1:6">
      <c r="A150" s="291">
        <v>149</v>
      </c>
      <c r="B150" s="301" t="s">
        <v>1166</v>
      </c>
      <c r="C150" s="302" t="s">
        <v>1239</v>
      </c>
      <c r="D150" s="303" t="s">
        <v>1240</v>
      </c>
      <c r="E150" s="303" t="s">
        <v>1241</v>
      </c>
      <c r="F150" s="303">
        <v>35</v>
      </c>
    </row>
    <row r="151" ht="81" spans="1:6">
      <c r="A151" s="291">
        <v>150</v>
      </c>
      <c r="B151" s="301" t="s">
        <v>1166</v>
      </c>
      <c r="C151" s="302" t="s">
        <v>1242</v>
      </c>
      <c r="D151" s="303" t="s">
        <v>1243</v>
      </c>
      <c r="E151" s="303" t="s">
        <v>1244</v>
      </c>
      <c r="F151" s="303">
        <v>-15</v>
      </c>
    </row>
    <row r="152" ht="64.8" spans="1:6">
      <c r="A152" s="291">
        <v>151</v>
      </c>
      <c r="B152" s="301" t="s">
        <v>1166</v>
      </c>
      <c r="C152" s="302" t="s">
        <v>1245</v>
      </c>
      <c r="D152" s="303" t="s">
        <v>1246</v>
      </c>
      <c r="E152" s="303" t="s">
        <v>1247</v>
      </c>
      <c r="F152" s="303">
        <v>0</v>
      </c>
    </row>
    <row r="153" ht="64.8" spans="1:6">
      <c r="A153" s="291">
        <v>152</v>
      </c>
      <c r="B153" s="301" t="s">
        <v>1166</v>
      </c>
      <c r="C153" s="302" t="s">
        <v>1248</v>
      </c>
      <c r="D153" s="303" t="s">
        <v>1249</v>
      </c>
      <c r="E153" s="303" t="s">
        <v>1250</v>
      </c>
      <c r="F153" s="303">
        <v>-35</v>
      </c>
    </row>
    <row r="154" ht="32.4" spans="1:6">
      <c r="A154" s="291">
        <v>153</v>
      </c>
      <c r="B154" s="301" t="s">
        <v>1166</v>
      </c>
      <c r="C154" s="302" t="s">
        <v>1251</v>
      </c>
      <c r="D154" s="303" t="s">
        <v>1252</v>
      </c>
      <c r="E154" s="303" t="s">
        <v>1253</v>
      </c>
      <c r="F154" s="303" t="s">
        <v>1254</v>
      </c>
    </row>
    <row r="155" ht="32.4" spans="1:6">
      <c r="A155" s="291">
        <v>154</v>
      </c>
      <c r="B155" s="304" t="s">
        <v>1255</v>
      </c>
      <c r="C155" s="305" t="s">
        <v>1256</v>
      </c>
      <c r="D155" s="306" t="s">
        <v>1257</v>
      </c>
      <c r="E155" s="306" t="s">
        <v>1258</v>
      </c>
      <c r="F155" s="306">
        <v>5</v>
      </c>
    </row>
    <row r="156" spans="1:6">
      <c r="A156" s="291">
        <v>155</v>
      </c>
      <c r="B156" s="304" t="s">
        <v>1255</v>
      </c>
      <c r="C156" s="305" t="s">
        <v>1259</v>
      </c>
      <c r="D156" s="306" t="s">
        <v>1260</v>
      </c>
      <c r="E156" s="306" t="s">
        <v>1261</v>
      </c>
      <c r="F156" s="306" t="s">
        <v>1262</v>
      </c>
    </row>
    <row r="157" ht="32.4" spans="1:6">
      <c r="A157" s="291">
        <v>156</v>
      </c>
      <c r="B157" s="304" t="s">
        <v>1255</v>
      </c>
      <c r="C157" s="305" t="s">
        <v>1263</v>
      </c>
      <c r="D157" s="306" t="s">
        <v>1264</v>
      </c>
      <c r="E157" s="306" t="s">
        <v>1265</v>
      </c>
      <c r="F157" s="306">
        <v>-5</v>
      </c>
    </row>
    <row r="158" spans="1:6">
      <c r="A158" s="291">
        <v>157</v>
      </c>
      <c r="B158" s="304" t="s">
        <v>1255</v>
      </c>
      <c r="C158" s="305" t="s">
        <v>1266</v>
      </c>
      <c r="D158" s="306" t="s">
        <v>1267</v>
      </c>
      <c r="E158" s="306" t="s">
        <v>1268</v>
      </c>
      <c r="F158" s="306" t="s">
        <v>1269</v>
      </c>
    </row>
    <row r="159" ht="64.8" spans="1:6">
      <c r="A159" s="291">
        <v>158</v>
      </c>
      <c r="B159" s="304" t="s">
        <v>1255</v>
      </c>
      <c r="C159" s="305" t="s">
        <v>1270</v>
      </c>
      <c r="D159" s="306" t="s">
        <v>1271</v>
      </c>
      <c r="E159" s="306" t="s">
        <v>1272</v>
      </c>
      <c r="F159" s="306" t="s">
        <v>1273</v>
      </c>
    </row>
    <row r="160" ht="97.2" spans="1:6">
      <c r="A160" s="291">
        <v>159</v>
      </c>
      <c r="B160" s="304" t="s">
        <v>1255</v>
      </c>
      <c r="C160" s="305" t="s">
        <v>1274</v>
      </c>
      <c r="D160" s="306" t="s">
        <v>1275</v>
      </c>
      <c r="E160" s="306" t="s">
        <v>1276</v>
      </c>
      <c r="F160" s="306">
        <v>5</v>
      </c>
    </row>
    <row r="161" ht="48.6" spans="1:6">
      <c r="A161" s="291">
        <v>160</v>
      </c>
      <c r="B161" s="304" t="s">
        <v>1255</v>
      </c>
      <c r="C161" s="305" t="s">
        <v>1277</v>
      </c>
      <c r="D161" s="306" t="s">
        <v>1278</v>
      </c>
      <c r="E161" s="306" t="s">
        <v>1279</v>
      </c>
      <c r="F161" s="306">
        <v>15</v>
      </c>
    </row>
    <row r="162" ht="129.6" spans="1:6">
      <c r="A162" s="291">
        <v>161</v>
      </c>
      <c r="B162" s="304" t="s">
        <v>1255</v>
      </c>
      <c r="C162" s="305" t="s">
        <v>1280</v>
      </c>
      <c r="D162" s="306" t="s">
        <v>1281</v>
      </c>
      <c r="E162" s="306" t="s">
        <v>1282</v>
      </c>
      <c r="F162" s="306">
        <v>10</v>
      </c>
    </row>
    <row r="163" ht="48.6" spans="1:6">
      <c r="A163" s="291">
        <v>162</v>
      </c>
      <c r="B163" s="304" t="s">
        <v>1255</v>
      </c>
      <c r="C163" s="305" t="s">
        <v>1283</v>
      </c>
      <c r="D163" s="306" t="s">
        <v>1284</v>
      </c>
      <c r="E163" s="306" t="s">
        <v>1285</v>
      </c>
      <c r="F163" s="306">
        <v>10</v>
      </c>
    </row>
    <row r="164" ht="48.6" spans="1:6">
      <c r="A164" s="291">
        <v>163</v>
      </c>
      <c r="B164" s="304" t="s">
        <v>1255</v>
      </c>
      <c r="C164" s="305" t="s">
        <v>1286</v>
      </c>
      <c r="D164" s="306" t="s">
        <v>1287</v>
      </c>
      <c r="E164" s="306" t="s">
        <v>1288</v>
      </c>
      <c r="F164" s="306">
        <v>10</v>
      </c>
    </row>
    <row r="165" ht="113.4" spans="1:6">
      <c r="A165" s="291">
        <v>164</v>
      </c>
      <c r="B165" s="304" t="s">
        <v>1255</v>
      </c>
      <c r="C165" s="305" t="s">
        <v>1289</v>
      </c>
      <c r="D165" s="306" t="s">
        <v>1290</v>
      </c>
      <c r="E165" s="306" t="s">
        <v>1291</v>
      </c>
      <c r="F165" s="306" t="s">
        <v>1292</v>
      </c>
    </row>
    <row r="166" ht="64.8" spans="1:6">
      <c r="A166" s="291">
        <v>165</v>
      </c>
      <c r="B166" s="304" t="s">
        <v>1255</v>
      </c>
      <c r="C166" s="305" t="s">
        <v>1293</v>
      </c>
      <c r="D166" s="306" t="s">
        <v>1294</v>
      </c>
      <c r="E166" s="306" t="s">
        <v>1295</v>
      </c>
      <c r="F166" s="306">
        <v>20</v>
      </c>
    </row>
    <row r="167" ht="48.6" spans="1:6">
      <c r="A167" s="291">
        <v>166</v>
      </c>
      <c r="B167" s="304" t="s">
        <v>1255</v>
      </c>
      <c r="C167" s="305" t="s">
        <v>1296</v>
      </c>
      <c r="D167" s="306" t="s">
        <v>1297</v>
      </c>
      <c r="E167" s="306" t="s">
        <v>1298</v>
      </c>
      <c r="F167" s="306">
        <v>0</v>
      </c>
    </row>
    <row r="168" ht="32.4" spans="1:6">
      <c r="A168" s="291">
        <v>167</v>
      </c>
      <c r="B168" s="304" t="s">
        <v>1255</v>
      </c>
      <c r="C168" s="305" t="s">
        <v>1299</v>
      </c>
      <c r="D168" s="306" t="s">
        <v>1300</v>
      </c>
      <c r="E168" s="306" t="s">
        <v>1300</v>
      </c>
      <c r="F168" s="306">
        <v>0</v>
      </c>
    </row>
    <row r="169" ht="97.2" spans="1:6">
      <c r="A169" s="291">
        <v>168</v>
      </c>
      <c r="B169" s="304" t="s">
        <v>1255</v>
      </c>
      <c r="C169" s="305" t="s">
        <v>1301</v>
      </c>
      <c r="D169" s="306" t="s">
        <v>1302</v>
      </c>
      <c r="E169" s="306" t="s">
        <v>1303</v>
      </c>
      <c r="F169" s="306">
        <v>10</v>
      </c>
    </row>
    <row r="170" ht="64.8" spans="1:6">
      <c r="A170" s="291">
        <v>169</v>
      </c>
      <c r="B170" s="304" t="s">
        <v>1255</v>
      </c>
      <c r="C170" s="305" t="s">
        <v>1304</v>
      </c>
      <c r="D170" s="306" t="s">
        <v>1305</v>
      </c>
      <c r="E170" s="306" t="s">
        <v>1306</v>
      </c>
      <c r="F170" s="306" t="s">
        <v>1307</v>
      </c>
    </row>
    <row r="171" ht="194.4" spans="1:6">
      <c r="A171" s="291">
        <v>170</v>
      </c>
      <c r="B171" s="304" t="s">
        <v>1255</v>
      </c>
      <c r="C171" s="305" t="s">
        <v>1308</v>
      </c>
      <c r="D171" s="306" t="s">
        <v>1309</v>
      </c>
      <c r="E171" s="306" t="s">
        <v>1310</v>
      </c>
      <c r="F171" s="1676" t="s">
        <v>1311</v>
      </c>
    </row>
    <row r="172" ht="48.6" spans="1:6">
      <c r="A172" s="291">
        <v>171</v>
      </c>
      <c r="B172" s="304" t="s">
        <v>1255</v>
      </c>
      <c r="C172" s="307" t="s">
        <v>1312</v>
      </c>
      <c r="D172" s="308" t="s">
        <v>1313</v>
      </c>
      <c r="E172" s="308" t="s">
        <v>1314</v>
      </c>
      <c r="F172" s="1677" t="s">
        <v>1315</v>
      </c>
    </row>
  </sheetData>
  <autoFilter xmlns:etc="http://www.wps.cn/officeDocument/2017/etCustomData" ref="A1:F172"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
  </sheetPr>
  <dimension ref="A1:G49"/>
  <sheetViews>
    <sheetView workbookViewId="0">
      <pane xSplit="1" topLeftCell="B1" activePane="topRight" state="frozen"/>
      <selection/>
      <selection pane="topRight" activeCell="A1" sqref="A1"/>
    </sheetView>
  </sheetViews>
  <sheetFormatPr defaultColWidth="9" defaultRowHeight="14.4" outlineLevelCol="6"/>
  <cols>
    <col min="1" max="1" width="17" style="255" customWidth="1"/>
    <col min="2" max="2" width="16.9074074074074" style="255" customWidth="1"/>
    <col min="3" max="3" width="69.6388888888889" style="255" customWidth="1"/>
    <col min="4" max="4" width="9.73148148148148" style="255" customWidth="1"/>
    <col min="5" max="5" width="10.8148148148148" style="255" customWidth="1"/>
    <col min="6" max="6" width="76.0925925925926" style="255" customWidth="1"/>
    <col min="7" max="7" width="9.73148148148148" style="255" customWidth="1"/>
    <col min="8" max="16384" width="9" style="255"/>
  </cols>
  <sheetData>
    <row r="1" ht="16.95" spans="1:7">
      <c r="A1" s="256" t="s">
        <v>1316</v>
      </c>
      <c r="B1" s="257" t="s">
        <v>1317</v>
      </c>
      <c r="C1" s="258" t="s">
        <v>1318</v>
      </c>
      <c r="D1" s="259" t="s">
        <v>1319</v>
      </c>
      <c r="E1" s="256" t="s">
        <v>1320</v>
      </c>
      <c r="F1" s="257" t="s">
        <v>1321</v>
      </c>
      <c r="G1" s="259" t="s">
        <v>1322</v>
      </c>
    </row>
    <row r="2" ht="33.15" spans="1:7">
      <c r="A2" s="260" t="s">
        <v>1323</v>
      </c>
      <c r="B2" s="261" t="s">
        <v>1324</v>
      </c>
      <c r="C2" s="262" t="s">
        <v>1325</v>
      </c>
      <c r="D2" s="263">
        <v>5</v>
      </c>
      <c r="E2" s="264" t="s">
        <v>1326</v>
      </c>
      <c r="F2" s="262" t="s">
        <v>1327</v>
      </c>
      <c r="G2" s="265">
        <v>3</v>
      </c>
    </row>
    <row r="3" ht="31.95" spans="1:7">
      <c r="A3" s="260" t="s">
        <v>1328</v>
      </c>
      <c r="B3" s="261" t="s">
        <v>1324</v>
      </c>
      <c r="C3" s="262" t="s">
        <v>1329</v>
      </c>
      <c r="D3" s="263">
        <v>5</v>
      </c>
      <c r="E3" s="266" t="s">
        <v>1330</v>
      </c>
      <c r="F3" s="262" t="s">
        <v>1331</v>
      </c>
      <c r="G3" s="265">
        <v>3</v>
      </c>
    </row>
    <row r="4" ht="32.4" spans="1:7">
      <c r="A4" s="260" t="s">
        <v>1332</v>
      </c>
      <c r="B4" s="261" t="s">
        <v>1324</v>
      </c>
      <c r="C4" s="262" t="s">
        <v>1333</v>
      </c>
      <c r="D4" s="263">
        <v>5</v>
      </c>
      <c r="E4" s="264" t="s">
        <v>1334</v>
      </c>
      <c r="F4" s="262" t="s">
        <v>1335</v>
      </c>
      <c r="G4" s="265">
        <v>6</v>
      </c>
    </row>
    <row r="5" ht="17.4" spans="1:7">
      <c r="A5" s="260" t="s">
        <v>1336</v>
      </c>
      <c r="B5" s="261" t="s">
        <v>1337</v>
      </c>
      <c r="C5" s="262" t="s">
        <v>1338</v>
      </c>
      <c r="D5" s="263">
        <v>5</v>
      </c>
      <c r="E5" s="264" t="s">
        <v>1339</v>
      </c>
      <c r="F5" s="262" t="s">
        <v>1340</v>
      </c>
      <c r="G5" s="265">
        <v>2</v>
      </c>
    </row>
    <row r="6" ht="46.8" spans="1:7">
      <c r="A6" s="260" t="s">
        <v>1341</v>
      </c>
      <c r="B6" s="261" t="s">
        <v>1337</v>
      </c>
      <c r="C6" s="262" t="s">
        <v>1342</v>
      </c>
      <c r="D6" s="263">
        <v>10</v>
      </c>
      <c r="E6" s="264" t="s">
        <v>1343</v>
      </c>
      <c r="F6" s="262" t="s">
        <v>1344</v>
      </c>
      <c r="G6" s="265">
        <v>1</v>
      </c>
    </row>
    <row r="7" ht="31.2" spans="1:7">
      <c r="A7" s="267" t="s">
        <v>1345</v>
      </c>
      <c r="B7" s="268" t="s">
        <v>1346</v>
      </c>
      <c r="C7" s="262" t="s">
        <v>1347</v>
      </c>
      <c r="D7" s="263">
        <v>10</v>
      </c>
      <c r="E7" s="264" t="s">
        <v>1348</v>
      </c>
      <c r="F7" s="262" t="s">
        <v>1349</v>
      </c>
      <c r="G7" s="265">
        <v>1</v>
      </c>
    </row>
    <row r="8" ht="31.2" spans="1:7">
      <c r="A8" s="267" t="s">
        <v>1350</v>
      </c>
      <c r="B8" s="268" t="s">
        <v>1346</v>
      </c>
      <c r="C8" s="262" t="s">
        <v>1351</v>
      </c>
      <c r="D8" s="263">
        <v>10</v>
      </c>
      <c r="E8" s="264" t="s">
        <v>1352</v>
      </c>
      <c r="F8" s="262" t="s">
        <v>1353</v>
      </c>
      <c r="G8" s="265">
        <v>1</v>
      </c>
    </row>
    <row r="9" ht="46.8" spans="1:7">
      <c r="A9" s="267" t="s">
        <v>1354</v>
      </c>
      <c r="B9" s="268" t="s">
        <v>1346</v>
      </c>
      <c r="C9" s="262" t="s">
        <v>1355</v>
      </c>
      <c r="D9" s="263">
        <v>5</v>
      </c>
      <c r="E9" s="264" t="s">
        <v>1356</v>
      </c>
      <c r="F9" s="262" t="s">
        <v>1357</v>
      </c>
      <c r="G9" s="265">
        <v>1</v>
      </c>
    </row>
    <row r="10" ht="31.2" spans="1:7">
      <c r="A10" s="267" t="s">
        <v>1358</v>
      </c>
      <c r="B10" s="268" t="s">
        <v>1359</v>
      </c>
      <c r="C10" s="262" t="s">
        <v>1360</v>
      </c>
      <c r="D10" s="263">
        <v>10</v>
      </c>
      <c r="E10" s="264" t="s">
        <v>1361</v>
      </c>
      <c r="F10" s="262" t="s">
        <v>1362</v>
      </c>
      <c r="G10" s="265">
        <v>1</v>
      </c>
    </row>
    <row r="11" ht="31.95" spans="1:7">
      <c r="A11" s="267" t="s">
        <v>1363</v>
      </c>
      <c r="B11" s="268" t="s">
        <v>1364</v>
      </c>
      <c r="C11" s="262" t="s">
        <v>1365</v>
      </c>
      <c r="D11" s="263">
        <v>10</v>
      </c>
      <c r="E11" s="269" t="s">
        <v>1366</v>
      </c>
      <c r="F11" s="270" t="s">
        <v>1367</v>
      </c>
      <c r="G11" s="271">
        <v>3</v>
      </c>
    </row>
    <row r="12" ht="47.55" spans="1:7">
      <c r="A12" s="267" t="s">
        <v>1368</v>
      </c>
      <c r="B12" s="268" t="s">
        <v>116</v>
      </c>
      <c r="C12" s="262" t="s">
        <v>1369</v>
      </c>
      <c r="D12" s="263">
        <v>5</v>
      </c>
      <c r="E12" s="256" t="s">
        <v>1370</v>
      </c>
      <c r="F12" s="257" t="s">
        <v>1371</v>
      </c>
      <c r="G12" s="259" t="s">
        <v>1322</v>
      </c>
    </row>
    <row r="13" ht="62.4" spans="1:7">
      <c r="A13" s="267" t="s">
        <v>1372</v>
      </c>
      <c r="B13" s="268" t="s">
        <v>1373</v>
      </c>
      <c r="C13" s="262" t="s">
        <v>1374</v>
      </c>
      <c r="D13" s="263">
        <v>10</v>
      </c>
      <c r="E13" s="272" t="s">
        <v>1375</v>
      </c>
      <c r="F13" s="262" t="s">
        <v>1376</v>
      </c>
      <c r="G13" s="265">
        <v>3</v>
      </c>
    </row>
    <row r="14" ht="46.8" spans="1:7">
      <c r="A14" s="267" t="s">
        <v>1377</v>
      </c>
      <c r="B14" s="268" t="s">
        <v>1373</v>
      </c>
      <c r="C14" s="262" t="s">
        <v>1378</v>
      </c>
      <c r="D14" s="263">
        <v>5</v>
      </c>
      <c r="E14" s="272" t="s">
        <v>1379</v>
      </c>
      <c r="F14" s="262" t="s">
        <v>1380</v>
      </c>
      <c r="G14" s="265">
        <v>2</v>
      </c>
    </row>
    <row r="15" ht="46.8" spans="1:7">
      <c r="A15" s="267" t="s">
        <v>1381</v>
      </c>
      <c r="B15" s="268" t="s">
        <v>1382</v>
      </c>
      <c r="C15" s="262" t="s">
        <v>1383</v>
      </c>
      <c r="D15" s="263">
        <v>5</v>
      </c>
      <c r="E15" s="272" t="s">
        <v>1384</v>
      </c>
      <c r="F15" s="262" t="s">
        <v>1385</v>
      </c>
      <c r="G15" s="265">
        <v>2</v>
      </c>
    </row>
    <row r="16" ht="31.2" spans="1:7">
      <c r="A16" s="267" t="s">
        <v>1386</v>
      </c>
      <c r="B16" s="268" t="s">
        <v>1387</v>
      </c>
      <c r="C16" s="262" t="s">
        <v>1388</v>
      </c>
      <c r="D16" s="263">
        <v>10</v>
      </c>
      <c r="E16" s="272" t="s">
        <v>1389</v>
      </c>
      <c r="F16" s="262" t="s">
        <v>1390</v>
      </c>
      <c r="G16" s="265">
        <v>3</v>
      </c>
    </row>
    <row r="17" ht="31.2" spans="1:7">
      <c r="A17" s="273" t="s">
        <v>1391</v>
      </c>
      <c r="B17" s="274" t="s">
        <v>1392</v>
      </c>
      <c r="C17" s="262" t="s">
        <v>1347</v>
      </c>
      <c r="D17" s="263">
        <v>10</v>
      </c>
      <c r="E17" s="272" t="s">
        <v>1393</v>
      </c>
      <c r="F17" s="262" t="s">
        <v>1394</v>
      </c>
      <c r="G17" s="265">
        <v>3</v>
      </c>
    </row>
    <row r="18" ht="17.4" spans="1:7">
      <c r="A18" s="273" t="s">
        <v>1395</v>
      </c>
      <c r="B18" s="274" t="s">
        <v>1392</v>
      </c>
      <c r="C18" s="262" t="s">
        <v>1351</v>
      </c>
      <c r="D18" s="263">
        <v>10</v>
      </c>
      <c r="E18" s="272" t="s">
        <v>1396</v>
      </c>
      <c r="F18" s="262" t="s">
        <v>1397</v>
      </c>
      <c r="G18" s="265">
        <v>5</v>
      </c>
    </row>
    <row r="19" ht="17.4" spans="1:7">
      <c r="A19" s="273" t="s">
        <v>1398</v>
      </c>
      <c r="B19" s="274" t="s">
        <v>1392</v>
      </c>
      <c r="C19" s="262" t="s">
        <v>1399</v>
      </c>
      <c r="D19" s="263">
        <v>8</v>
      </c>
      <c r="E19" s="272" t="s">
        <v>1400</v>
      </c>
      <c r="F19" s="262" t="s">
        <v>1401</v>
      </c>
      <c r="G19" s="265">
        <v>1</v>
      </c>
    </row>
    <row r="20" ht="31.2" spans="1:7">
      <c r="A20" s="273" t="s">
        <v>1402</v>
      </c>
      <c r="B20" s="274" t="s">
        <v>1392</v>
      </c>
      <c r="C20" s="262" t="s">
        <v>1403</v>
      </c>
      <c r="D20" s="263">
        <v>10</v>
      </c>
      <c r="E20" s="272" t="s">
        <v>1404</v>
      </c>
      <c r="F20" s="262" t="s">
        <v>1405</v>
      </c>
      <c r="G20" s="265">
        <v>2</v>
      </c>
    </row>
    <row r="21" ht="17.4" spans="1:7">
      <c r="A21" s="273" t="s">
        <v>1406</v>
      </c>
      <c r="B21" s="274" t="s">
        <v>1392</v>
      </c>
      <c r="C21" s="262" t="s">
        <v>1407</v>
      </c>
      <c r="D21" s="263">
        <v>3</v>
      </c>
      <c r="E21" s="272" t="s">
        <v>1408</v>
      </c>
      <c r="F21" s="262" t="s">
        <v>1409</v>
      </c>
      <c r="G21" s="265">
        <v>3</v>
      </c>
    </row>
    <row r="22" ht="31.2" spans="1:7">
      <c r="A22" s="273" t="s">
        <v>1410</v>
      </c>
      <c r="B22" s="274" t="s">
        <v>1411</v>
      </c>
      <c r="C22" s="262" t="s">
        <v>1412</v>
      </c>
      <c r="D22" s="263">
        <v>0</v>
      </c>
    </row>
    <row r="23" ht="31.2" spans="1:7">
      <c r="A23" s="273" t="s">
        <v>1413</v>
      </c>
      <c r="B23" s="274" t="s">
        <v>1414</v>
      </c>
      <c r="C23" s="262" t="s">
        <v>1415</v>
      </c>
      <c r="D23" s="263">
        <v>1</v>
      </c>
    </row>
    <row r="24" ht="31.2" spans="1:7">
      <c r="A24" s="273" t="s">
        <v>1416</v>
      </c>
      <c r="B24" s="274" t="s">
        <v>1417</v>
      </c>
      <c r="C24" s="262" t="s">
        <v>1418</v>
      </c>
      <c r="D24" s="263">
        <v>1</v>
      </c>
    </row>
    <row r="25" ht="16.2" spans="1:7">
      <c r="A25" s="273" t="s">
        <v>1419</v>
      </c>
      <c r="B25" s="274" t="s">
        <v>1417</v>
      </c>
      <c r="C25" s="262" t="s">
        <v>1420</v>
      </c>
      <c r="D25" s="263">
        <v>10</v>
      </c>
    </row>
    <row r="26" ht="16.2" spans="1:7">
      <c r="A26" s="273" t="s">
        <v>1421</v>
      </c>
      <c r="B26" s="274" t="s">
        <v>1417</v>
      </c>
      <c r="C26" s="262" t="s">
        <v>1422</v>
      </c>
      <c r="D26" s="263">
        <v>5</v>
      </c>
    </row>
    <row r="27" ht="94.35" spans="1:7">
      <c r="A27" s="273" t="s">
        <v>1423</v>
      </c>
      <c r="B27" s="274" t="s">
        <v>1417</v>
      </c>
      <c r="C27" s="262" t="s">
        <v>1424</v>
      </c>
      <c r="D27" s="263">
        <v>15</v>
      </c>
    </row>
    <row r="28" ht="31.95" spans="1:7">
      <c r="A28" s="275" t="s">
        <v>1425</v>
      </c>
      <c r="B28" s="276" t="s">
        <v>1426</v>
      </c>
      <c r="C28" s="277" t="s">
        <v>1427</v>
      </c>
      <c r="D28" s="278">
        <v>3</v>
      </c>
    </row>
    <row r="29" ht="16.35" spans="1:7">
      <c r="A29" s="275"/>
      <c r="B29" s="276"/>
      <c r="C29" s="279" t="s">
        <v>1428</v>
      </c>
      <c r="D29" s="278"/>
    </row>
    <row r="30" ht="31.95" spans="1:7">
      <c r="A30" s="280" t="s">
        <v>1429</v>
      </c>
      <c r="B30" s="281" t="s">
        <v>1426</v>
      </c>
      <c r="C30" s="282" t="s">
        <v>1430</v>
      </c>
      <c r="D30" s="283">
        <v>3</v>
      </c>
    </row>
    <row r="31" ht="16.35" spans="1:7">
      <c r="A31" s="280"/>
      <c r="B31" s="281"/>
      <c r="C31" s="279" t="s">
        <v>1431</v>
      </c>
      <c r="D31" s="283"/>
    </row>
    <row r="32" ht="18.75" spans="1:7">
      <c r="A32" s="275" t="s">
        <v>1432</v>
      </c>
      <c r="B32" s="276" t="s">
        <v>1433</v>
      </c>
      <c r="C32" s="284" t="s">
        <v>1434</v>
      </c>
      <c r="D32" s="278">
        <v>10</v>
      </c>
    </row>
    <row r="33" ht="31.2" spans="1:4">
      <c r="A33" s="285" t="s">
        <v>1435</v>
      </c>
      <c r="B33" s="286" t="s">
        <v>1436</v>
      </c>
      <c r="C33" s="262" t="s">
        <v>1437</v>
      </c>
      <c r="D33" s="263">
        <v>1</v>
      </c>
    </row>
    <row r="34" ht="62.4" spans="1:4">
      <c r="A34" s="285" t="s">
        <v>1438</v>
      </c>
      <c r="B34" s="286" t="s">
        <v>1436</v>
      </c>
      <c r="C34" s="262" t="s">
        <v>1439</v>
      </c>
      <c r="D34" s="263" t="s">
        <v>1440</v>
      </c>
    </row>
    <row r="35" ht="31.2" spans="1:4">
      <c r="A35" s="285" t="s">
        <v>1441</v>
      </c>
      <c r="B35" s="286" t="s">
        <v>1436</v>
      </c>
      <c r="C35" s="262" t="s">
        <v>1442</v>
      </c>
      <c r="D35" s="263">
        <v>20</v>
      </c>
    </row>
    <row r="36" ht="31.2" spans="1:4">
      <c r="A36" s="285" t="s">
        <v>1443</v>
      </c>
      <c r="B36" s="286" t="s">
        <v>1436</v>
      </c>
      <c r="C36" s="262" t="s">
        <v>1444</v>
      </c>
      <c r="D36" s="263">
        <v>10</v>
      </c>
    </row>
    <row r="37" ht="31.2" spans="1:4">
      <c r="A37" s="285" t="s">
        <v>1445</v>
      </c>
      <c r="B37" s="286" t="s">
        <v>1436</v>
      </c>
      <c r="C37" s="262" t="s">
        <v>1446</v>
      </c>
      <c r="D37" s="263">
        <v>3</v>
      </c>
    </row>
    <row r="38" ht="31.2" spans="1:4">
      <c r="A38" s="285" t="s">
        <v>1447</v>
      </c>
      <c r="B38" s="286" t="s">
        <v>1436</v>
      </c>
      <c r="C38" s="262" t="s">
        <v>1448</v>
      </c>
      <c r="D38" s="263">
        <v>15</v>
      </c>
    </row>
    <row r="39" ht="16.2" spans="1:4">
      <c r="A39" s="287" t="s">
        <v>1449</v>
      </c>
      <c r="B39" s="288" t="s">
        <v>1450</v>
      </c>
      <c r="C39" s="262" t="s">
        <v>1451</v>
      </c>
      <c r="D39" s="263">
        <v>3</v>
      </c>
    </row>
    <row r="40" ht="16.2" spans="1:4">
      <c r="A40" s="287" t="s">
        <v>1452</v>
      </c>
      <c r="B40" s="288" t="s">
        <v>1450</v>
      </c>
      <c r="C40" s="262" t="s">
        <v>1453</v>
      </c>
      <c r="D40" s="263">
        <v>5</v>
      </c>
    </row>
    <row r="41" ht="16.2" spans="1:4">
      <c r="A41" s="287" t="s">
        <v>1454</v>
      </c>
      <c r="B41" s="288" t="s">
        <v>1450</v>
      </c>
      <c r="C41" s="262" t="s">
        <v>1455</v>
      </c>
      <c r="D41" s="263">
        <v>5</v>
      </c>
    </row>
    <row r="42" ht="16.2" spans="1:4">
      <c r="A42" s="287" t="s">
        <v>1456</v>
      </c>
      <c r="B42" s="288" t="s">
        <v>1450</v>
      </c>
      <c r="C42" s="262" t="s">
        <v>1457</v>
      </c>
      <c r="D42" s="263">
        <v>5</v>
      </c>
    </row>
    <row r="43" ht="16.2" spans="1:4">
      <c r="A43" s="287" t="s">
        <v>1458</v>
      </c>
      <c r="B43" s="288" t="s">
        <v>1450</v>
      </c>
      <c r="C43" s="262" t="s">
        <v>1459</v>
      </c>
      <c r="D43" s="263" t="s">
        <v>1460</v>
      </c>
    </row>
    <row r="44" ht="31.2" spans="1:4">
      <c r="A44" s="287" t="s">
        <v>1461</v>
      </c>
      <c r="B44" s="288" t="s">
        <v>1450</v>
      </c>
      <c r="C44" s="262" t="s">
        <v>1462</v>
      </c>
      <c r="D44" s="263">
        <v>10</v>
      </c>
    </row>
    <row r="45" ht="62.4" spans="1:4">
      <c r="A45" s="287" t="s">
        <v>1463</v>
      </c>
      <c r="B45" s="288" t="s">
        <v>1450</v>
      </c>
      <c r="C45" s="262" t="s">
        <v>1464</v>
      </c>
      <c r="D45" s="263">
        <v>10</v>
      </c>
    </row>
    <row r="46" ht="31.2" spans="1:4">
      <c r="A46" s="287" t="s">
        <v>1465</v>
      </c>
      <c r="B46" s="288" t="s">
        <v>1466</v>
      </c>
      <c r="C46" s="262" t="s">
        <v>1467</v>
      </c>
      <c r="D46" s="263">
        <v>10</v>
      </c>
    </row>
    <row r="47" ht="62.4" spans="1:4">
      <c r="A47" s="287" t="s">
        <v>1468</v>
      </c>
      <c r="B47" s="288" t="s">
        <v>1466</v>
      </c>
      <c r="C47" s="262" t="s">
        <v>1469</v>
      </c>
      <c r="D47" s="263">
        <v>15</v>
      </c>
    </row>
    <row r="48" ht="46.8" spans="1:4">
      <c r="A48" s="287" t="s">
        <v>1470</v>
      </c>
      <c r="B48" s="288" t="s">
        <v>1471</v>
      </c>
      <c r="C48" s="262" t="s">
        <v>1472</v>
      </c>
      <c r="D48" s="263">
        <v>10</v>
      </c>
    </row>
    <row r="49" ht="62.4" spans="1:4">
      <c r="A49" s="287" t="s">
        <v>1473</v>
      </c>
      <c r="B49" s="288" t="s">
        <v>1474</v>
      </c>
      <c r="C49" s="262" t="s">
        <v>1475</v>
      </c>
      <c r="D49" s="263">
        <v>10</v>
      </c>
    </row>
  </sheetData>
  <sheetProtection formatCells="0" formatColumns="0" formatRows="0" insertRows="0" insertColumns="0" insertHyperlinks="0" deleteColumns="0" deleteRows="0" sort="0" autoFilter="0" pivotTables="0"/>
  <mergeCells count="6">
    <mergeCell ref="A28:A29"/>
    <mergeCell ref="A30:A31"/>
    <mergeCell ref="B28:B29"/>
    <mergeCell ref="B30:B31"/>
    <mergeCell ref="D28:D29"/>
    <mergeCell ref="D30:D3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43C0B"/>
  </sheetPr>
  <dimension ref="A1:I70"/>
  <sheetViews>
    <sheetView zoomScale="115" zoomScaleNormal="115" workbookViewId="0">
      <pane xSplit="2" topLeftCell="C1" activePane="topRight" state="frozen"/>
      <selection/>
      <selection pane="topRight" activeCell="A1" sqref="A1"/>
    </sheetView>
  </sheetViews>
  <sheetFormatPr defaultColWidth="9" defaultRowHeight="13.8"/>
  <cols>
    <col min="1" max="2" width="5.63888888888889" style="221" customWidth="1"/>
    <col min="3" max="4" width="30" style="221" customWidth="1"/>
    <col min="5" max="5" width="5.63888888888889" style="221" customWidth="1"/>
    <col min="6" max="6" width="30" style="221" customWidth="1"/>
    <col min="7" max="9" width="5.63888888888889" style="221" customWidth="1"/>
    <col min="10" max="29" width="30" style="221" customWidth="1"/>
    <col min="30" max="16384" width="9" style="221"/>
  </cols>
  <sheetData>
    <row r="1" s="221" customFormat="1" ht="30" customHeight="1" spans="1:9">
      <c r="A1" s="222" t="s">
        <v>1476</v>
      </c>
      <c r="B1" s="223" t="s">
        <v>69</v>
      </c>
      <c r="C1" s="224" t="s">
        <v>1477</v>
      </c>
      <c r="D1" s="224" t="s">
        <v>1478</v>
      </c>
      <c r="E1" s="225" t="s">
        <v>70</v>
      </c>
      <c r="F1" s="226" t="s">
        <v>1479</v>
      </c>
      <c r="G1" s="227"/>
    </row>
    <row r="2" s="221" customFormat="1" ht="87.9" spans="1:9">
      <c r="A2" s="228" t="s">
        <v>1480</v>
      </c>
      <c r="B2" s="229" t="s">
        <v>1481</v>
      </c>
      <c r="C2" s="230" t="s">
        <v>1482</v>
      </c>
      <c r="D2" s="230" t="s">
        <v>1483</v>
      </c>
      <c r="E2" s="231" t="s">
        <v>1484</v>
      </c>
      <c r="F2" s="232" t="s">
        <v>1485</v>
      </c>
      <c r="G2" s="227"/>
      <c r="H2" s="233" t="s">
        <v>1481</v>
      </c>
      <c r="I2" s="234" t="s">
        <v>1484</v>
      </c>
    </row>
    <row r="3" s="221" customFormat="1" ht="87.15" spans="1:9">
      <c r="A3" s="235"/>
      <c r="B3" s="236" t="s">
        <v>1486</v>
      </c>
      <c r="C3" s="237" t="s">
        <v>1487</v>
      </c>
      <c r="D3" s="237" t="s">
        <v>1488</v>
      </c>
      <c r="E3" s="238" t="s">
        <v>1489</v>
      </c>
      <c r="F3" s="239" t="s">
        <v>1490</v>
      </c>
      <c r="G3" s="227"/>
      <c r="H3" s="240" t="s">
        <v>1486</v>
      </c>
      <c r="I3" s="241" t="s">
        <v>1489</v>
      </c>
    </row>
    <row r="4" s="221" customFormat="1" ht="101.55" spans="1:9">
      <c r="A4" s="235"/>
      <c r="B4" s="236" t="s">
        <v>1491</v>
      </c>
      <c r="C4" s="237" t="s">
        <v>1492</v>
      </c>
      <c r="D4" s="237" t="s">
        <v>1493</v>
      </c>
      <c r="E4" s="238" t="s">
        <v>1494</v>
      </c>
      <c r="F4" s="242" t="s">
        <v>1495</v>
      </c>
      <c r="G4" s="227"/>
      <c r="H4" s="240" t="s">
        <v>1491</v>
      </c>
      <c r="I4" s="241" t="s">
        <v>1494</v>
      </c>
    </row>
    <row r="5" s="221" customFormat="1" ht="101.55" spans="1:9">
      <c r="A5" s="235"/>
      <c r="B5" s="236" t="s">
        <v>1496</v>
      </c>
      <c r="C5" s="237" t="s">
        <v>1497</v>
      </c>
      <c r="D5" s="237" t="s">
        <v>1498</v>
      </c>
      <c r="E5" s="238" t="s">
        <v>1499</v>
      </c>
      <c r="F5" s="242" t="s">
        <v>1500</v>
      </c>
      <c r="G5" s="227"/>
      <c r="H5" s="240" t="s">
        <v>1496</v>
      </c>
      <c r="I5" s="241" t="s">
        <v>1499</v>
      </c>
    </row>
    <row r="6" s="221" customFormat="1" ht="72.75" spans="1:9">
      <c r="A6" s="235" t="s">
        <v>1501</v>
      </c>
      <c r="B6" s="236" t="s">
        <v>1502</v>
      </c>
      <c r="C6" s="237" t="s">
        <v>1503</v>
      </c>
      <c r="D6" s="237" t="s">
        <v>1504</v>
      </c>
      <c r="E6" s="238" t="s">
        <v>1505</v>
      </c>
      <c r="F6" s="239" t="s">
        <v>1506</v>
      </c>
      <c r="G6" s="227"/>
      <c r="H6" s="240" t="s">
        <v>1502</v>
      </c>
      <c r="I6" s="241" t="s">
        <v>1505</v>
      </c>
    </row>
    <row r="7" s="221" customFormat="1" ht="87.15" spans="1:9">
      <c r="A7" s="235"/>
      <c r="B7" s="236" t="s">
        <v>1507</v>
      </c>
      <c r="C7" s="237" t="s">
        <v>1508</v>
      </c>
      <c r="D7" s="237" t="s">
        <v>1509</v>
      </c>
      <c r="E7" s="238" t="s">
        <v>1510</v>
      </c>
      <c r="F7" s="242" t="s">
        <v>1511</v>
      </c>
      <c r="G7" s="227"/>
      <c r="H7" s="240" t="s">
        <v>1512</v>
      </c>
      <c r="I7" s="241" t="s">
        <v>1510</v>
      </c>
    </row>
    <row r="8" s="221" customFormat="1" ht="72.75" spans="1:9">
      <c r="A8" s="235"/>
      <c r="B8" s="236" t="s">
        <v>1513</v>
      </c>
      <c r="C8" s="237" t="s">
        <v>1514</v>
      </c>
      <c r="D8" s="237" t="s">
        <v>1515</v>
      </c>
      <c r="E8" s="238" t="s">
        <v>1516</v>
      </c>
      <c r="F8" s="239" t="s">
        <v>1517</v>
      </c>
      <c r="G8" s="227"/>
      <c r="H8" s="240" t="s">
        <v>1513</v>
      </c>
      <c r="I8" s="241" t="s">
        <v>1516</v>
      </c>
    </row>
    <row r="9" s="221" customFormat="1" ht="43.95" spans="1:9">
      <c r="A9" s="235"/>
      <c r="B9" s="236" t="s">
        <v>1518</v>
      </c>
      <c r="C9" s="237" t="s">
        <v>1519</v>
      </c>
      <c r="D9" s="237" t="s">
        <v>1520</v>
      </c>
      <c r="E9" s="238" t="s">
        <v>1521</v>
      </c>
      <c r="F9" s="239" t="s">
        <v>1522</v>
      </c>
      <c r="G9" s="227"/>
      <c r="H9" s="240" t="s">
        <v>1518</v>
      </c>
      <c r="I9" s="241" t="s">
        <v>1521</v>
      </c>
    </row>
    <row r="10" s="221" customFormat="1" ht="72.75" spans="1:9">
      <c r="A10" s="235" t="s">
        <v>1523</v>
      </c>
      <c r="B10" s="236" t="s">
        <v>1524</v>
      </c>
      <c r="C10" s="237" t="s">
        <v>1525</v>
      </c>
      <c r="D10" s="243" t="s">
        <v>1526</v>
      </c>
      <c r="E10" s="238" t="s">
        <v>1527</v>
      </c>
      <c r="F10" s="239" t="s">
        <v>1528</v>
      </c>
      <c r="G10" s="227"/>
      <c r="H10" s="240" t="s">
        <v>1524</v>
      </c>
      <c r="I10" s="241" t="s">
        <v>1527</v>
      </c>
    </row>
    <row r="11" s="221" customFormat="1" ht="115.95" spans="1:9">
      <c r="A11" s="235"/>
      <c r="B11" s="236" t="s">
        <v>1529</v>
      </c>
      <c r="C11" s="237" t="s">
        <v>1530</v>
      </c>
      <c r="D11" s="237" t="s">
        <v>1531</v>
      </c>
      <c r="E11" s="238" t="s">
        <v>1532</v>
      </c>
      <c r="F11" s="242" t="s">
        <v>1533</v>
      </c>
      <c r="G11" s="227"/>
      <c r="H11" s="240" t="s">
        <v>1529</v>
      </c>
      <c r="I11" s="241" t="s">
        <v>1532</v>
      </c>
    </row>
    <row r="12" s="221" customFormat="1" ht="72.75" spans="1:9">
      <c r="A12" s="235"/>
      <c r="B12" s="236" t="s">
        <v>1044</v>
      </c>
      <c r="C12" s="237" t="s">
        <v>1534</v>
      </c>
      <c r="D12" s="237" t="s">
        <v>1535</v>
      </c>
      <c r="E12" s="238" t="s">
        <v>1536</v>
      </c>
      <c r="F12" s="239" t="s">
        <v>1537</v>
      </c>
      <c r="G12" s="227"/>
      <c r="H12" s="240" t="s">
        <v>1044</v>
      </c>
      <c r="I12" s="241" t="s">
        <v>1536</v>
      </c>
    </row>
    <row r="13" s="221" customFormat="1" ht="43.95" spans="1:9">
      <c r="A13" s="235"/>
      <c r="B13" s="236" t="s">
        <v>1538</v>
      </c>
      <c r="C13" s="237" t="s">
        <v>1539</v>
      </c>
      <c r="D13" s="237" t="s">
        <v>1540</v>
      </c>
      <c r="E13" s="238" t="s">
        <v>1541</v>
      </c>
      <c r="F13" s="242" t="s">
        <v>1542</v>
      </c>
      <c r="G13" s="227"/>
      <c r="H13" s="240" t="s">
        <v>1538</v>
      </c>
      <c r="I13" s="241" t="s">
        <v>1541</v>
      </c>
    </row>
    <row r="14" s="221" customFormat="1" ht="187.95" spans="1:9">
      <c r="A14" s="235" t="s">
        <v>1543</v>
      </c>
      <c r="B14" s="236" t="s">
        <v>1544</v>
      </c>
      <c r="C14" s="237" t="s">
        <v>1545</v>
      </c>
      <c r="D14" s="237" t="s">
        <v>1546</v>
      </c>
      <c r="E14" s="238" t="s">
        <v>1547</v>
      </c>
      <c r="F14" s="239" t="s">
        <v>1548</v>
      </c>
      <c r="G14" s="227"/>
      <c r="H14" s="240" t="s">
        <v>1544</v>
      </c>
      <c r="I14" s="241" t="s">
        <v>1547</v>
      </c>
    </row>
    <row r="15" s="221" customFormat="1" ht="115.95" spans="1:9">
      <c r="A15" s="235"/>
      <c r="B15" s="236" t="s">
        <v>1549</v>
      </c>
      <c r="C15" s="237" t="s">
        <v>1550</v>
      </c>
      <c r="D15" s="237" t="s">
        <v>1551</v>
      </c>
      <c r="E15" s="238" t="s">
        <v>1552</v>
      </c>
      <c r="F15" s="242" t="s">
        <v>1553</v>
      </c>
      <c r="G15" s="227"/>
      <c r="H15" s="240" t="s">
        <v>1549</v>
      </c>
      <c r="I15" s="241" t="s">
        <v>1552</v>
      </c>
    </row>
    <row r="16" s="221" customFormat="1" ht="58.35" spans="1:9">
      <c r="A16" s="235"/>
      <c r="B16" s="236" t="s">
        <v>1554</v>
      </c>
      <c r="C16" s="237" t="s">
        <v>1555</v>
      </c>
      <c r="D16" s="237" t="s">
        <v>1556</v>
      </c>
      <c r="E16" s="238" t="s">
        <v>1557</v>
      </c>
      <c r="F16" s="239" t="s">
        <v>1558</v>
      </c>
      <c r="G16" s="227"/>
      <c r="H16" s="240" t="s">
        <v>1554</v>
      </c>
      <c r="I16" s="241" t="s">
        <v>1557</v>
      </c>
    </row>
    <row r="17" s="221" customFormat="1" ht="87.15" spans="1:9">
      <c r="A17" s="244"/>
      <c r="B17" s="245" t="s">
        <v>1559</v>
      </c>
      <c r="C17" s="246" t="s">
        <v>1560</v>
      </c>
      <c r="D17" s="246" t="s">
        <v>1561</v>
      </c>
      <c r="E17" s="247" t="s">
        <v>1562</v>
      </c>
      <c r="F17" s="248" t="s">
        <v>1563</v>
      </c>
      <c r="G17" s="227"/>
      <c r="H17" s="249" t="s">
        <v>1559</v>
      </c>
      <c r="I17" s="250" t="s">
        <v>1562</v>
      </c>
    </row>
    <row r="18" ht="60" customHeight="1"/>
    <row r="19" s="221" customFormat="1" ht="30" customHeight="1" spans="1:9">
      <c r="B19" s="251" t="s">
        <v>74</v>
      </c>
      <c r="C19" s="252"/>
      <c r="D19" s="252"/>
      <c r="E19" s="252"/>
    </row>
    <row r="20" s="221" customFormat="1" ht="60" customHeight="1" spans="1:9">
      <c r="B20" s="253" t="s">
        <v>1564</v>
      </c>
      <c r="C20" s="254"/>
      <c r="D20" s="254"/>
      <c r="E20" s="254"/>
    </row>
    <row r="21" s="221" customFormat="1" ht="60" customHeight="1" spans="1:9">
      <c r="B21" s="253" t="s">
        <v>1565</v>
      </c>
      <c r="C21" s="254"/>
      <c r="D21" s="254"/>
      <c r="E21" s="254"/>
    </row>
    <row r="22" s="221" customFormat="1" ht="60" customHeight="1" spans="1:9">
      <c r="B22" s="253" t="s">
        <v>1566</v>
      </c>
      <c r="C22" s="254"/>
      <c r="D22" s="254"/>
      <c r="E22" s="254"/>
    </row>
    <row r="23" s="221" customFormat="1" ht="60" customHeight="1" spans="1:9">
      <c r="B23" s="253" t="s">
        <v>1567</v>
      </c>
      <c r="C23" s="254"/>
      <c r="D23" s="254"/>
      <c r="E23" s="254"/>
    </row>
    <row r="24" ht="60" customHeight="1"/>
    <row r="25" ht="60" customHeight="1"/>
    <row r="26" ht="60" customHeight="1"/>
    <row r="27" ht="60" customHeight="1"/>
    <row r="28" ht="60" customHeight="1"/>
    <row r="29" ht="60" customHeight="1"/>
    <row r="30" ht="60" customHeight="1"/>
    <row r="31" ht="60" customHeight="1"/>
    <row r="32" ht="60" customHeight="1"/>
    <row r="33" ht="60" customHeight="1"/>
    <row r="34" ht="60" customHeight="1"/>
    <row r="35" ht="60" customHeight="1"/>
    <row r="36" ht="60" customHeight="1"/>
    <row r="37" ht="60" customHeight="1"/>
    <row r="38" ht="60" customHeight="1"/>
    <row r="39" ht="60" customHeight="1"/>
    <row r="40" ht="60" customHeight="1"/>
    <row r="41" ht="60" customHeight="1"/>
    <row r="42" ht="60" customHeight="1"/>
    <row r="43" ht="60" customHeight="1"/>
    <row r="44" ht="60" customHeight="1"/>
    <row r="45" ht="60" customHeight="1"/>
    <row r="46" ht="60" customHeight="1"/>
    <row r="47" ht="60" customHeight="1"/>
    <row r="48" ht="60" customHeight="1"/>
    <row r="49" ht="60" customHeight="1"/>
    <row r="50" ht="60" customHeight="1"/>
    <row r="51" ht="60" customHeight="1"/>
    <row r="52" ht="60" customHeight="1"/>
    <row r="53" ht="60" customHeight="1"/>
    <row r="54" ht="60" customHeight="1"/>
    <row r="55" ht="60" customHeight="1"/>
    <row r="56" ht="60" customHeight="1"/>
    <row r="57" ht="60" customHeight="1"/>
    <row r="58" ht="60" customHeight="1"/>
    <row r="59" ht="60" customHeight="1"/>
    <row r="60" ht="60" customHeight="1"/>
    <row r="61" ht="60" customHeight="1"/>
    <row r="62" ht="60" customHeight="1"/>
    <row r="63" ht="60" customHeight="1"/>
    <row r="64" ht="60" customHeight="1"/>
    <row r="65" ht="60" customHeight="1"/>
    <row r="66" ht="60" customHeight="1"/>
    <row r="67" ht="60" customHeight="1"/>
    <row r="68" ht="60" customHeight="1"/>
    <row r="69" ht="60" customHeight="1"/>
    <row r="70" ht="60" customHeight="1"/>
  </sheetData>
  <sheetProtection formatCells="0" formatColumns="0" formatRows="0" insertRows="0" insertColumns="0" insertHyperlinks="0" deleteColumns="0" deleteRows="0" sort="0" autoFilter="0" pivotTables="0"/>
  <mergeCells count="9">
    <mergeCell ref="B19:E19"/>
    <mergeCell ref="B20:E20"/>
    <mergeCell ref="B21:E21"/>
    <mergeCell ref="B22:E22"/>
    <mergeCell ref="B23:E23"/>
    <mergeCell ref="A2:A5"/>
    <mergeCell ref="A6:A9"/>
    <mergeCell ref="A10:A13"/>
    <mergeCell ref="A14:A17"/>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35"/>
  </sheetPr>
  <dimension ref="A1:P68"/>
  <sheetViews>
    <sheetView zoomScale="85" zoomScaleNormal="85" workbookViewId="0">
      <selection activeCell="A1" sqref="A1"/>
    </sheetView>
  </sheetViews>
  <sheetFormatPr defaultColWidth="9" defaultRowHeight="14.4"/>
  <cols>
    <col min="1" max="1" width="10.6388888888889" style="115" customWidth="1"/>
    <col min="2" max="2" width="3.85185185185185" style="116" customWidth="1"/>
    <col min="3" max="8" width="10.6388888888889" customWidth="1"/>
    <col min="9" max="9" width="3.84259259259259" style="117" customWidth="1"/>
    <col min="10" max="11" width="10.6388888888889" customWidth="1"/>
    <col min="12" max="12" width="3.84259259259259" style="44" customWidth="1"/>
    <col min="13" max="23" width="10.6388888888889" customWidth="1"/>
  </cols>
  <sheetData>
    <row r="1" ht="15.15"/>
    <row r="2" ht="30" customHeight="1" spans="1:16">
      <c r="A2" s="118" t="str" cm="1">
        <f ca="1" t="array" ref="A2">_xlfn.IFS(D2=0,"",D2&lt;2,"缺陷",D2&lt;5,"普通",D2&lt;8,"标准",D2&lt;11,"优良",D2&lt;14,"卓越",D2&gt;=14,"■■")</f>
        <v>标准</v>
      </c>
      <c r="B2" s="119" t="s">
        <v>12</v>
      </c>
      <c r="C2" s="120" t="s">
        <v>256</v>
      </c>
      <c r="D2" s="121">
        <f ca="1">主卡!Q4</f>
        <v>5</v>
      </c>
      <c r="E2" s="122" t="s">
        <v>61</v>
      </c>
      <c r="F2" s="123">
        <f>主卡!D14</f>
        <v>0</v>
      </c>
      <c r="G2" s="124" t="s">
        <v>1568</v>
      </c>
      <c r="H2" s="125"/>
      <c r="I2" s="126" t="s">
        <v>1569</v>
      </c>
      <c r="J2" s="127" t="s">
        <v>7</v>
      </c>
      <c r="K2" s="128">
        <f>SUM(主卡!F26:H26,下拉列表!V198)</f>
        <v>3</v>
      </c>
      <c r="L2" s="129" t="s">
        <v>1570</v>
      </c>
      <c r="M2" s="130" t="s">
        <v>32</v>
      </c>
      <c r="N2" s="121">
        <f>SUM(主卡!N31:O31)</f>
        <v>0</v>
      </c>
      <c r="O2" s="131" t="s">
        <v>34</v>
      </c>
      <c r="P2" s="121">
        <f>SUM(主卡!U31:V31)</f>
        <v>0</v>
      </c>
    </row>
    <row r="3" ht="30" customHeight="1" spans="1:16">
      <c r="A3" s="118" t="str" cm="1">
        <f ca="1" t="array" ref="A3">_xlfn.IFS(D3=0,"",D3&lt;2,"缺陷",D3&lt;5,"普通",D3&lt;8,"标准",D3&lt;11,"优良",D3&lt;14,"卓越",D3&gt;=14,"■■")</f>
        <v>标准</v>
      </c>
      <c r="B3" s="119"/>
      <c r="C3" s="120" t="s">
        <v>85</v>
      </c>
      <c r="D3" s="121">
        <f ca="1">主卡!Q5</f>
        <v>5</v>
      </c>
      <c r="E3" s="132" t="s">
        <v>62</v>
      </c>
      <c r="F3" s="133">
        <f>主卡!F14</f>
        <v>0</v>
      </c>
      <c r="G3" s="134" t="s">
        <v>203</v>
      </c>
      <c r="H3" s="135">
        <f>主卡!E56</f>
        <v>0</v>
      </c>
      <c r="I3" s="136"/>
      <c r="J3" s="137" t="s">
        <v>92</v>
      </c>
      <c r="K3" s="125">
        <f>主卡!E27</f>
        <v>0</v>
      </c>
      <c r="L3" s="138"/>
      <c r="M3" s="139" t="s">
        <v>117</v>
      </c>
      <c r="N3" s="140">
        <f>主卡!L32</f>
        <v>0</v>
      </c>
      <c r="O3" s="141" t="s">
        <v>118</v>
      </c>
      <c r="P3" s="140">
        <f>主卡!S32</f>
        <v>0</v>
      </c>
    </row>
    <row r="4" ht="30" customHeight="1" spans="1:16">
      <c r="A4" s="118" t="str" cm="1">
        <f ca="1" t="array" ref="A4">_xlfn.IFS(D4=0,"",D4&lt;2,"缺陷",D4&lt;5,"普通",D4&lt;8,"标准",D4&lt;11,"优良",D4&lt;14,"卓越",D4&gt;=14,"■■")</f>
        <v>标准</v>
      </c>
      <c r="B4" s="119"/>
      <c r="C4" s="120" t="s">
        <v>83</v>
      </c>
      <c r="D4" s="121">
        <f ca="1">主卡!Q6</f>
        <v>5</v>
      </c>
      <c r="E4" s="142" t="s">
        <v>60</v>
      </c>
      <c r="F4" s="143">
        <f ca="1">主卡!B14</f>
        <v>5</v>
      </c>
      <c r="G4" s="144" t="s">
        <v>183</v>
      </c>
      <c r="H4" s="125">
        <f>主卡!E48</f>
        <v>0</v>
      </c>
      <c r="I4" s="136"/>
      <c r="J4" s="145" t="s">
        <v>97</v>
      </c>
      <c r="K4" s="125">
        <f>主卡!E28</f>
        <v>0</v>
      </c>
      <c r="L4" s="138"/>
      <c r="M4" s="146" t="s">
        <v>122</v>
      </c>
      <c r="N4" s="140">
        <f>主卡!L33</f>
        <v>0</v>
      </c>
      <c r="O4" s="147" t="s">
        <v>123</v>
      </c>
      <c r="P4" s="140">
        <f>主卡!S33</f>
        <v>0</v>
      </c>
    </row>
    <row r="5" ht="30" customHeight="1" spans="1:16">
      <c r="A5" s="118" t="str" cm="1">
        <f ca="1" t="array" ref="A5">_xlfn.IFS(D5=0,"",D5&lt;2,"缺陷",D5&lt;5,"普通",D5&lt;8,"标准",D5&lt;11,"优良",D5&lt;14,"卓越",D5&gt;=14,"■■")</f>
        <v>标准</v>
      </c>
      <c r="B5" s="119"/>
      <c r="C5" s="120" t="s">
        <v>84</v>
      </c>
      <c r="D5" s="121">
        <f ca="1">主卡!Q8</f>
        <v>5</v>
      </c>
      <c r="E5" s="148" t="s">
        <v>1571</v>
      </c>
      <c r="F5" s="140">
        <f>主卡!H10</f>
        <v>0</v>
      </c>
      <c r="G5" s="134" t="s">
        <v>196</v>
      </c>
      <c r="H5" s="149">
        <f>主卡!E53</f>
        <v>10</v>
      </c>
      <c r="I5" s="136"/>
      <c r="J5" s="145" t="s">
        <v>101</v>
      </c>
      <c r="K5" s="125">
        <f>主卡!E29</f>
        <v>0</v>
      </c>
      <c r="L5" s="138"/>
      <c r="M5" s="146" t="s">
        <v>129</v>
      </c>
      <c r="N5" s="140">
        <f>主卡!L34</f>
        <v>0</v>
      </c>
      <c r="O5" s="147" t="s">
        <v>130</v>
      </c>
      <c r="P5" s="140">
        <f>主卡!S34</f>
        <v>0</v>
      </c>
    </row>
    <row r="6" ht="30" customHeight="1" spans="1:16">
      <c r="A6" s="118" t="str" cm="1">
        <f ca="1" t="array" ref="A6">_xlfn.IFS(D6=0,"",D6&lt;2,"缺陷",D6&lt;5,"普通",D6&lt;8,"标准",D6&lt;11,"优良",D6&lt;14,"卓越",D6&gt;=14,"■■")</f>
        <v>标准</v>
      </c>
      <c r="B6" s="119"/>
      <c r="C6" s="120" t="s">
        <v>1572</v>
      </c>
      <c r="D6" s="121">
        <f ca="1">主卡!Q9</f>
        <v>5</v>
      </c>
      <c r="E6" s="132" t="s">
        <v>229</v>
      </c>
      <c r="F6" s="140">
        <f ca="1">主卡!H10*主卡!Q6/10</f>
        <v>0</v>
      </c>
      <c r="G6" s="142" t="s">
        <v>1573</v>
      </c>
      <c r="H6" s="150">
        <f>P19</f>
        <v>0</v>
      </c>
      <c r="I6" s="136"/>
      <c r="J6" s="145" t="s">
        <v>107</v>
      </c>
      <c r="K6" s="125">
        <f>主卡!E30</f>
        <v>0</v>
      </c>
      <c r="L6" s="138"/>
      <c r="M6" s="146" t="s">
        <v>134</v>
      </c>
      <c r="N6" s="140">
        <f>主卡!L35</f>
        <v>0</v>
      </c>
      <c r="O6" s="151" t="s">
        <v>135</v>
      </c>
      <c r="P6" s="140">
        <f>主卡!S35</f>
        <v>0</v>
      </c>
    </row>
    <row r="7" ht="30" customHeight="1" spans="1:16">
      <c r="A7" s="118" t="str" cm="1">
        <f ca="1" t="array" ref="A7">_xlfn.IFS(D7=0,"",D7&lt;2,"缺陷",D7&lt;5,"普通",D7&lt;8,"标准",D7&lt;11,"优良",D7&lt;14,"卓越",D7&gt;=14,"■■")</f>
        <v>标准</v>
      </c>
      <c r="B7" s="119"/>
      <c r="C7" s="120" t="s">
        <v>113</v>
      </c>
      <c r="D7" s="121">
        <f ca="1">主卡!Q7</f>
        <v>5</v>
      </c>
      <c r="E7" s="142" t="s">
        <v>232</v>
      </c>
      <c r="F7" s="143">
        <f>主卡!H10+主卡!AB73</f>
        <v>0</v>
      </c>
      <c r="G7" s="152" t="s">
        <v>1574</v>
      </c>
      <c r="H7" s="125">
        <f>主卡!AS4</f>
        <v>1</v>
      </c>
      <c r="I7" s="136"/>
      <c r="J7" s="145" t="s">
        <v>112</v>
      </c>
      <c r="K7" s="125">
        <f>主卡!E31</f>
        <v>0</v>
      </c>
      <c r="L7" s="138"/>
      <c r="M7" s="146" t="s">
        <v>140</v>
      </c>
      <c r="N7" s="140">
        <f>主卡!L36</f>
        <v>0</v>
      </c>
      <c r="O7" s="153" t="str">
        <f>主卡!P37</f>
        <v>附加技能A</v>
      </c>
      <c r="P7" s="123">
        <f>主卡!S37</f>
        <v>0</v>
      </c>
    </row>
    <row r="8" ht="30" customHeight="1" spans="1:16">
      <c r="A8" s="118" t="str" cm="1">
        <f ca="1" t="array" ref="A8">_xlfn.IFS(D8=0,"",D8&lt;2,"缺陷",D8&lt;5,"普通",D8&lt;8,"标准",D8&lt;11,"优良",D8&lt;14,"卓越",D8&gt;=14,"■■")</f>
        <v>标准</v>
      </c>
      <c r="B8" s="126"/>
      <c r="C8" s="154" t="s">
        <v>128</v>
      </c>
      <c r="D8" s="155">
        <f ca="1">主卡!Q10</f>
        <v>5</v>
      </c>
      <c r="E8" s="156" t="s">
        <v>86</v>
      </c>
      <c r="F8" s="157">
        <f ca="1">主卡!Q9</f>
        <v>5</v>
      </c>
      <c r="G8" s="158" t="s">
        <v>1575</v>
      </c>
      <c r="H8" s="150">
        <f ca="1">SUM(主卡!AK24:AM24)</f>
        <v>15</v>
      </c>
      <c r="I8" s="136"/>
      <c r="J8" s="145" t="s">
        <v>116</v>
      </c>
      <c r="K8" s="125">
        <f>主卡!E32</f>
        <v>0</v>
      </c>
      <c r="L8" s="138"/>
      <c r="M8" s="159" t="s">
        <v>147</v>
      </c>
      <c r="N8" s="140">
        <f>主卡!L37</f>
        <v>0</v>
      </c>
      <c r="O8" s="153" t="str">
        <f>主卡!P38</f>
        <v>附加技能B</v>
      </c>
      <c r="P8" s="123">
        <f>主卡!S38</f>
        <v>0</v>
      </c>
    </row>
    <row r="9" ht="30" customHeight="1" spans="1:16">
      <c r="B9" s="160" t="s">
        <v>1576</v>
      </c>
      <c r="C9" s="161"/>
      <c r="D9" s="161"/>
      <c r="E9" s="161"/>
      <c r="F9" s="161"/>
      <c r="G9" s="161"/>
      <c r="H9" s="161"/>
      <c r="I9" s="136"/>
      <c r="J9" s="162" t="s">
        <v>121</v>
      </c>
      <c r="K9" s="125">
        <f>主卡!E33</f>
        <v>0</v>
      </c>
      <c r="L9" s="138"/>
      <c r="M9" s="130" t="s">
        <v>33</v>
      </c>
      <c r="N9" s="121">
        <f>SUM(主卡!N38:O38)</f>
        <v>0</v>
      </c>
      <c r="O9" s="153" t="str">
        <f>主卡!P39</f>
        <v>附加技能C</v>
      </c>
      <c r="P9" s="123">
        <f>主卡!S39</f>
        <v>0</v>
      </c>
    </row>
    <row r="10" ht="30" customHeight="1" spans="1:16">
      <c r="B10" s="163"/>
      <c r="C10" s="164"/>
      <c r="D10" s="164"/>
      <c r="E10" s="164"/>
      <c r="F10" s="164"/>
      <c r="G10" s="164"/>
      <c r="H10" s="164"/>
      <c r="I10" s="136"/>
      <c r="J10" s="165" t="s">
        <v>9</v>
      </c>
      <c r="K10" s="166">
        <f>SUM(主卡!M26:O26,下拉列表!V199)</f>
        <v>2</v>
      </c>
      <c r="L10" s="138"/>
      <c r="M10" s="167" t="s">
        <v>158</v>
      </c>
      <c r="N10" s="140">
        <f>主卡!O39</f>
        <v>0</v>
      </c>
      <c r="O10" s="153" t="str">
        <f>主卡!P40</f>
        <v>附加技能D</v>
      </c>
      <c r="P10" s="123">
        <f>主卡!S40</f>
        <v>0</v>
      </c>
    </row>
    <row r="11" ht="30" customHeight="1" spans="1:16">
      <c r="B11" s="168" t="str">
        <f ca="1">".st"&amp;_xlfn.CONCAT(C2:D8,E2:F8,G2:H8,J2:K25,M2:N25,O2:P21,C26:D29,E26:F29,G26:H29,O24:P25)</f>
        <v>.st生理耐受5反应机动5物理强度5经验智慧5适应性5精神意志5个人魅力5初始感染值0感染值0免疫力5体重0上限负重0重量0源石技艺适应性5特质点社交点数0经济评级0源石锭10察觉0等级1生命值上限15力量3格斗0长兵0软兵0刀剑0拳术0钝器0盾术0战术2战术规划0支援技术0兵械操作0生物驯养0敏捷2身法0短兵0暗器0射击0施术0物理抗性3法术抗性3教育0理工学0医药学0源石学0社会学0政法学0经管学0技术0农林渔牧0手工工艺0机械工程0电子工程0情感0声乐0艺术0心理0交涉0游说0取悦0威吓0技力上限9技力2耐力上限0耐力2灵巧0妙手0急救0驾驶0舞蹈0附加技能A0附加技能B0附加技能C0附加技能D0先史0通用语5镇定0欺诈0乔装0潜行0洞察0调查0觉察0追踪0源石技艺理论2经济0APP5速度5灵感5HP物抗3源石技艺5意志5SP0法抗3体质5魅力5元素韧性6重量等级1</v>
      </c>
      <c r="C11" s="169"/>
      <c r="D11" s="169"/>
      <c r="E11" s="169"/>
      <c r="F11" s="169"/>
      <c r="G11" s="169"/>
      <c r="H11" s="169"/>
      <c r="I11" s="136"/>
      <c r="J11" s="170" t="s">
        <v>93</v>
      </c>
      <c r="K11" s="171">
        <f>主卡!L27</f>
        <v>0</v>
      </c>
      <c r="L11" s="138"/>
      <c r="M11" s="172" t="s">
        <v>164</v>
      </c>
      <c r="N11" s="140">
        <f>主卡!O40</f>
        <v>0</v>
      </c>
      <c r="O11" s="173" t="str">
        <f>主卡!X41</f>
        <v>先史</v>
      </c>
      <c r="P11" s="123">
        <f>主卡!Z41</f>
        <v>0</v>
      </c>
    </row>
    <row r="12" ht="30" customHeight="1" spans="1:16">
      <c r="B12" s="174"/>
      <c r="C12" s="175"/>
      <c r="D12" s="175"/>
      <c r="E12" s="175"/>
      <c r="F12" s="175"/>
      <c r="G12" s="175"/>
      <c r="H12" s="176"/>
      <c r="I12" s="136"/>
      <c r="J12" s="177" t="s">
        <v>98</v>
      </c>
      <c r="K12" s="171">
        <f>主卡!L28</f>
        <v>0</v>
      </c>
      <c r="L12" s="138"/>
      <c r="M12" s="172" t="s">
        <v>170</v>
      </c>
      <c r="N12" s="140">
        <f>主卡!O41</f>
        <v>0</v>
      </c>
      <c r="O12" s="173" t="str">
        <f>主卡!X42</f>
        <v>通用语</v>
      </c>
      <c r="P12" s="123">
        <f ca="1">主卡!Z42</f>
        <v>5</v>
      </c>
    </row>
    <row r="13" ht="30" customHeight="1" spans="1:16">
      <c r="B13" s="174"/>
      <c r="C13" s="175"/>
      <c r="D13" s="175"/>
      <c r="E13" s="175"/>
      <c r="F13" s="175"/>
      <c r="G13" s="175"/>
      <c r="H13" s="176"/>
      <c r="I13" s="136"/>
      <c r="J13" s="177" t="s">
        <v>102</v>
      </c>
      <c r="K13" s="171">
        <f>主卡!L29</f>
        <v>0</v>
      </c>
      <c r="L13" s="138"/>
      <c r="M13" s="178" t="s">
        <v>175</v>
      </c>
      <c r="N13" s="140">
        <f>主卡!O42</f>
        <v>0</v>
      </c>
      <c r="O13" s="179" t="s">
        <v>28</v>
      </c>
      <c r="P13" s="121">
        <f>SUM(主卡!AB32:AC32)</f>
        <v>0</v>
      </c>
    </row>
    <row r="14" ht="30" customHeight="1" spans="1:16">
      <c r="B14" s="174"/>
      <c r="C14" s="175"/>
      <c r="D14" s="175"/>
      <c r="E14" s="175"/>
      <c r="F14" s="175"/>
      <c r="G14" s="175"/>
      <c r="H14" s="176"/>
      <c r="I14" s="136"/>
      <c r="J14" s="180" t="s">
        <v>108</v>
      </c>
      <c r="K14" s="171">
        <f>主卡!L30</f>
        <v>0</v>
      </c>
      <c r="L14" s="138"/>
      <c r="M14" s="181" t="s">
        <v>30</v>
      </c>
      <c r="N14" s="155">
        <f>SUM(主卡!G35:H35)</f>
        <v>0</v>
      </c>
      <c r="O14" s="182" t="s">
        <v>124</v>
      </c>
      <c r="P14" s="140">
        <f>主卡!Z33</f>
        <v>0</v>
      </c>
    </row>
    <row r="15" ht="30" customHeight="1" spans="1:16">
      <c r="B15" s="174"/>
      <c r="C15" s="175"/>
      <c r="D15" s="175"/>
      <c r="E15" s="175"/>
      <c r="F15" s="175"/>
      <c r="G15" s="175"/>
      <c r="H15" s="176"/>
      <c r="I15" s="136"/>
      <c r="J15" s="183" t="s">
        <v>10</v>
      </c>
      <c r="K15" s="166">
        <f>SUM(主卡!T26:V26,下拉列表!V200)</f>
        <v>2</v>
      </c>
      <c r="L15" s="138"/>
      <c r="M15" s="184" t="s">
        <v>139</v>
      </c>
      <c r="N15" s="123">
        <f>主卡!E36</f>
        <v>0</v>
      </c>
      <c r="O15" s="185" t="s">
        <v>131</v>
      </c>
      <c r="P15" s="140">
        <f>主卡!Z34</f>
        <v>0</v>
      </c>
    </row>
    <row r="16" ht="30" customHeight="1" spans="1:16">
      <c r="B16" s="174"/>
      <c r="C16" s="175"/>
      <c r="D16" s="175"/>
      <c r="E16" s="175"/>
      <c r="F16" s="175"/>
      <c r="G16" s="175"/>
      <c r="H16" s="176"/>
      <c r="I16" s="136"/>
      <c r="J16" s="186" t="s">
        <v>94</v>
      </c>
      <c r="K16" s="171">
        <f>主卡!S27</f>
        <v>0</v>
      </c>
      <c r="L16" s="138"/>
      <c r="M16" s="187" t="s">
        <v>146</v>
      </c>
      <c r="N16" s="133">
        <f>主卡!E37</f>
        <v>0</v>
      </c>
      <c r="O16" s="188" t="s">
        <v>136</v>
      </c>
      <c r="P16" s="140">
        <f>主卡!Z35</f>
        <v>0</v>
      </c>
    </row>
    <row r="17" ht="30" customHeight="1" spans="2:16">
      <c r="B17" s="174"/>
      <c r="C17" s="175"/>
      <c r="D17" s="175"/>
      <c r="E17" s="175"/>
      <c r="F17" s="175"/>
      <c r="G17" s="175"/>
      <c r="H17" s="176"/>
      <c r="I17" s="136"/>
      <c r="J17" s="189" t="s">
        <v>99</v>
      </c>
      <c r="K17" s="171">
        <f>主卡!S28</f>
        <v>0</v>
      </c>
      <c r="L17" s="138"/>
      <c r="M17" s="190" t="s">
        <v>153</v>
      </c>
      <c r="N17" s="133">
        <f>主卡!E38</f>
        <v>0</v>
      </c>
      <c r="O17" s="179" t="s">
        <v>29</v>
      </c>
      <c r="P17" s="121">
        <f>SUM(主卡!AB36:AC36)</f>
        <v>0</v>
      </c>
    </row>
    <row r="18" ht="30" customHeight="1" spans="2:16">
      <c r="B18" s="174"/>
      <c r="C18" s="175"/>
      <c r="D18" s="175"/>
      <c r="E18" s="175"/>
      <c r="F18" s="175"/>
      <c r="G18" s="175"/>
      <c r="H18" s="176"/>
      <c r="I18" s="136"/>
      <c r="J18" s="189" t="s">
        <v>103</v>
      </c>
      <c r="K18" s="171">
        <f>主卡!S29</f>
        <v>0</v>
      </c>
      <c r="L18" s="138"/>
      <c r="M18" s="191" t="s">
        <v>31</v>
      </c>
      <c r="N18" s="121">
        <f>SUM(主卡!G39:H39)</f>
        <v>0</v>
      </c>
      <c r="O18" s="182" t="s">
        <v>149</v>
      </c>
      <c r="P18" s="140">
        <f>主卡!Z37</f>
        <v>0</v>
      </c>
    </row>
    <row r="19" ht="30" customHeight="1" spans="2:16">
      <c r="B19" s="174"/>
      <c r="C19" s="175"/>
      <c r="D19" s="175"/>
      <c r="E19" s="175"/>
      <c r="F19" s="175"/>
      <c r="G19" s="175"/>
      <c r="H19" s="176"/>
      <c r="I19" s="136"/>
      <c r="J19" s="192" t="s">
        <v>109</v>
      </c>
      <c r="K19" s="171">
        <f>主卡!S30</f>
        <v>0</v>
      </c>
      <c r="L19" s="138"/>
      <c r="M19" s="193" t="s">
        <v>163</v>
      </c>
      <c r="N19" s="140">
        <f>主卡!E40</f>
        <v>0</v>
      </c>
      <c r="O19" s="185" t="s">
        <v>155</v>
      </c>
      <c r="P19" s="140">
        <f>主卡!Z38</f>
        <v>0</v>
      </c>
    </row>
    <row r="20" ht="30" customHeight="1" spans="2:16">
      <c r="B20" s="174"/>
      <c r="C20" s="175"/>
      <c r="D20" s="175"/>
      <c r="E20" s="175"/>
      <c r="F20" s="175"/>
      <c r="G20" s="175"/>
      <c r="H20" s="176"/>
      <c r="I20" s="136"/>
      <c r="J20" s="194" t="s">
        <v>95</v>
      </c>
      <c r="K20" s="166">
        <f>主卡!Z27</f>
        <v>0</v>
      </c>
      <c r="L20" s="138"/>
      <c r="M20" s="187" t="s">
        <v>169</v>
      </c>
      <c r="N20" s="140">
        <f>主卡!E41</f>
        <v>0</v>
      </c>
      <c r="O20" s="195" t="s">
        <v>160</v>
      </c>
      <c r="P20" s="196">
        <f>主卡!Z39</f>
        <v>0</v>
      </c>
    </row>
    <row r="21" ht="30" customHeight="1" spans="2:16">
      <c r="B21" s="174"/>
      <c r="C21" s="175"/>
      <c r="D21" s="175"/>
      <c r="E21" s="175"/>
      <c r="F21" s="175"/>
      <c r="G21" s="175"/>
      <c r="H21" s="176"/>
      <c r="I21" s="197"/>
      <c r="J21" s="198" t="str">
        <f>IF(主卡!W28="","",主卡!W28)</f>
        <v/>
      </c>
      <c r="K21" s="199" t="str">
        <f>IF(主卡!Z28=0,"",主卡!Z28)</f>
        <v/>
      </c>
      <c r="L21" s="200"/>
      <c r="M21" s="201" t="s">
        <v>174</v>
      </c>
      <c r="N21" s="157">
        <f>主卡!E42</f>
        <v>0</v>
      </c>
      <c r="O21" s="202" t="s">
        <v>89</v>
      </c>
      <c r="P21" s="121">
        <f>SUM(主卡!AA26:AC26,下拉列表!V201)</f>
        <v>2</v>
      </c>
    </row>
    <row r="22" ht="30" customHeight="1" spans="2:16">
      <c r="B22" s="174"/>
      <c r="C22" s="175"/>
      <c r="D22" s="175"/>
      <c r="E22" s="175"/>
      <c r="F22" s="175"/>
      <c r="G22" s="175"/>
      <c r="H22" s="203"/>
      <c r="I22" s="129" t="s">
        <v>1577</v>
      </c>
      <c r="J22" s="198" t="str">
        <f>IF(主卡!W29="","",主卡!W29)</f>
        <v/>
      </c>
      <c r="K22" s="199" t="str">
        <f>IF(主卡!Z29=0,"",主卡!Z29)</f>
        <v/>
      </c>
      <c r="L22" s="204"/>
      <c r="M22" s="205" t="s">
        <v>1578</v>
      </c>
      <c r="N22" s="171">
        <f>ROUND(主卡!AK27,0)</f>
        <v>9</v>
      </c>
      <c r="O22" s="152" t="s">
        <v>161</v>
      </c>
      <c r="P22" s="123" t="str">
        <f ca="1">主卡!AH39</f>
        <v>D+</v>
      </c>
    </row>
    <row r="23" ht="30" customHeight="1" spans="2:16">
      <c r="B23" s="174"/>
      <c r="C23" s="175"/>
      <c r="D23" s="175"/>
      <c r="E23" s="175"/>
      <c r="F23" s="175"/>
      <c r="G23" s="175"/>
      <c r="H23" s="203"/>
      <c r="I23" s="138"/>
      <c r="J23" s="198" t="str">
        <f>IF(主卡!W30="","",主卡!W30)</f>
        <v/>
      </c>
      <c r="K23" s="199" t="str">
        <f>IF(主卡!Z30=0,"",主卡!Z30)</f>
        <v/>
      </c>
      <c r="L23" s="206"/>
      <c r="M23" s="207" t="s">
        <v>96</v>
      </c>
      <c r="N23" s="208">
        <f ca="1">IFERROR(ROUND(主卡!AJ27,0),0)</f>
        <v>2</v>
      </c>
      <c r="O23" s="158" t="s">
        <v>167</v>
      </c>
      <c r="P23" s="143" t="str">
        <f>主卡!AH40</f>
        <v>D2</v>
      </c>
    </row>
    <row r="24" ht="30" customHeight="1" spans="2:16">
      <c r="B24" s="174"/>
      <c r="C24" s="175"/>
      <c r="D24" s="175"/>
      <c r="E24" s="175"/>
      <c r="F24" s="175"/>
      <c r="G24" s="175"/>
      <c r="H24" s="203"/>
      <c r="I24" s="138"/>
      <c r="J24" s="205" t="s">
        <v>87</v>
      </c>
      <c r="K24" s="140">
        <f>SUM(主卡!AK25:AM25)</f>
        <v>3</v>
      </c>
      <c r="L24" s="206"/>
      <c r="M24" s="205" t="s">
        <v>119</v>
      </c>
      <c r="N24" s="171">
        <f>主卡!AM32</f>
        <v>0</v>
      </c>
      <c r="O24" s="209" t="s">
        <v>105</v>
      </c>
      <c r="P24" s="210">
        <f>主卡!AI29</f>
        <v>6</v>
      </c>
    </row>
    <row r="25" ht="30" customHeight="1" spans="2:16">
      <c r="B25" s="211"/>
      <c r="C25" s="212"/>
      <c r="D25" s="212"/>
      <c r="E25" s="212"/>
      <c r="F25" s="212"/>
      <c r="G25" s="212"/>
      <c r="H25" s="213"/>
      <c r="I25" s="200"/>
      <c r="J25" s="214" t="s">
        <v>90</v>
      </c>
      <c r="K25" s="143">
        <f>SUM(主卡!AK26:AM26)</f>
        <v>3</v>
      </c>
      <c r="L25" s="215"/>
      <c r="M25" s="214" t="s">
        <v>1579</v>
      </c>
      <c r="N25" s="216">
        <f ca="1">主卡!AI32</f>
        <v>2</v>
      </c>
      <c r="O25" s="217" t="s">
        <v>114</v>
      </c>
      <c r="P25" s="121" cm="1">
        <f t="array" ref="P25">IFERROR(_xlfn.IFS(主卡!AL45="轻甲",0,主卡!AL45="中甲",1,主卡!AL45="重甲",2)+ROUNDDOWN(主卡!H10/35,0),0)</f>
        <v>1</v>
      </c>
    </row>
    <row r="26" ht="30" customHeight="1" spans="2:16">
      <c r="B26" s="218" t="s">
        <v>1580</v>
      </c>
      <c r="C26" s="207" t="s">
        <v>182</v>
      </c>
      <c r="D26" s="121">
        <f>主卡!E48</f>
        <v>0</v>
      </c>
      <c r="E26" s="207" t="s">
        <v>1581</v>
      </c>
      <c r="F26" s="121" t="str">
        <f>K23</f>
        <v/>
      </c>
      <c r="G26" s="207" t="s">
        <v>1582</v>
      </c>
      <c r="H26" s="121">
        <f>IFERROR(N24,0)</f>
        <v>0</v>
      </c>
    </row>
    <row r="27" ht="30" customHeight="1" spans="2:16">
      <c r="B27" s="219"/>
      <c r="C27" s="207" t="s">
        <v>1583</v>
      </c>
      <c r="D27" s="121">
        <f ca="1">D8</f>
        <v>5</v>
      </c>
      <c r="E27" s="207" t="s">
        <v>1584</v>
      </c>
      <c r="F27" s="121">
        <f>K24</f>
        <v>3</v>
      </c>
      <c r="G27" s="207" t="s">
        <v>1585</v>
      </c>
      <c r="H27" s="121">
        <f>K25</f>
        <v>3</v>
      </c>
    </row>
    <row r="28" ht="30" customHeight="1" spans="2:16">
      <c r="B28" s="219"/>
      <c r="C28" s="207" t="s">
        <v>1586</v>
      </c>
      <c r="D28" s="121">
        <f ca="1">D3</f>
        <v>5</v>
      </c>
      <c r="E28" s="220" t="s">
        <v>8</v>
      </c>
      <c r="F28" s="121">
        <f ca="1">D6</f>
        <v>5</v>
      </c>
      <c r="G28" s="207" t="s">
        <v>1587</v>
      </c>
      <c r="H28" s="121">
        <f ca="1">D2</f>
        <v>5</v>
      </c>
    </row>
    <row r="29" ht="30" customHeight="1" spans="2:16">
      <c r="B29" s="219"/>
      <c r="C29" s="207" t="s">
        <v>1588</v>
      </c>
      <c r="D29" s="121">
        <f ca="1">D5</f>
        <v>5</v>
      </c>
      <c r="E29" s="207" t="s">
        <v>1589</v>
      </c>
      <c r="F29" s="121">
        <f ca="1">D7</f>
        <v>5</v>
      </c>
      <c r="G29" s="207" t="s">
        <v>1590</v>
      </c>
      <c r="H29" s="121">
        <f ca="1">D8</f>
        <v>5</v>
      </c>
    </row>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sheetData>
  <sheetProtection formatCells="0" formatColumns="0" formatRows="0" insertRows="0" insertColumns="0" insertHyperlinks="0" deleteColumns="0" deleteRows="0" sort="0" autoFilter="0" pivotTables="0"/>
  <mergeCells count="8">
    <mergeCell ref="B2:B8"/>
    <mergeCell ref="B26:B29"/>
    <mergeCell ref="I2:I21"/>
    <mergeCell ref="I22:I25"/>
    <mergeCell ref="L2:L21"/>
    <mergeCell ref="L22:L25"/>
    <mergeCell ref="B9:H10"/>
    <mergeCell ref="B11:H25"/>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9"/>
  <sheetViews>
    <sheetView workbookViewId="0">
      <selection activeCell="A14" sqref="A14"/>
    </sheetView>
  </sheetViews>
  <sheetFormatPr defaultColWidth="8.73148148148148" defaultRowHeight="14.4"/>
  <cols>
    <col min="1" max="1" width="142.092592592593" customWidth="1"/>
  </cols>
  <sheetData>
    <row r="1" spans="1:1">
      <c r="A1" t="s">
        <v>1591</v>
      </c>
    </row>
    <row r="2" spans="1:1">
      <c r="A2" t="s">
        <v>1592</v>
      </c>
    </row>
    <row r="3" spans="1:1">
      <c r="A3" t="s">
        <v>1593</v>
      </c>
    </row>
    <row r="4" spans="1:1">
      <c r="A4" s="67" t="s">
        <v>1594</v>
      </c>
    </row>
    <row r="5" spans="1:1">
      <c r="A5" t="s">
        <v>1595</v>
      </c>
    </row>
    <row r="6" spans="1:1">
      <c r="A6" t="s">
        <v>1596</v>
      </c>
    </row>
    <row r="7" spans="1:1">
      <c r="A7" t="s">
        <v>1597</v>
      </c>
    </row>
    <row r="8" spans="1:1">
      <c r="A8" s="67" t="s">
        <v>1598</v>
      </c>
    </row>
    <row r="9" spans="1:1">
      <c r="A9" t="s">
        <v>1599</v>
      </c>
    </row>
    <row r="11" spans="1:1">
      <c r="A11" t="s">
        <v>1600</v>
      </c>
    </row>
    <row r="12" spans="1:1">
      <c r="A12" t="s">
        <v>1592</v>
      </c>
    </row>
    <row r="13" spans="1:1">
      <c r="A13" t="s">
        <v>1601</v>
      </c>
    </row>
    <row r="14" spans="1:1">
      <c r="A14" t="s">
        <v>1602</v>
      </c>
    </row>
    <row r="15" spans="1:1">
      <c r="A15" t="s">
        <v>1603</v>
      </c>
    </row>
    <row r="16" spans="1:1">
      <c r="A16" t="s">
        <v>1604</v>
      </c>
    </row>
    <row r="17" spans="1:1">
      <c r="A17" t="s">
        <v>1605</v>
      </c>
    </row>
    <row r="18" spans="1:1">
      <c r="A18" t="s">
        <v>1606</v>
      </c>
    </row>
    <row r="19" spans="1:1">
      <c r="A19" t="s">
        <v>1607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86"/>
  <sheetViews>
    <sheetView topLeftCell="E1" workbookViewId="0">
      <pane ySplit="1" topLeftCell="A2" activePane="bottomLeft" state="frozen"/>
      <selection/>
      <selection pane="bottomLeft" activeCell="U9" sqref="U9"/>
    </sheetView>
  </sheetViews>
  <sheetFormatPr defaultColWidth="8.73148148148148" defaultRowHeight="14.4"/>
  <cols>
    <col min="1" max="1" width="35.1851851851852" customWidth="1"/>
    <col min="2" max="2" width="7" customWidth="1"/>
  </cols>
  <sheetData>
    <row r="1" spans="1:62">
      <c r="C1" t="s">
        <v>256</v>
      </c>
      <c r="D1" t="s">
        <v>85</v>
      </c>
      <c r="E1" t="s">
        <v>83</v>
      </c>
      <c r="F1" t="s">
        <v>113</v>
      </c>
      <c r="G1" t="s">
        <v>84</v>
      </c>
      <c r="H1" t="s">
        <v>86</v>
      </c>
      <c r="I1" t="s">
        <v>128</v>
      </c>
      <c r="J1" t="s">
        <v>30</v>
      </c>
      <c r="K1" t="s">
        <v>139</v>
      </c>
      <c r="L1" t="s">
        <v>146</v>
      </c>
      <c r="M1" t="s">
        <v>153</v>
      </c>
      <c r="N1" t="s">
        <v>31</v>
      </c>
      <c r="O1" t="s">
        <v>163</v>
      </c>
      <c r="P1" t="s">
        <v>169</v>
      </c>
      <c r="Q1" t="s">
        <v>174</v>
      </c>
      <c r="R1" t="s">
        <v>9</v>
      </c>
      <c r="S1" t="s">
        <v>93</v>
      </c>
      <c r="T1" t="s">
        <v>98</v>
      </c>
      <c r="U1" t="s">
        <v>102</v>
      </c>
      <c r="V1" t="s">
        <v>108</v>
      </c>
      <c r="W1" t="s">
        <v>32</v>
      </c>
      <c r="X1" t="s">
        <v>117</v>
      </c>
      <c r="Y1" t="s">
        <v>122</v>
      </c>
      <c r="Z1" t="s">
        <v>129</v>
      </c>
      <c r="AA1" t="s">
        <v>134</v>
      </c>
      <c r="AB1" t="s">
        <v>140</v>
      </c>
      <c r="AC1" t="s">
        <v>147</v>
      </c>
      <c r="AD1" t="s">
        <v>33</v>
      </c>
      <c r="AE1" t="s">
        <v>158</v>
      </c>
      <c r="AF1" t="s">
        <v>164</v>
      </c>
      <c r="AG1" t="s">
        <v>170</v>
      </c>
      <c r="AH1" t="s">
        <v>175</v>
      </c>
      <c r="AI1" t="s">
        <v>10</v>
      </c>
      <c r="AJ1" t="s">
        <v>94</v>
      </c>
      <c r="AK1" t="s">
        <v>99</v>
      </c>
      <c r="AL1" t="s">
        <v>103</v>
      </c>
      <c r="AM1" t="s">
        <v>109</v>
      </c>
      <c r="AN1" t="s">
        <v>34</v>
      </c>
      <c r="AO1" t="s">
        <v>118</v>
      </c>
      <c r="AP1" t="s">
        <v>123</v>
      </c>
      <c r="AQ1" t="s">
        <v>130</v>
      </c>
      <c r="AR1" t="s">
        <v>135</v>
      </c>
      <c r="AS1" t="s">
        <v>89</v>
      </c>
      <c r="AT1" t="s">
        <v>95</v>
      </c>
      <c r="AU1" t="s">
        <v>28</v>
      </c>
      <c r="AV1" t="s">
        <v>124</v>
      </c>
      <c r="AW1" t="s">
        <v>131</v>
      </c>
      <c r="AX1" t="s">
        <v>136</v>
      </c>
      <c r="AY1" t="s">
        <v>29</v>
      </c>
      <c r="AZ1" t="s">
        <v>149</v>
      </c>
      <c r="BA1" t="s">
        <v>155</v>
      </c>
      <c r="BB1" t="s">
        <v>160</v>
      </c>
      <c r="BC1" t="s">
        <v>7</v>
      </c>
      <c r="BD1" t="s">
        <v>92</v>
      </c>
      <c r="BE1" t="s">
        <v>97</v>
      </c>
      <c r="BF1" t="s">
        <v>101</v>
      </c>
      <c r="BG1" t="s">
        <v>107</v>
      </c>
      <c r="BH1" t="s">
        <v>112</v>
      </c>
      <c r="BI1" t="s">
        <v>116</v>
      </c>
      <c r="BJ1" t="s">
        <v>121</v>
      </c>
    </row>
    <row r="2" spans="1:62">
      <c r="A2" t="s">
        <v>517</v>
      </c>
      <c r="B2">
        <f>IF(主卡!L14=A2,1,0)</f>
        <v>0</v>
      </c>
      <c r="D2">
        <v>2</v>
      </c>
      <c r="G2">
        <v>1</v>
      </c>
      <c r="I2">
        <v>2</v>
      </c>
    </row>
    <row r="3" spans="1:62">
      <c r="A3" t="s">
        <v>526</v>
      </c>
      <c r="B3">
        <f>IF(主卡!L14=A3,1,0)</f>
        <v>0</v>
      </c>
      <c r="C3">
        <v>1</v>
      </c>
      <c r="D3">
        <v>2</v>
      </c>
      <c r="I3">
        <v>2</v>
      </c>
    </row>
    <row r="4" spans="1:62">
      <c r="A4" t="s">
        <v>535</v>
      </c>
      <c r="B4">
        <f>IF(主卡!L14=A4,1,0)</f>
        <v>0</v>
      </c>
      <c r="C4">
        <v>1</v>
      </c>
      <c r="D4">
        <v>2</v>
      </c>
      <c r="AI4">
        <v>1</v>
      </c>
      <c r="AN4">
        <v>2</v>
      </c>
    </row>
    <row r="5" spans="1:62">
      <c r="A5" t="s">
        <v>544</v>
      </c>
      <c r="B5">
        <f>IF(主卡!L14=A5,1,0)</f>
        <v>0</v>
      </c>
      <c r="D5">
        <v>1</v>
      </c>
      <c r="G5">
        <v>1</v>
      </c>
      <c r="I5">
        <v>2</v>
      </c>
      <c r="AN5">
        <v>3</v>
      </c>
    </row>
    <row r="6" spans="1:62">
      <c r="A6" t="s">
        <v>553</v>
      </c>
      <c r="B6">
        <f>IF(主卡!L14=A6,1,0)</f>
        <v>0</v>
      </c>
      <c r="C6">
        <v>2</v>
      </c>
      <c r="D6">
        <v>1</v>
      </c>
      <c r="E6">
        <v>1</v>
      </c>
      <c r="F6">
        <v>1</v>
      </c>
    </row>
    <row r="7" spans="1:62">
      <c r="A7" t="s">
        <v>562</v>
      </c>
      <c r="B7">
        <f>IF(主卡!L14=A7,1,0)</f>
        <v>0</v>
      </c>
      <c r="D7">
        <v>2</v>
      </c>
      <c r="G7">
        <v>1</v>
      </c>
      <c r="AJ7">
        <v>1</v>
      </c>
    </row>
    <row r="8" spans="1:62">
      <c r="A8" t="s">
        <v>1608</v>
      </c>
      <c r="B8">
        <f>IF(主卡!L14=A8,1,0)</f>
        <v>0</v>
      </c>
      <c r="D8">
        <v>3</v>
      </c>
      <c r="G8">
        <v>1</v>
      </c>
      <c r="I8">
        <v>1</v>
      </c>
    </row>
    <row r="9" spans="1:62">
      <c r="A9" t="s">
        <v>580</v>
      </c>
      <c r="B9">
        <f>IF(主卡!L14=A9,1,0)</f>
        <v>0</v>
      </c>
      <c r="C9">
        <v>-1</v>
      </c>
      <c r="D9">
        <v>3</v>
      </c>
      <c r="F9">
        <v>1</v>
      </c>
      <c r="G9">
        <v>1</v>
      </c>
      <c r="AI9">
        <v>1</v>
      </c>
      <c r="AY9">
        <v>1</v>
      </c>
      <c r="BC9">
        <v>-1</v>
      </c>
    </row>
    <row r="10" spans="1:62">
      <c r="A10" t="s">
        <v>589</v>
      </c>
      <c r="B10">
        <f>IF(主卡!L14=A10,1,0)</f>
        <v>0</v>
      </c>
      <c r="D10">
        <v>1</v>
      </c>
      <c r="F10">
        <v>1</v>
      </c>
      <c r="G10">
        <v>1</v>
      </c>
      <c r="M10">
        <v>1</v>
      </c>
      <c r="R10">
        <v>1</v>
      </c>
      <c r="AU10">
        <v>2</v>
      </c>
    </row>
    <row r="11" spans="1:62">
      <c r="A11" t="s">
        <v>598</v>
      </c>
      <c r="B11">
        <f>IF(主卡!L14=A11,1,0)</f>
        <v>0</v>
      </c>
      <c r="C11">
        <v>1</v>
      </c>
      <c r="D11">
        <v>2</v>
      </c>
      <c r="G11">
        <v>1</v>
      </c>
      <c r="AW11">
        <v>1</v>
      </c>
      <c r="AX11">
        <v>1</v>
      </c>
    </row>
    <row r="12" spans="1:62">
      <c r="A12" t="s">
        <v>607</v>
      </c>
      <c r="B12">
        <f>IF(主卡!L14=A12,1,0)</f>
        <v>0</v>
      </c>
      <c r="D12">
        <v>1</v>
      </c>
      <c r="AI12">
        <v>1</v>
      </c>
      <c r="AJ12">
        <v>1</v>
      </c>
      <c r="AN12">
        <v>2</v>
      </c>
    </row>
    <row r="13" spans="1:62">
      <c r="A13" t="s">
        <v>616</v>
      </c>
      <c r="B13">
        <f>IF(主卡!L14=A13,1,0)</f>
        <v>0</v>
      </c>
      <c r="D13">
        <v>2</v>
      </c>
      <c r="F13">
        <v>2</v>
      </c>
      <c r="AN13">
        <v>2</v>
      </c>
      <c r="AU13">
        <v>2</v>
      </c>
    </row>
    <row r="14" spans="1:62">
      <c r="A14" t="s">
        <v>623</v>
      </c>
      <c r="B14">
        <f>IF(主卡!L14=A14,1,0)</f>
        <v>0</v>
      </c>
      <c r="C14">
        <v>1</v>
      </c>
      <c r="D14">
        <v>2</v>
      </c>
      <c r="AI14">
        <v>1</v>
      </c>
      <c r="AX14">
        <v>2</v>
      </c>
    </row>
    <row r="15" spans="1:62">
      <c r="A15" t="s">
        <v>629</v>
      </c>
      <c r="B15">
        <f>IF(主卡!L14=A15,1,0)</f>
        <v>0</v>
      </c>
      <c r="C15">
        <v>1</v>
      </c>
      <c r="E15">
        <v>2</v>
      </c>
      <c r="AN15">
        <v>1</v>
      </c>
      <c r="BC15">
        <v>1</v>
      </c>
    </row>
    <row r="16" spans="1:62">
      <c r="A16" t="s">
        <v>636</v>
      </c>
      <c r="B16">
        <f>IF(主卡!L14=A16,1,0)</f>
        <v>0</v>
      </c>
      <c r="C16">
        <v>2</v>
      </c>
      <c r="E16">
        <v>2</v>
      </c>
      <c r="F16">
        <v>1</v>
      </c>
    </row>
    <row r="17" spans="1:56">
      <c r="A17" t="s">
        <v>639</v>
      </c>
      <c r="B17">
        <f>IF(主卡!L14=A17,1,0)</f>
        <v>0</v>
      </c>
      <c r="C17">
        <v>3</v>
      </c>
      <c r="D17">
        <v>-1</v>
      </c>
      <c r="E17">
        <v>2</v>
      </c>
      <c r="G17">
        <v>1</v>
      </c>
    </row>
    <row r="18" spans="1:56">
      <c r="A18" t="s">
        <v>645</v>
      </c>
      <c r="B18">
        <f>IF(主卡!L14=A18,1,0)</f>
        <v>0</v>
      </c>
      <c r="C18">
        <v>3</v>
      </c>
      <c r="E18">
        <v>2</v>
      </c>
      <c r="AI18">
        <v>-1</v>
      </c>
      <c r="BC18">
        <v>1</v>
      </c>
    </row>
    <row r="19" spans="1:56">
      <c r="A19" t="s">
        <v>651</v>
      </c>
      <c r="B19">
        <f>IF(主卡!L14=A19,1,0)</f>
        <v>0</v>
      </c>
      <c r="C19">
        <v>2</v>
      </c>
      <c r="D19">
        <v>3</v>
      </c>
    </row>
    <row r="20" spans="1:56">
      <c r="A20" t="s">
        <v>657</v>
      </c>
      <c r="B20">
        <f>IF(主卡!L14=A20,1,0)</f>
        <v>0</v>
      </c>
      <c r="C20">
        <v>2</v>
      </c>
      <c r="E20">
        <v>1</v>
      </c>
      <c r="I20">
        <v>2</v>
      </c>
    </row>
    <row r="21" spans="1:56">
      <c r="A21" t="s">
        <v>663</v>
      </c>
      <c r="B21">
        <f>IF(主卡!L14=A21,1,0)</f>
        <v>0</v>
      </c>
      <c r="F21">
        <v>2</v>
      </c>
      <c r="G21">
        <v>1</v>
      </c>
      <c r="H21">
        <v>2</v>
      </c>
      <c r="J21">
        <v>2</v>
      </c>
    </row>
    <row r="22" spans="1:56">
      <c r="A22" t="s">
        <v>669</v>
      </c>
      <c r="B22">
        <f>IF(主卡!L14=A22,1,0)</f>
        <v>0</v>
      </c>
      <c r="F22">
        <v>3</v>
      </c>
      <c r="G22">
        <v>1</v>
      </c>
      <c r="I22">
        <v>1</v>
      </c>
    </row>
    <row r="23" spans="1:56">
      <c r="A23" t="s">
        <v>675</v>
      </c>
      <c r="B23">
        <f>IF(主卡!L14=A23,1,0)</f>
        <v>0</v>
      </c>
      <c r="C23">
        <v>2</v>
      </c>
      <c r="D23">
        <v>-2</v>
      </c>
      <c r="F23">
        <v>2</v>
      </c>
      <c r="G23">
        <v>3</v>
      </c>
      <c r="AD23">
        <v>4</v>
      </c>
      <c r="AF23">
        <v>2</v>
      </c>
      <c r="AI23">
        <v>-2</v>
      </c>
      <c r="AN23">
        <v>-2</v>
      </c>
      <c r="AU23">
        <v>2</v>
      </c>
    </row>
    <row r="24" spans="1:56">
      <c r="A24" t="s">
        <v>681</v>
      </c>
      <c r="B24">
        <f>IF(主卡!L14=A24,1,0)</f>
        <v>0</v>
      </c>
      <c r="D24">
        <v>-5</v>
      </c>
      <c r="F24">
        <v>3</v>
      </c>
      <c r="G24">
        <v>3</v>
      </c>
      <c r="J24">
        <v>2</v>
      </c>
      <c r="AJ24">
        <v>-1</v>
      </c>
      <c r="AU24">
        <v>6</v>
      </c>
    </row>
    <row r="25" spans="1:56">
      <c r="A25" t="s">
        <v>687</v>
      </c>
      <c r="B25">
        <f>IF(主卡!L14=A25,1,0)</f>
        <v>0</v>
      </c>
      <c r="C25">
        <v>2</v>
      </c>
      <c r="E25">
        <v>2</v>
      </c>
      <c r="BD25">
        <v>1</v>
      </c>
    </row>
    <row r="26" spans="1:56">
      <c r="A26" t="s">
        <v>693</v>
      </c>
      <c r="B26">
        <f>IF(主卡!L14=A26,1,0)</f>
        <v>0</v>
      </c>
      <c r="F26">
        <v>1</v>
      </c>
      <c r="G26">
        <v>3</v>
      </c>
      <c r="H26">
        <v>1</v>
      </c>
      <c r="W26">
        <v>4</v>
      </c>
    </row>
    <row r="27" spans="1:56">
      <c r="A27" t="s">
        <v>699</v>
      </c>
      <c r="B27">
        <f>IF(主卡!L14=A27,1,0)</f>
        <v>0</v>
      </c>
      <c r="C27">
        <v>1</v>
      </c>
      <c r="F27">
        <v>1</v>
      </c>
      <c r="H27">
        <v>3</v>
      </c>
    </row>
    <row r="28" spans="1:56">
      <c r="A28" t="s">
        <v>705</v>
      </c>
      <c r="B28">
        <f>IF(主卡!L14=A28,1,0)</f>
        <v>0</v>
      </c>
      <c r="F28">
        <v>1</v>
      </c>
      <c r="G28">
        <v>1</v>
      </c>
      <c r="H28">
        <v>3</v>
      </c>
      <c r="W28">
        <v>4</v>
      </c>
      <c r="AS28">
        <v>1</v>
      </c>
    </row>
    <row r="29" spans="1:56">
      <c r="A29" t="s">
        <v>711</v>
      </c>
      <c r="B29">
        <f>IF(主卡!L14=A29,1,0)</f>
        <v>0</v>
      </c>
    </row>
    <row r="30" spans="1:56">
      <c r="A30" t="s">
        <v>717</v>
      </c>
      <c r="B30">
        <f>IF(主卡!L14=A30,1,0)</f>
        <v>0</v>
      </c>
      <c r="C30">
        <v>-1</v>
      </c>
      <c r="D30">
        <v>1</v>
      </c>
      <c r="E30">
        <v>-1</v>
      </c>
      <c r="F30">
        <v>1</v>
      </c>
      <c r="G30">
        <v>3</v>
      </c>
      <c r="AX30">
        <v>1</v>
      </c>
    </row>
    <row r="31" spans="1:56">
      <c r="A31" t="s">
        <v>723</v>
      </c>
      <c r="B31">
        <f>IF(主卡!L14=A31,1,0)</f>
        <v>0</v>
      </c>
      <c r="F31">
        <v>3</v>
      </c>
      <c r="H31">
        <v>1</v>
      </c>
      <c r="I31">
        <v>2</v>
      </c>
      <c r="J31">
        <v>2</v>
      </c>
      <c r="AW31">
        <v>-4</v>
      </c>
      <c r="AX31">
        <v>-6</v>
      </c>
    </row>
    <row r="32" spans="1:56">
      <c r="A32" t="s">
        <v>729</v>
      </c>
      <c r="B32">
        <f>IF(主卡!L14=A32,1,0)</f>
        <v>0</v>
      </c>
      <c r="F32">
        <v>3</v>
      </c>
      <c r="H32">
        <v>1</v>
      </c>
      <c r="I32">
        <v>2</v>
      </c>
      <c r="J32">
        <v>2</v>
      </c>
      <c r="AW32">
        <v>-4</v>
      </c>
    </row>
    <row r="33" spans="1:56">
      <c r="A33" t="s">
        <v>735</v>
      </c>
      <c r="B33">
        <f>IF(主卡!L14=A33,1,0)</f>
        <v>0</v>
      </c>
      <c r="C33">
        <v>2</v>
      </c>
      <c r="E33">
        <v>2</v>
      </c>
      <c r="H33">
        <v>3</v>
      </c>
      <c r="I33">
        <v>-3</v>
      </c>
      <c r="N33">
        <v>-4</v>
      </c>
      <c r="Q33">
        <v>4</v>
      </c>
      <c r="W33">
        <v>-2</v>
      </c>
      <c r="AD33">
        <v>-2</v>
      </c>
    </row>
    <row r="37" spans="1:56">
      <c r="A37" t="s">
        <v>520</v>
      </c>
      <c r="B37">
        <f>IF(主卡!R14=A37,1,0)</f>
        <v>0</v>
      </c>
      <c r="I37">
        <v>1</v>
      </c>
    </row>
    <row r="38" spans="1:56">
      <c r="A38" t="s">
        <v>529</v>
      </c>
      <c r="B38">
        <f>IF(主卡!R14=A38,1,0)</f>
        <v>0</v>
      </c>
    </row>
    <row r="39" spans="1:56">
      <c r="A39" t="s">
        <v>538</v>
      </c>
      <c r="B39">
        <f>IF(主卡!R14=A39,1,0)</f>
        <v>0</v>
      </c>
      <c r="C39">
        <v>1</v>
      </c>
      <c r="BC39">
        <v>1</v>
      </c>
    </row>
    <row r="40" spans="1:56">
      <c r="A40" t="s">
        <v>547</v>
      </c>
      <c r="B40">
        <f>IF(主卡!R14=A40,1,0)</f>
        <v>0</v>
      </c>
    </row>
    <row r="41" spans="1:56">
      <c r="A41" t="s">
        <v>556</v>
      </c>
      <c r="B41">
        <f>IF(主卡!R14=A41,1,0)</f>
        <v>0</v>
      </c>
    </row>
    <row r="42" spans="1:56">
      <c r="A42" t="s">
        <v>565</v>
      </c>
      <c r="B42">
        <f>IF(主卡!R14=A42,1,0)</f>
        <v>0</v>
      </c>
      <c r="G42">
        <v>-1</v>
      </c>
    </row>
    <row r="43" spans="1:56">
      <c r="A43" t="s">
        <v>574</v>
      </c>
      <c r="B43">
        <f>IF(主卡!R14=A43,1,0)</f>
        <v>0</v>
      </c>
      <c r="G43">
        <v>-1</v>
      </c>
      <c r="H43">
        <v>1</v>
      </c>
    </row>
    <row r="44" spans="1:56">
      <c r="A44" t="s">
        <v>583</v>
      </c>
      <c r="B44">
        <f>IF(主卡!R14=A44,1,0)</f>
        <v>0</v>
      </c>
      <c r="H44">
        <v>1</v>
      </c>
    </row>
    <row r="45" spans="1:56">
      <c r="A45" t="s">
        <v>592</v>
      </c>
      <c r="B45">
        <f>IF(主卡!R14=A45,1,0)</f>
        <v>0</v>
      </c>
      <c r="H45">
        <v>1</v>
      </c>
    </row>
    <row r="46" spans="1:56">
      <c r="A46" t="s">
        <v>601</v>
      </c>
      <c r="B46">
        <f>IF(主卡!R14=A46,1,0)</f>
        <v>0</v>
      </c>
      <c r="G46">
        <v>1</v>
      </c>
      <c r="W46">
        <v>2</v>
      </c>
    </row>
    <row r="47" spans="1:56">
      <c r="A47" t="s">
        <v>610</v>
      </c>
      <c r="B47">
        <f>IF(主卡!R14=A47,1,0)</f>
        <v>0</v>
      </c>
      <c r="G47">
        <v>1</v>
      </c>
      <c r="W47">
        <v>2</v>
      </c>
      <c r="BD47">
        <v>1</v>
      </c>
    </row>
    <row r="48" spans="1:56">
      <c r="A48" t="s">
        <v>619</v>
      </c>
      <c r="B48">
        <f>IF(主卡!R14=A48,1,0)</f>
        <v>0</v>
      </c>
      <c r="G48">
        <v>1</v>
      </c>
    </row>
    <row r="49" spans="1:55">
      <c r="A49" t="s">
        <v>626</v>
      </c>
      <c r="B49">
        <f>IF(主卡!R14=A49,1,0)</f>
        <v>0</v>
      </c>
      <c r="G49">
        <v>1</v>
      </c>
    </row>
    <row r="50" spans="1:55">
      <c r="A50" t="s">
        <v>632</v>
      </c>
      <c r="B50">
        <f>IF(主卡!R14=A50,1,0)</f>
        <v>0</v>
      </c>
      <c r="G50">
        <v>1</v>
      </c>
      <c r="AD50">
        <v>3</v>
      </c>
    </row>
    <row r="51" spans="1:55">
      <c r="A51" t="s">
        <v>642</v>
      </c>
      <c r="B51">
        <f>IF(主卡!R14=A51,1,0)</f>
        <v>0</v>
      </c>
      <c r="W51">
        <v>-3</v>
      </c>
    </row>
    <row r="52" spans="1:55">
      <c r="A52" t="s">
        <v>648</v>
      </c>
      <c r="B52">
        <f>IF(主卡!R14=A52,1,0)</f>
        <v>0</v>
      </c>
      <c r="W52">
        <v>-3</v>
      </c>
      <c r="AI52">
        <v>1</v>
      </c>
      <c r="BC52">
        <v>1</v>
      </c>
    </row>
    <row r="53" spans="1:55">
      <c r="A53" t="s">
        <v>654</v>
      </c>
      <c r="B53">
        <f>IF(主卡!R14=A53,1,0)</f>
        <v>0</v>
      </c>
      <c r="AD53">
        <v>2</v>
      </c>
    </row>
    <row r="54" spans="1:55">
      <c r="A54" t="s">
        <v>660</v>
      </c>
      <c r="B54">
        <f>IF(主卡!R14=A54,1,0)</f>
        <v>0</v>
      </c>
      <c r="AD54">
        <v>2</v>
      </c>
    </row>
    <row r="55" spans="1:55">
      <c r="A55" t="s">
        <v>666</v>
      </c>
      <c r="B55">
        <f>IF(主卡!R14=A55,1,0)</f>
        <v>0</v>
      </c>
    </row>
    <row r="56" spans="1:55">
      <c r="A56" t="s">
        <v>672</v>
      </c>
      <c r="B56">
        <f>IF(主卡!R14=A56,1,0)</f>
        <v>0</v>
      </c>
      <c r="G56">
        <v>1</v>
      </c>
      <c r="AH56">
        <v>2</v>
      </c>
    </row>
    <row r="57" spans="1:55">
      <c r="A57" t="s">
        <v>678</v>
      </c>
      <c r="B57">
        <f>IF(主卡!R14=A57,1,0)</f>
        <v>0</v>
      </c>
    </row>
    <row r="58" spans="1:55">
      <c r="A58" t="s">
        <v>684</v>
      </c>
      <c r="B58">
        <f>IF(主卡!R14=A58,1,0)</f>
        <v>0</v>
      </c>
      <c r="P58">
        <v>2</v>
      </c>
    </row>
    <row r="59" spans="1:55">
      <c r="A59" t="s">
        <v>690</v>
      </c>
      <c r="B59">
        <f>IF(主卡!R14=A59,1,0)</f>
        <v>0</v>
      </c>
      <c r="G59">
        <v>1</v>
      </c>
      <c r="W59">
        <v>2</v>
      </c>
    </row>
    <row r="60" spans="1:55">
      <c r="A60" t="s">
        <v>696</v>
      </c>
      <c r="B60">
        <f>IF(主卡!R14=A60,1,0)</f>
        <v>0</v>
      </c>
      <c r="G60">
        <v>1</v>
      </c>
      <c r="P60">
        <v>2</v>
      </c>
      <c r="W60">
        <v>2</v>
      </c>
    </row>
    <row r="61" spans="1:55">
      <c r="A61" t="s">
        <v>702</v>
      </c>
      <c r="B61">
        <f>IF(主卡!R14=A61,1,0)</f>
        <v>0</v>
      </c>
      <c r="W61">
        <v>-2</v>
      </c>
    </row>
    <row r="62" spans="1:55">
      <c r="A62" t="s">
        <v>708</v>
      </c>
      <c r="B62">
        <f>IF(主卡!R14=A62,1,0)</f>
        <v>0</v>
      </c>
      <c r="W62">
        <v>-2</v>
      </c>
    </row>
    <row r="63" spans="1:55">
      <c r="A63" t="s">
        <v>714</v>
      </c>
      <c r="B63">
        <f>IF(主卡!R14=A63,1,0)</f>
        <v>0</v>
      </c>
      <c r="C63">
        <v>1</v>
      </c>
      <c r="E63">
        <v>1</v>
      </c>
      <c r="N63">
        <v>-4</v>
      </c>
      <c r="W63">
        <v>-6</v>
      </c>
    </row>
    <row r="64" spans="1:55">
      <c r="A64" t="s">
        <v>720</v>
      </c>
      <c r="B64">
        <f>IF(主卡!R14=A64,1,0)</f>
        <v>0</v>
      </c>
      <c r="J64">
        <v>2</v>
      </c>
    </row>
    <row r="65" spans="1:59">
      <c r="A65" t="s">
        <v>726</v>
      </c>
      <c r="B65">
        <f>IF(主卡!R14=A65,1,0)</f>
        <v>0</v>
      </c>
      <c r="F65">
        <v>1</v>
      </c>
      <c r="I65">
        <v>1</v>
      </c>
      <c r="J65">
        <v>2</v>
      </c>
      <c r="L65">
        <v>2</v>
      </c>
      <c r="AA65">
        <v>2</v>
      </c>
    </row>
    <row r="66" spans="1:59">
      <c r="A66" t="s">
        <v>732</v>
      </c>
      <c r="B66">
        <f>IF(主卡!R14=A66,1,0)</f>
        <v>0</v>
      </c>
    </row>
    <row r="67" spans="1:59">
      <c r="A67" t="s">
        <v>738</v>
      </c>
      <c r="B67">
        <f>IF(主卡!R14=A67,1,0)</f>
        <v>0</v>
      </c>
      <c r="W67">
        <v>2</v>
      </c>
    </row>
    <row r="68" spans="1:59">
      <c r="A68" t="s">
        <v>742</v>
      </c>
      <c r="B68">
        <f>IF(主卡!R14=A68,1,0)</f>
        <v>0</v>
      </c>
      <c r="W68">
        <v>-2</v>
      </c>
    </row>
    <row r="69" spans="1:59">
      <c r="A69" t="s">
        <v>745</v>
      </c>
      <c r="B69">
        <f>IF(主卡!R14=A69,1,0)</f>
        <v>0</v>
      </c>
      <c r="F69">
        <v>1</v>
      </c>
      <c r="W69">
        <v>-2</v>
      </c>
    </row>
    <row r="70" spans="1:59">
      <c r="A70" t="s">
        <v>748</v>
      </c>
      <c r="B70">
        <f>IF(主卡!R14=A70,1,0)</f>
        <v>0</v>
      </c>
      <c r="W70">
        <v>-3</v>
      </c>
    </row>
    <row r="71" spans="1:59">
      <c r="A71" t="s">
        <v>751</v>
      </c>
      <c r="B71">
        <f>IF(主卡!R14=A71,1,0)</f>
        <v>0</v>
      </c>
      <c r="W71">
        <v>-3</v>
      </c>
      <c r="AS71">
        <v>1</v>
      </c>
      <c r="BG71">
        <v>1</v>
      </c>
    </row>
    <row r="72" spans="1:59">
      <c r="A72" t="s">
        <v>754</v>
      </c>
      <c r="B72">
        <f>IF(主卡!R14=A72,1,0)</f>
        <v>0</v>
      </c>
      <c r="W72">
        <v>4</v>
      </c>
    </row>
    <row r="73" spans="1:59">
      <c r="A73" t="s">
        <v>757</v>
      </c>
      <c r="B73">
        <f>IF(主卡!R14=A73,1,0)</f>
        <v>0</v>
      </c>
      <c r="W73">
        <v>4</v>
      </c>
    </row>
    <row r="74" spans="1:59">
      <c r="A74" t="s">
        <v>760</v>
      </c>
      <c r="B74">
        <f>IF(主卡!R14=A74,1,0)</f>
        <v>0</v>
      </c>
      <c r="G74">
        <v>-2</v>
      </c>
      <c r="W74">
        <v>-4</v>
      </c>
      <c r="Z74">
        <v>2</v>
      </c>
    </row>
    <row r="75" spans="1:59">
      <c r="A75" t="s">
        <v>763</v>
      </c>
      <c r="B75">
        <f>IF(主卡!R14=A75,1,0)</f>
        <v>0</v>
      </c>
      <c r="G75">
        <v>-2</v>
      </c>
      <c r="W75">
        <v>-4</v>
      </c>
      <c r="Z75">
        <v>2</v>
      </c>
      <c r="AN75">
        <v>2</v>
      </c>
      <c r="AU75">
        <v>2</v>
      </c>
    </row>
    <row r="76" spans="1:59">
      <c r="A76" t="s">
        <v>766</v>
      </c>
      <c r="B76">
        <f>IF(主卡!R14=A76,1,0)</f>
        <v>0</v>
      </c>
      <c r="W76">
        <v>-2</v>
      </c>
      <c r="AD76">
        <v>-2</v>
      </c>
    </row>
    <row r="77" spans="1:59">
      <c r="A77" t="s">
        <v>769</v>
      </c>
      <c r="B77">
        <f>IF(主卡!R14=A77,1,0)</f>
        <v>0</v>
      </c>
      <c r="C77">
        <v>1</v>
      </c>
      <c r="D77">
        <v>1</v>
      </c>
      <c r="E77">
        <v>1</v>
      </c>
      <c r="F77">
        <v>1</v>
      </c>
      <c r="W77">
        <v>-2</v>
      </c>
      <c r="AD77">
        <v>-2</v>
      </c>
    </row>
    <row r="78" spans="1:59">
      <c r="A78" t="s">
        <v>772</v>
      </c>
      <c r="B78">
        <f>IF(主卡!R14=A78,1,0)</f>
        <v>0</v>
      </c>
      <c r="F78">
        <v>2</v>
      </c>
      <c r="H78">
        <v>2</v>
      </c>
      <c r="W78">
        <v>-2</v>
      </c>
      <c r="AD78">
        <v>-2</v>
      </c>
    </row>
    <row r="79" spans="1:59">
      <c r="A79" t="s">
        <v>775</v>
      </c>
      <c r="B79">
        <f>IF(主卡!R14=A79,1,0)</f>
        <v>0</v>
      </c>
      <c r="G79">
        <v>3</v>
      </c>
      <c r="H79">
        <v>-4</v>
      </c>
      <c r="I79">
        <v>3</v>
      </c>
      <c r="J79">
        <v>6</v>
      </c>
      <c r="W79">
        <v>6</v>
      </c>
    </row>
    <row r="80" spans="1:59">
      <c r="A80" t="s">
        <v>778</v>
      </c>
      <c r="B80">
        <f>IF(主卡!R14=A80,1,0)</f>
        <v>0</v>
      </c>
      <c r="G80">
        <v>4</v>
      </c>
      <c r="H80">
        <v>-4</v>
      </c>
      <c r="I80">
        <v>3</v>
      </c>
      <c r="J80">
        <v>6</v>
      </c>
      <c r="W80">
        <v>8</v>
      </c>
      <c r="AD80">
        <v>2</v>
      </c>
    </row>
    <row r="81" spans="1:42">
      <c r="A81" t="s">
        <v>781</v>
      </c>
      <c r="B81">
        <f>IF(主卡!R14=A81,1,0)</f>
        <v>0</v>
      </c>
      <c r="C81">
        <v>5</v>
      </c>
      <c r="D81">
        <v>3</v>
      </c>
      <c r="E81">
        <v>3</v>
      </c>
      <c r="G81">
        <v>3</v>
      </c>
      <c r="I81">
        <v>3</v>
      </c>
      <c r="J81">
        <v>6</v>
      </c>
      <c r="W81">
        <v>6</v>
      </c>
    </row>
    <row r="82" spans="1:42">
      <c r="A82" t="s">
        <v>784</v>
      </c>
      <c r="B82">
        <f>IF(主卡!R14=A82,1,0)</f>
        <v>0</v>
      </c>
      <c r="C82">
        <v>5</v>
      </c>
      <c r="D82">
        <v>3</v>
      </c>
      <c r="E82">
        <v>3</v>
      </c>
      <c r="G82">
        <v>4</v>
      </c>
      <c r="I82">
        <v>3</v>
      </c>
      <c r="J82">
        <v>6</v>
      </c>
      <c r="W82">
        <v>8</v>
      </c>
      <c r="AD82">
        <v>2</v>
      </c>
    </row>
    <row r="83" spans="1:42">
      <c r="A83" t="s">
        <v>786</v>
      </c>
      <c r="B83">
        <f>IF(主卡!R14=A83,1,0)</f>
        <v>0</v>
      </c>
      <c r="G83">
        <v>1</v>
      </c>
    </row>
    <row r="84" spans="1:42">
      <c r="A84" t="s">
        <v>789</v>
      </c>
      <c r="B84">
        <f>IF(主卡!R14=A84,1,0)</f>
        <v>0</v>
      </c>
      <c r="G84">
        <v>2</v>
      </c>
      <c r="AD84">
        <v>3</v>
      </c>
    </row>
    <row r="85" spans="1:42">
      <c r="A85" t="s">
        <v>792</v>
      </c>
      <c r="B85">
        <f>IF(主卡!R14=A85,1,0)</f>
        <v>0</v>
      </c>
      <c r="C85">
        <v>1</v>
      </c>
      <c r="D85">
        <v>1</v>
      </c>
      <c r="E85">
        <v>1</v>
      </c>
    </row>
    <row r="86" spans="1:42">
      <c r="A86" t="s">
        <v>795</v>
      </c>
      <c r="B86">
        <f>IF(主卡!R14=A86,1,0)</f>
        <v>0</v>
      </c>
      <c r="C86">
        <v>1</v>
      </c>
      <c r="D86">
        <v>1</v>
      </c>
      <c r="E86">
        <v>1</v>
      </c>
    </row>
    <row r="90" spans="1:42">
      <c r="A90" t="s">
        <v>523</v>
      </c>
      <c r="B90">
        <f>IF(主卡!X14=A90,1,0)</f>
        <v>0</v>
      </c>
      <c r="AD90">
        <f>主卡!AX10-1</f>
        <v>0</v>
      </c>
      <c r="AF90">
        <v>3</v>
      </c>
      <c r="AG90">
        <v>2</v>
      </c>
      <c r="AH90">
        <v>1</v>
      </c>
      <c r="AO90">
        <v>1</v>
      </c>
    </row>
    <row r="91" spans="1:42">
      <c r="A91" t="s">
        <v>532</v>
      </c>
      <c r="B91">
        <f>IF(主卡!X14=A91,1,0)</f>
        <v>0</v>
      </c>
      <c r="AE91">
        <v>4</v>
      </c>
      <c r="AF91">
        <v>2</v>
      </c>
      <c r="AN91">
        <f>主卡!AX10-1</f>
        <v>0</v>
      </c>
      <c r="AO91">
        <v>2</v>
      </c>
    </row>
    <row r="92" spans="1:42">
      <c r="A92" t="s">
        <v>541</v>
      </c>
      <c r="B92">
        <f>IF(主卡!X14=A92,1,0)</f>
        <v>0</v>
      </c>
      <c r="J92">
        <f>主卡!AX10-1</f>
        <v>0</v>
      </c>
      <c r="M92">
        <v>2</v>
      </c>
      <c r="N92">
        <v>2</v>
      </c>
      <c r="P92">
        <v>1</v>
      </c>
      <c r="AO92">
        <v>2</v>
      </c>
    </row>
    <row r="93" spans="1:42">
      <c r="A93" t="s">
        <v>550</v>
      </c>
      <c r="B93">
        <f>IF(主卡!X14=A93,1,0)</f>
        <v>0</v>
      </c>
      <c r="M93">
        <v>1</v>
      </c>
      <c r="T93">
        <v>1</v>
      </c>
      <c r="Y93">
        <v>3</v>
      </c>
      <c r="AN93">
        <f>主卡!AX10-1</f>
        <v>0</v>
      </c>
      <c r="AO93">
        <v>2</v>
      </c>
      <c r="AP93">
        <v>3</v>
      </c>
    </row>
    <row r="94" spans="1:42">
      <c r="A94" t="s">
        <v>559</v>
      </c>
      <c r="B94">
        <f>IF(主卡!X14=A94,1,0)</f>
        <v>0</v>
      </c>
      <c r="W94">
        <f>主卡!AX10-1</f>
        <v>0</v>
      </c>
      <c r="X94">
        <v>1</v>
      </c>
      <c r="Y94">
        <v>1</v>
      </c>
      <c r="Z94">
        <v>1</v>
      </c>
      <c r="AA94">
        <v>1</v>
      </c>
      <c r="AB94">
        <v>1</v>
      </c>
      <c r="AC94">
        <v>1</v>
      </c>
    </row>
    <row r="95" spans="1:42">
      <c r="A95" t="s">
        <v>568</v>
      </c>
      <c r="B95">
        <f>IF(主卡!X14=A95,1,0)</f>
        <v>0</v>
      </c>
      <c r="W95">
        <f>主卡!AX10-1</f>
        <v>0</v>
      </c>
      <c r="AA95">
        <v>2</v>
      </c>
      <c r="AB95">
        <v>3</v>
      </c>
      <c r="AC95">
        <v>2</v>
      </c>
    </row>
    <row r="96" spans="1:42">
      <c r="A96" t="s">
        <v>577</v>
      </c>
      <c r="B96">
        <f>IF(主卡!X14=A96,1,0)</f>
        <v>0</v>
      </c>
    </row>
    <row r="97" spans="1:28">
      <c r="A97" t="s">
        <v>586</v>
      </c>
      <c r="B97">
        <f>IF(主卡!X14=A97,1,0)</f>
        <v>0</v>
      </c>
      <c r="J97">
        <f>主卡!AX10-1</f>
        <v>0</v>
      </c>
      <c r="M97">
        <v>3</v>
      </c>
      <c r="W97">
        <v>2</v>
      </c>
      <c r="AB97">
        <v>2</v>
      </c>
    </row>
    <row r="98" spans="1:28">
      <c r="A98" t="s">
        <v>595</v>
      </c>
      <c r="B98">
        <f>IF(主卡!X14=A98,1,0)</f>
        <v>0</v>
      </c>
      <c r="J98">
        <f>主卡!AX10-1</f>
        <v>0</v>
      </c>
      <c r="M98">
        <v>3</v>
      </c>
      <c r="W98">
        <v>2</v>
      </c>
      <c r="AB98">
        <v>2</v>
      </c>
    </row>
    <row r="99" spans="1:28">
      <c r="A99" t="s">
        <v>604</v>
      </c>
      <c r="B99">
        <f>IF(主卡!X14=A99,1,0)</f>
        <v>0</v>
      </c>
    </row>
    <row r="100" spans="1:28">
      <c r="A100" t="s">
        <v>613</v>
      </c>
      <c r="B100">
        <f>IF(主卡!X14=A100,1,0)</f>
        <v>0</v>
      </c>
    </row>
    <row r="104" spans="1:28">
      <c r="A104" t="s">
        <v>802</v>
      </c>
      <c r="B104">
        <f>COUNTIF(特质表!$C$3:$D$32,A104)</f>
        <v>0</v>
      </c>
    </row>
    <row r="105" spans="1:28">
      <c r="A105" t="s">
        <v>805</v>
      </c>
      <c r="B105">
        <f>COUNTIF(特质表!$C$3:$D$32,A105)</f>
        <v>0</v>
      </c>
      <c r="C105">
        <v>-1</v>
      </c>
      <c r="E105">
        <v>-1</v>
      </c>
    </row>
    <row r="106" spans="1:28">
      <c r="A106" t="s">
        <v>808</v>
      </c>
      <c r="B106">
        <f>COUNTIF(特质表!$C$3:$D$32,A106)</f>
        <v>0</v>
      </c>
    </row>
    <row r="107" spans="1:28">
      <c r="A107" t="s">
        <v>811</v>
      </c>
      <c r="B107">
        <f>COUNTIF(特质表!$C$3:$D$32,A107)</f>
        <v>0</v>
      </c>
    </row>
    <row r="108" spans="1:28">
      <c r="A108" t="s">
        <v>814</v>
      </c>
      <c r="B108">
        <f>COUNTIF(特质表!$C$3:$D$32,A108)</f>
        <v>0</v>
      </c>
    </row>
    <row r="109" spans="1:28">
      <c r="A109" t="s">
        <v>817</v>
      </c>
      <c r="B109">
        <f>COUNTIF(特质表!$C$3:$D$32,A109)</f>
        <v>0</v>
      </c>
    </row>
    <row r="110" spans="1:28">
      <c r="A110" t="s">
        <v>820</v>
      </c>
      <c r="B110">
        <f>COUNTIF(特质表!$C$3:$D$32,A110)</f>
        <v>0</v>
      </c>
    </row>
    <row r="111" spans="1:28">
      <c r="A111" t="s">
        <v>823</v>
      </c>
      <c r="B111">
        <f>COUNTIF(特质表!$C$3:$D$32,A111)</f>
        <v>0</v>
      </c>
    </row>
    <row r="112" spans="1:28">
      <c r="A112" t="s">
        <v>826</v>
      </c>
      <c r="B112">
        <f>COUNTIF(特质表!$C$3:$D$32,A112)</f>
        <v>0</v>
      </c>
    </row>
    <row r="113" spans="1:2">
      <c r="A113" t="s">
        <v>829</v>
      </c>
      <c r="B113">
        <f>COUNTIF(特质表!$C$3:$D$32,A113)</f>
        <v>0</v>
      </c>
    </row>
    <row r="114" spans="1:2">
      <c r="A114" t="s">
        <v>832</v>
      </c>
      <c r="B114">
        <f>COUNTIF(特质表!$C$3:$D$32,A114)</f>
        <v>0</v>
      </c>
    </row>
    <row r="115" spans="1:2">
      <c r="A115" t="s">
        <v>835</v>
      </c>
      <c r="B115">
        <f>COUNTIF(特质表!$C$3:$D$32,A115)</f>
        <v>0</v>
      </c>
    </row>
    <row r="116" spans="1:2">
      <c r="A116" t="s">
        <v>838</v>
      </c>
      <c r="B116">
        <f>COUNTIF(特质表!$C$3:$D$32,A116)</f>
        <v>0</v>
      </c>
    </row>
    <row r="117" spans="1:2">
      <c r="A117" t="s">
        <v>841</v>
      </c>
      <c r="B117">
        <f>COUNTIF(特质表!$C$3:$D$32,A117)</f>
        <v>0</v>
      </c>
    </row>
    <row r="118" spans="1:2">
      <c r="A118" t="s">
        <v>844</v>
      </c>
      <c r="B118">
        <f>COUNTIF(特质表!$C$3:$D$32,A118)</f>
        <v>0</v>
      </c>
    </row>
    <row r="119" spans="1:2">
      <c r="A119" t="s">
        <v>847</v>
      </c>
      <c r="B119">
        <f>COUNTIF(特质表!$C$3:$D$32,A119)</f>
        <v>0</v>
      </c>
    </row>
    <row r="120" spans="1:2">
      <c r="A120" t="s">
        <v>850</v>
      </c>
      <c r="B120">
        <f>COUNTIF(特质表!$C$3:$D$32,A120)</f>
        <v>0</v>
      </c>
    </row>
    <row r="121" spans="1:2">
      <c r="A121" t="s">
        <v>853</v>
      </c>
      <c r="B121">
        <f>COUNTIF(特质表!$C$3:$D$32,A121)</f>
        <v>0</v>
      </c>
    </row>
    <row r="122" spans="1:2">
      <c r="A122" t="s">
        <v>856</v>
      </c>
      <c r="B122">
        <f>COUNTIF(特质表!$C$3:$D$32,A122)</f>
        <v>0</v>
      </c>
    </row>
    <row r="123" spans="1:2">
      <c r="A123" t="s">
        <v>859</v>
      </c>
      <c r="B123">
        <f>COUNTIF(特质表!$C$3:$D$32,A123)</f>
        <v>0</v>
      </c>
    </row>
    <row r="124" spans="1:2">
      <c r="A124" t="s">
        <v>862</v>
      </c>
      <c r="B124">
        <f>COUNTIF(特质表!$C$3:$D$32,A124)</f>
        <v>0</v>
      </c>
    </row>
    <row r="125" spans="1:2">
      <c r="A125" t="s">
        <v>865</v>
      </c>
      <c r="B125">
        <f>COUNTIF(特质表!$C$3:$D$32,A125)</f>
        <v>0</v>
      </c>
    </row>
    <row r="126" spans="1:2">
      <c r="A126" t="s">
        <v>867</v>
      </c>
      <c r="B126">
        <f>COUNTIF(特质表!$C$3:$D$32,A126)</f>
        <v>0</v>
      </c>
    </row>
    <row r="127" spans="1:2">
      <c r="A127" t="s">
        <v>870</v>
      </c>
      <c r="B127">
        <f>COUNTIF(特质表!$C$3:$D$32,A127)</f>
        <v>0</v>
      </c>
    </row>
    <row r="128" spans="1:2">
      <c r="A128" t="s">
        <v>873</v>
      </c>
      <c r="B128">
        <f>COUNTIF(特质表!$C$3:$D$32,A128)</f>
        <v>0</v>
      </c>
    </row>
    <row r="129" spans="1:36">
      <c r="A129" t="s">
        <v>875</v>
      </c>
      <c r="B129">
        <f>COUNTIF(特质表!$C$3:$D$32,A129)</f>
        <v>0</v>
      </c>
    </row>
    <row r="130" spans="1:36">
      <c r="A130" t="s">
        <v>878</v>
      </c>
      <c r="B130">
        <f>COUNTIF(特质表!$C$3:$D$32,A130)</f>
        <v>0</v>
      </c>
    </row>
    <row r="131" spans="1:36">
      <c r="A131" t="s">
        <v>881</v>
      </c>
      <c r="B131">
        <f>COUNTIF(特质表!$C$3:$D$32,A131)</f>
        <v>0</v>
      </c>
    </row>
    <row r="132" spans="1:36">
      <c r="A132" t="s">
        <v>884</v>
      </c>
      <c r="B132">
        <f>COUNTIF(特质表!$C$3:$D$32,A132)</f>
        <v>0</v>
      </c>
    </row>
    <row r="133" spans="1:36">
      <c r="A133" t="s">
        <v>887</v>
      </c>
      <c r="B133">
        <f>COUNTIF(特质表!$C$3:$D$32,A133)</f>
        <v>0</v>
      </c>
    </row>
    <row r="134" spans="1:36">
      <c r="A134" t="s">
        <v>890</v>
      </c>
      <c r="B134">
        <f>COUNTIF(特质表!$C$3:$D$32,A134)</f>
        <v>0</v>
      </c>
    </row>
    <row r="135" spans="1:36">
      <c r="A135" t="s">
        <v>893</v>
      </c>
      <c r="B135">
        <f>COUNTIF(特质表!$C$3:$D$32,A135)</f>
        <v>0</v>
      </c>
    </row>
    <row r="136" spans="1:36">
      <c r="A136" t="s">
        <v>896</v>
      </c>
      <c r="B136">
        <f>COUNTIF(特质表!$C$3:$D$32,A136)</f>
        <v>0</v>
      </c>
      <c r="I136">
        <v>1</v>
      </c>
      <c r="P136">
        <v>2</v>
      </c>
    </row>
    <row r="137" spans="1:36">
      <c r="A137" t="s">
        <v>899</v>
      </c>
      <c r="B137">
        <f>COUNTIF(特质表!$C$3:$D$32,A137)</f>
        <v>0</v>
      </c>
    </row>
    <row r="138" spans="1:36">
      <c r="A138" t="s">
        <v>901</v>
      </c>
      <c r="B138">
        <f>COUNTIF(特质表!$C$3:$D$32,A138)</f>
        <v>0</v>
      </c>
    </row>
    <row r="139" spans="1:36">
      <c r="A139" t="s">
        <v>904</v>
      </c>
      <c r="B139">
        <f>COUNTIF(特质表!$C$3:$D$32,A139)</f>
        <v>0</v>
      </c>
    </row>
    <row r="140" spans="1:36">
      <c r="A140" t="s">
        <v>907</v>
      </c>
      <c r="B140">
        <f>COUNTIF(特质表!$C$3:$D$32,A140)</f>
        <v>0</v>
      </c>
    </row>
    <row r="141" spans="1:36">
      <c r="A141" t="s">
        <v>910</v>
      </c>
      <c r="B141">
        <f>COUNTIF(特质表!$C$3:$D$32,A141)</f>
        <v>0</v>
      </c>
      <c r="AJ141">
        <v>1</v>
      </c>
    </row>
    <row r="142" spans="1:36">
      <c r="A142" t="s">
        <v>913</v>
      </c>
      <c r="B142">
        <f>COUNTIF(特质表!$C$3:$D$32,A142)</f>
        <v>0</v>
      </c>
      <c r="D142">
        <v>1</v>
      </c>
    </row>
    <row r="143" spans="1:36">
      <c r="A143" t="s">
        <v>916</v>
      </c>
      <c r="B143">
        <f>COUNTIF(特质表!$C$3:$D$32,A143)</f>
        <v>0</v>
      </c>
    </row>
    <row r="144" spans="1:36">
      <c r="A144" t="s">
        <v>918</v>
      </c>
      <c r="B144">
        <f>COUNTIF(特质表!$C$3:$D$32,A144)</f>
        <v>0</v>
      </c>
    </row>
    <row r="145" spans="1:2">
      <c r="A145" t="s">
        <v>921</v>
      </c>
      <c r="B145">
        <f>COUNTIF(特质表!$C$3:$D$32,A145)</f>
        <v>0</v>
      </c>
    </row>
    <row r="146" spans="1:2">
      <c r="A146" t="s">
        <v>923</v>
      </c>
      <c r="B146">
        <f>COUNTIF(特质表!$C$3:$D$32,A146)</f>
        <v>0</v>
      </c>
    </row>
    <row r="147" spans="1:2">
      <c r="A147" t="s">
        <v>925</v>
      </c>
      <c r="B147">
        <f>COUNTIF(特质表!$C$3:$D$32,A147)</f>
        <v>0</v>
      </c>
    </row>
    <row r="148" spans="1:2">
      <c r="A148" t="s">
        <v>927</v>
      </c>
      <c r="B148">
        <f>COUNTIF(特质表!$C$3:$D$32,A148)</f>
        <v>0</v>
      </c>
    </row>
    <row r="149" spans="1:2">
      <c r="A149" t="s">
        <v>930</v>
      </c>
      <c r="B149">
        <f>COUNTIF(特质表!$C$3:$D$32,A149)</f>
        <v>0</v>
      </c>
    </row>
    <row r="150" spans="1:2">
      <c r="A150" t="s">
        <v>933</v>
      </c>
      <c r="B150">
        <f>COUNTIF(特质表!$C$3:$D$32,A150)</f>
        <v>0</v>
      </c>
    </row>
    <row r="151" spans="1:2">
      <c r="A151" t="s">
        <v>936</v>
      </c>
      <c r="B151">
        <f>COUNTIF(特质表!$C$3:$D$32,A151)</f>
        <v>0</v>
      </c>
    </row>
    <row r="152" spans="1:2">
      <c r="A152" t="s">
        <v>939</v>
      </c>
      <c r="B152">
        <f>COUNTIF(特质表!$C$3:$D$32,A152)</f>
        <v>0</v>
      </c>
    </row>
    <row r="153" spans="1:2">
      <c r="A153" t="s">
        <v>942</v>
      </c>
      <c r="B153">
        <f>COUNTIF(特质表!$C$3:$D$32,A153)</f>
        <v>0</v>
      </c>
    </row>
    <row r="154" spans="1:2">
      <c r="A154" t="s">
        <v>945</v>
      </c>
      <c r="B154">
        <f>COUNTIF(特质表!$C$3:$D$32,A154)</f>
        <v>0</v>
      </c>
    </row>
    <row r="155" spans="1:2">
      <c r="A155" t="s">
        <v>948</v>
      </c>
      <c r="B155">
        <f>COUNTIF(特质表!$C$3:$D$32,A155)</f>
        <v>0</v>
      </c>
    </row>
    <row r="156" spans="1:2">
      <c r="A156" t="s">
        <v>951</v>
      </c>
      <c r="B156">
        <f>COUNTIF(特质表!$C$3:$D$32,A156)</f>
        <v>0</v>
      </c>
    </row>
    <row r="157" spans="1:2">
      <c r="A157" t="s">
        <v>954</v>
      </c>
      <c r="B157">
        <f>COUNTIF(特质表!$C$3:$D$32,A157)</f>
        <v>0</v>
      </c>
    </row>
    <row r="158" spans="1:2">
      <c r="A158" t="s">
        <v>957</v>
      </c>
      <c r="B158">
        <f>COUNTIF(特质表!$C$3:$D$32,A158)</f>
        <v>0</v>
      </c>
    </row>
    <row r="159" spans="1:2">
      <c r="A159" t="s">
        <v>960</v>
      </c>
      <c r="B159">
        <f>COUNTIF(特质表!$C$3:$D$32,A159)</f>
        <v>0</v>
      </c>
    </row>
    <row r="160" spans="1:2">
      <c r="A160" t="s">
        <v>963</v>
      </c>
      <c r="B160">
        <f>COUNTIF(特质表!$C$3:$D$32,A160)</f>
        <v>0</v>
      </c>
    </row>
    <row r="161" spans="1:2">
      <c r="A161" t="s">
        <v>966</v>
      </c>
      <c r="B161">
        <f>COUNTIF(特质表!$C$3:$D$32,A161)</f>
        <v>0</v>
      </c>
    </row>
    <row r="162" spans="1:2">
      <c r="A162" t="s">
        <v>969</v>
      </c>
      <c r="B162">
        <f>COUNTIF(特质表!$C$3:$D$32,A162)</f>
        <v>0</v>
      </c>
    </row>
    <row r="163" spans="1:2">
      <c r="A163" t="s">
        <v>972</v>
      </c>
      <c r="B163">
        <f>COUNTIF(特质表!$C$3:$D$32,A163)</f>
        <v>0</v>
      </c>
    </row>
    <row r="164" spans="1:2">
      <c r="A164" t="s">
        <v>974</v>
      </c>
      <c r="B164">
        <f>COUNTIF(特质表!$C$3:$D$32,A164)</f>
        <v>0</v>
      </c>
    </row>
    <row r="165" spans="1:2">
      <c r="A165" t="s">
        <v>976</v>
      </c>
      <c r="B165">
        <f>COUNTIF(特质表!$C$3:$D$32,A165)</f>
        <v>0</v>
      </c>
    </row>
    <row r="166" spans="1:2">
      <c r="A166" t="s">
        <v>979</v>
      </c>
      <c r="B166">
        <f>COUNTIF(特质表!$C$3:$D$32,A166)</f>
        <v>0</v>
      </c>
    </row>
    <row r="167" spans="1:2">
      <c r="A167" t="s">
        <v>34</v>
      </c>
      <c r="B167">
        <f>COUNTIF(特质表!$C$3:$D$32,A167)</f>
        <v>0</v>
      </c>
    </row>
    <row r="168" spans="1:2">
      <c r="A168" t="s">
        <v>984</v>
      </c>
      <c r="B168">
        <f>COUNTIF(特质表!$C$3:$D$32,A168)</f>
        <v>0</v>
      </c>
    </row>
    <row r="169" spans="1:2">
      <c r="A169" t="s">
        <v>987</v>
      </c>
      <c r="B169">
        <f>COUNTIF(特质表!$C$3:$D$32,A169)</f>
        <v>0</v>
      </c>
    </row>
    <row r="173" spans="1:2">
      <c r="A173" t="s">
        <v>991</v>
      </c>
      <c r="B173">
        <f>COUNTIF(特质表!$C$53:$D$82,A173)</f>
        <v>0</v>
      </c>
    </row>
    <row r="174" spans="1:2">
      <c r="A174" t="s">
        <v>994</v>
      </c>
      <c r="B174">
        <f>COUNTIF(特质表!$C$53:$D$82,A174)</f>
        <v>0</v>
      </c>
    </row>
    <row r="175" spans="1:2">
      <c r="A175" t="s">
        <v>997</v>
      </c>
      <c r="B175">
        <f>COUNTIF(特质表!$C$53:$D$82,A175)</f>
        <v>0</v>
      </c>
    </row>
    <row r="176" spans="1:2">
      <c r="A176" t="s">
        <v>1000</v>
      </c>
      <c r="B176">
        <f>COUNTIF(特质表!$C$53:$D$82,A176)</f>
        <v>0</v>
      </c>
    </row>
    <row r="177" spans="1:2">
      <c r="A177" t="s">
        <v>1003</v>
      </c>
      <c r="B177">
        <f>COUNTIF(特质表!$C$53:$D$82,A177)</f>
        <v>0</v>
      </c>
    </row>
    <row r="178" spans="1:2">
      <c r="A178" t="s">
        <v>1006</v>
      </c>
      <c r="B178">
        <f>COUNTIF(特质表!$C$53:$D$82,A178)</f>
        <v>0</v>
      </c>
    </row>
    <row r="179" spans="1:2">
      <c r="A179" t="s">
        <v>1009</v>
      </c>
      <c r="B179">
        <f>COUNTIF(特质表!$C$53:$D$82,A179)</f>
        <v>0</v>
      </c>
    </row>
    <row r="180" spans="1:2">
      <c r="A180" t="s">
        <v>1012</v>
      </c>
      <c r="B180">
        <f>COUNTIF(特质表!$C$53:$D$82,A180)</f>
        <v>0</v>
      </c>
    </row>
    <row r="181" spans="1:2">
      <c r="A181" t="s">
        <v>1015</v>
      </c>
      <c r="B181">
        <f>COUNTIF(特质表!$C$53:$D$82,A181)</f>
        <v>0</v>
      </c>
    </row>
    <row r="182" spans="1:2">
      <c r="A182" t="s">
        <v>1017</v>
      </c>
      <c r="B182">
        <f>COUNTIF(特质表!$C$53:$D$82,A182)</f>
        <v>0</v>
      </c>
    </row>
    <row r="183" spans="1:2">
      <c r="A183" t="s">
        <v>1020</v>
      </c>
      <c r="B183">
        <f>COUNTIF(特质表!$C$53:$D$82,A183)</f>
        <v>0</v>
      </c>
    </row>
    <row r="184" spans="1:2">
      <c r="A184" t="s">
        <v>1023</v>
      </c>
      <c r="B184">
        <f>COUNTIF(特质表!$C$53:$D$82,A184)</f>
        <v>0</v>
      </c>
    </row>
    <row r="185" spans="1:2">
      <c r="A185" t="s">
        <v>1026</v>
      </c>
      <c r="B185">
        <f>COUNTIF(特质表!$C$53:$D$82,A185)</f>
        <v>0</v>
      </c>
    </row>
    <row r="186" spans="1:2">
      <c r="A186" t="s">
        <v>1029</v>
      </c>
      <c r="B186">
        <f>COUNTIF(特质表!$C$53:$D$82,A186)</f>
        <v>0</v>
      </c>
    </row>
    <row r="187" spans="1:2">
      <c r="A187" t="s">
        <v>1032</v>
      </c>
      <c r="B187">
        <f>COUNTIF(特质表!$C$53:$D$82,A187)</f>
        <v>0</v>
      </c>
    </row>
    <row r="188" spans="1:2">
      <c r="A188" t="s">
        <v>1035</v>
      </c>
      <c r="B188">
        <f>COUNTIF(特质表!$C$53:$D$82,A188)</f>
        <v>0</v>
      </c>
    </row>
    <row r="189" spans="1:2">
      <c r="A189" t="s">
        <v>1038</v>
      </c>
      <c r="B189">
        <f>COUNTIF(特质表!$C$53:$D$82,A189)</f>
        <v>0</v>
      </c>
    </row>
    <row r="190" spans="1:2">
      <c r="A190" t="s">
        <v>1041</v>
      </c>
      <c r="B190">
        <f>COUNTIF(特质表!$C$53:$D$82,A190)</f>
        <v>0</v>
      </c>
    </row>
    <row r="191" spans="1:2">
      <c r="A191" t="s">
        <v>1044</v>
      </c>
      <c r="B191">
        <f>COUNTIF(特质表!$C$53:$D$82,A191)</f>
        <v>0</v>
      </c>
    </row>
    <row r="192" spans="1:2">
      <c r="A192" t="s">
        <v>1047</v>
      </c>
      <c r="B192">
        <f>COUNTIF(特质表!$C$53:$D$82,A192)</f>
        <v>0</v>
      </c>
    </row>
    <row r="193" spans="1:2">
      <c r="A193" t="s">
        <v>1050</v>
      </c>
      <c r="B193">
        <f>COUNTIF(特质表!$C$53:$D$82,A193)</f>
        <v>0</v>
      </c>
    </row>
    <row r="194" spans="1:2">
      <c r="A194" t="s">
        <v>1053</v>
      </c>
      <c r="B194">
        <f>COUNTIF(特质表!$C$53:$D$82,A194)</f>
        <v>0</v>
      </c>
    </row>
    <row r="195" spans="1:2">
      <c r="A195" t="s">
        <v>1056</v>
      </c>
      <c r="B195">
        <f>COUNTIF(特质表!$C$53:$D$82,A195)</f>
        <v>0</v>
      </c>
    </row>
    <row r="196" spans="1:2">
      <c r="A196" t="s">
        <v>1059</v>
      </c>
      <c r="B196">
        <f>COUNTIF(特质表!$C$53:$D$82,A196)</f>
        <v>0</v>
      </c>
    </row>
    <row r="197" spans="1:2">
      <c r="A197" t="s">
        <v>1062</v>
      </c>
      <c r="B197">
        <f>COUNTIF(特质表!$C$53:$D$82,A197)</f>
        <v>0</v>
      </c>
    </row>
    <row r="198" spans="1:2">
      <c r="A198" t="s">
        <v>1066</v>
      </c>
      <c r="B198">
        <f>COUNTIF(特质表!$C$53:$D$82,A198)</f>
        <v>0</v>
      </c>
    </row>
    <row r="202" spans="1:2">
      <c r="A202" t="s">
        <v>1071</v>
      </c>
      <c r="B202">
        <f>COUNTIF(特质表!$C$103:$D$132,A202)</f>
        <v>0</v>
      </c>
    </row>
    <row r="203" spans="1:2">
      <c r="A203" t="s">
        <v>1074</v>
      </c>
      <c r="B203">
        <f>COUNTIF(特质表!$C$103:$D$132,A203)</f>
        <v>0</v>
      </c>
    </row>
    <row r="204" spans="1:2">
      <c r="A204" t="s">
        <v>1077</v>
      </c>
      <c r="B204">
        <f>COUNTIF(特质表!$C$103:$D$132,A204)</f>
        <v>0</v>
      </c>
    </row>
    <row r="205" spans="1:2">
      <c r="A205" t="s">
        <v>1080</v>
      </c>
      <c r="B205">
        <f>COUNTIF(特质表!$C$103:$D$132,A205)</f>
        <v>0</v>
      </c>
    </row>
    <row r="206" spans="1:2">
      <c r="A206" t="s">
        <v>1083</v>
      </c>
      <c r="B206">
        <f>COUNTIF(特质表!$C$103:$D$132,A206)</f>
        <v>0</v>
      </c>
    </row>
    <row r="207" spans="1:2">
      <c r="A207" t="s">
        <v>1086</v>
      </c>
      <c r="B207">
        <f>COUNTIF(特质表!$C$103:$D$132,A207)</f>
        <v>0</v>
      </c>
    </row>
    <row r="208" spans="1:2">
      <c r="A208" t="s">
        <v>1089</v>
      </c>
      <c r="B208">
        <f>COUNTIF(特质表!$C$103:$D$132,A208)</f>
        <v>0</v>
      </c>
    </row>
    <row r="209" spans="1:2">
      <c r="A209" t="s">
        <v>1092</v>
      </c>
      <c r="B209">
        <f>COUNTIF(特质表!$C$103:$D$132,A209)</f>
        <v>0</v>
      </c>
    </row>
    <row r="210" spans="1:2">
      <c r="A210" t="s">
        <v>1095</v>
      </c>
      <c r="B210">
        <f>COUNTIF(特质表!$C$103:$D$132,A210)</f>
        <v>0</v>
      </c>
    </row>
    <row r="211" spans="1:2">
      <c r="A211" t="s">
        <v>1098</v>
      </c>
      <c r="B211">
        <f>COUNTIF(特质表!$C$103:$D$132,A211)</f>
        <v>0</v>
      </c>
    </row>
    <row r="212" spans="1:2">
      <c r="A212" t="s">
        <v>1101</v>
      </c>
      <c r="B212">
        <f>COUNTIF(特质表!$C$103:$D$132,A212)</f>
        <v>0</v>
      </c>
    </row>
    <row r="213" spans="1:2">
      <c r="A213" t="s">
        <v>1104</v>
      </c>
      <c r="B213">
        <f>COUNTIF(特质表!$C$103:$D$132,A213)</f>
        <v>0</v>
      </c>
    </row>
    <row r="214" spans="1:2">
      <c r="A214" t="s">
        <v>1107</v>
      </c>
      <c r="B214">
        <f>COUNTIF(特质表!$C$103:$D$132,A214)</f>
        <v>0</v>
      </c>
    </row>
    <row r="215" spans="1:2">
      <c r="A215" t="s">
        <v>1110</v>
      </c>
      <c r="B215">
        <f>COUNTIF(特质表!$C$103:$D$132,A215)</f>
        <v>0</v>
      </c>
    </row>
    <row r="216" spans="1:2">
      <c r="A216" t="s">
        <v>1113</v>
      </c>
      <c r="B216">
        <f>COUNTIF(特质表!$C$103:$D$132,A216)</f>
        <v>0</v>
      </c>
    </row>
    <row r="217" spans="1:2">
      <c r="A217" t="s">
        <v>1116</v>
      </c>
      <c r="B217">
        <f>COUNTIF(特质表!$C$103:$D$132,A217)</f>
        <v>0</v>
      </c>
    </row>
    <row r="218" spans="1:2">
      <c r="A218" t="s">
        <v>1119</v>
      </c>
      <c r="B218">
        <f>COUNTIF(特质表!$C$103:$D$132,"猎杀者（*")</f>
        <v>0</v>
      </c>
    </row>
    <row r="219" spans="1:2">
      <c r="A219" t="s">
        <v>1122</v>
      </c>
      <c r="B219">
        <f>COUNTIF(特质表!$C$103:$D$132,A219)</f>
        <v>0</v>
      </c>
    </row>
    <row r="220" spans="1:2">
      <c r="A220" t="s">
        <v>1125</v>
      </c>
      <c r="B220">
        <f>COUNTIF(特质表!$C$103:$D$132,A220)</f>
        <v>0</v>
      </c>
    </row>
    <row r="221" spans="1:2">
      <c r="A221" t="s">
        <v>1128</v>
      </c>
      <c r="B221">
        <f>COUNTIF(特质表!$C$103:$D$132,A221)</f>
        <v>0</v>
      </c>
    </row>
    <row r="222" spans="1:2">
      <c r="A222" t="s">
        <v>1131</v>
      </c>
      <c r="B222">
        <f>COUNTIF(特质表!$C$103:$D$132,A222)</f>
        <v>0</v>
      </c>
    </row>
    <row r="223" spans="1:2">
      <c r="A223" t="s">
        <v>1134</v>
      </c>
      <c r="B223">
        <f>COUNTIF(特质表!$C$103:$D$132,A223)</f>
        <v>0</v>
      </c>
    </row>
    <row r="224" spans="1:2">
      <c r="A224" t="s">
        <v>1137</v>
      </c>
      <c r="B224">
        <f>COUNTIF(特质表!$C$103:$D$132,A224)</f>
        <v>0</v>
      </c>
    </row>
    <row r="225" spans="1:2">
      <c r="A225" t="s">
        <v>1140</v>
      </c>
      <c r="B225">
        <f>COUNTIF(特质表!$C$103:$D$132,A225)</f>
        <v>0</v>
      </c>
    </row>
    <row r="226" spans="1:2">
      <c r="A226" t="s">
        <v>1143</v>
      </c>
      <c r="B226">
        <f>COUNTIF(特质表!$C$103:$D$132,A226)</f>
        <v>0</v>
      </c>
    </row>
    <row r="227" spans="1:2">
      <c r="A227" t="s">
        <v>1146</v>
      </c>
      <c r="B227">
        <f>COUNTIF(特质表!$C$103:$D$132,A227)</f>
        <v>0</v>
      </c>
    </row>
    <row r="228" spans="1:2">
      <c r="A228" t="s">
        <v>1149</v>
      </c>
      <c r="B228">
        <f>COUNTIF(特质表!$C$103:$D$132,A228)</f>
        <v>0</v>
      </c>
    </row>
    <row r="229" spans="1:2">
      <c r="A229" t="s">
        <v>1151</v>
      </c>
      <c r="B229">
        <f>COUNTIF(特质表!$C$103:$D$132,A229)</f>
        <v>0</v>
      </c>
    </row>
    <row r="230" spans="1:2">
      <c r="A230" t="s">
        <v>1154</v>
      </c>
      <c r="B230">
        <f>COUNTIF(特质表!$C$103:$D$132,A230)</f>
        <v>0</v>
      </c>
    </row>
    <row r="231" spans="1:2">
      <c r="A231" t="s">
        <v>1157</v>
      </c>
      <c r="B231">
        <f>COUNTIF(特质表!$C$103:$D$132,A231)</f>
        <v>0</v>
      </c>
    </row>
    <row r="232" spans="1:2">
      <c r="A232" t="s">
        <v>1160</v>
      </c>
      <c r="B232">
        <f>COUNTIF(特质表!$C$103:$D$132,A232)</f>
        <v>0</v>
      </c>
    </row>
    <row r="233" spans="1:2">
      <c r="A233" t="s">
        <v>1163</v>
      </c>
      <c r="B233">
        <f>COUNTIF(特质表!$C$103:$D$132,A233)</f>
        <v>0</v>
      </c>
    </row>
    <row r="237" spans="1:2">
      <c r="A237" t="s">
        <v>1167</v>
      </c>
      <c r="B237">
        <f>COUNTIF(特质表!$C$153:$D$182,A237)</f>
        <v>0</v>
      </c>
    </row>
    <row r="238" spans="1:2">
      <c r="A238" t="s">
        <v>1170</v>
      </c>
      <c r="B238">
        <f>COUNTIF(特质表!$C$153:$D$182,A238)</f>
        <v>0</v>
      </c>
    </row>
    <row r="239" spans="1:2">
      <c r="A239" t="s">
        <v>1173</v>
      </c>
      <c r="B239">
        <f>COUNTIF(特质表!$C$153:$D$182,A239)</f>
        <v>0</v>
      </c>
    </row>
    <row r="240" spans="1:2">
      <c r="A240" t="s">
        <v>1176</v>
      </c>
      <c r="B240">
        <f>COUNTIF(特质表!$C$153:$D$182,A240)</f>
        <v>0</v>
      </c>
    </row>
    <row r="241" spans="1:2">
      <c r="A241" t="s">
        <v>1179</v>
      </c>
      <c r="B241">
        <f>COUNTIF(特质表!$C$153:$D$182,A241)</f>
        <v>0</v>
      </c>
    </row>
    <row r="242" spans="1:2">
      <c r="A242" t="s">
        <v>1182</v>
      </c>
      <c r="B242">
        <f>COUNTIF(特质表!$C$153:$D$182,A242)</f>
        <v>0</v>
      </c>
    </row>
    <row r="243" spans="1:2">
      <c r="A243" t="s">
        <v>1185</v>
      </c>
      <c r="B243">
        <f>COUNTIF(特质表!$C$153:$D$182,A243)</f>
        <v>0</v>
      </c>
    </row>
    <row r="244" spans="1:2">
      <c r="A244" t="s">
        <v>1188</v>
      </c>
      <c r="B244">
        <f>COUNTIF(特质表!$C$153:$D$182,A244)</f>
        <v>0</v>
      </c>
    </row>
    <row r="245" spans="1:2">
      <c r="A245" t="s">
        <v>1192</v>
      </c>
      <c r="B245">
        <f>COUNTIF(特质表!$C$153:$D$182,A245)</f>
        <v>0</v>
      </c>
    </row>
    <row r="246" spans="1:2">
      <c r="A246" t="s">
        <v>1195</v>
      </c>
      <c r="B246">
        <f>COUNTIF(特质表!$C$153:$D$182,A246)</f>
        <v>0</v>
      </c>
    </row>
    <row r="247" spans="1:2">
      <c r="A247" t="s">
        <v>1198</v>
      </c>
      <c r="B247">
        <f>COUNTIF(特质表!$C$153:$D$182,A247)</f>
        <v>0</v>
      </c>
    </row>
    <row r="248" spans="1:2">
      <c r="A248" t="s">
        <v>1201</v>
      </c>
      <c r="B248">
        <f>COUNTIF(特质表!$C$153:$D$182,A248)</f>
        <v>0</v>
      </c>
    </row>
    <row r="249" spans="1:2">
      <c r="A249" t="s">
        <v>1204</v>
      </c>
      <c r="B249">
        <f>COUNTIF(特质表!$C$153:$D$182,A249)</f>
        <v>0</v>
      </c>
    </row>
    <row r="250" spans="1:2">
      <c r="A250" t="s">
        <v>1207</v>
      </c>
      <c r="B250">
        <f>COUNTIF(特质表!$C$153:$D$182,A250)</f>
        <v>0</v>
      </c>
    </row>
    <row r="251" spans="1:2">
      <c r="A251" t="s">
        <v>1210</v>
      </c>
      <c r="B251">
        <f>COUNTIF(特质表!$C$153:$D$182,A251)</f>
        <v>0</v>
      </c>
    </row>
    <row r="252" spans="1:2">
      <c r="A252" t="s">
        <v>1213</v>
      </c>
      <c r="B252">
        <f>COUNTIF(特质表!$C$153:$D$182,A252)</f>
        <v>0</v>
      </c>
    </row>
    <row r="253" spans="1:2">
      <c r="A253" t="s">
        <v>1216</v>
      </c>
      <c r="B253">
        <f>COUNTIF(特质表!$C$153:$D$182,A253)</f>
        <v>0</v>
      </c>
    </row>
    <row r="254" spans="1:2">
      <c r="A254" t="s">
        <v>1219</v>
      </c>
      <c r="B254">
        <f>COUNTIF(特质表!$C$153:$D$182,A254)</f>
        <v>0</v>
      </c>
    </row>
    <row r="255" spans="1:2">
      <c r="A255" t="s">
        <v>1222</v>
      </c>
      <c r="B255">
        <f>COUNTIF(特质表!$C$153:$D$182,A255)</f>
        <v>0</v>
      </c>
    </row>
    <row r="256" spans="1:2">
      <c r="A256" t="s">
        <v>1225</v>
      </c>
      <c r="B256">
        <f>COUNTIF(特质表!$C$153:$D$182,A256)</f>
        <v>0</v>
      </c>
    </row>
    <row r="257" spans="1:2">
      <c r="A257" t="s">
        <v>1228</v>
      </c>
      <c r="B257">
        <f>COUNTIF(特质表!$C$153:$D$182,A257)</f>
        <v>0</v>
      </c>
    </row>
    <row r="258" spans="1:2">
      <c r="A258" t="s">
        <v>453</v>
      </c>
      <c r="B258">
        <f>COUNTIF(特质表!$C$153:$D$182,A258)</f>
        <v>0</v>
      </c>
    </row>
    <row r="259" spans="1:2">
      <c r="A259" t="s">
        <v>1233</v>
      </c>
      <c r="B259">
        <f>COUNTIF(特质表!$C$153:$D$182,A259)</f>
        <v>0</v>
      </c>
    </row>
    <row r="260" spans="1:2">
      <c r="A260" t="s">
        <v>1236</v>
      </c>
      <c r="B260">
        <f>COUNTIF(特质表!$C$153:$D$182,A260)</f>
        <v>0</v>
      </c>
    </row>
    <row r="261" spans="1:2">
      <c r="A261" t="s">
        <v>1239</v>
      </c>
      <c r="B261">
        <f>COUNTIF(特质表!$C$153:$D$182,A261)</f>
        <v>0</v>
      </c>
    </row>
    <row r="262" spans="1:2">
      <c r="A262" t="s">
        <v>1242</v>
      </c>
      <c r="B262">
        <f>COUNTIF(特质表!$C$153:$D$182,A262)</f>
        <v>0</v>
      </c>
    </row>
    <row r="263" spans="1:2">
      <c r="A263" t="s">
        <v>1245</v>
      </c>
      <c r="B263">
        <f>COUNTIF(特质表!$C$153:$D$182,A263)</f>
        <v>0</v>
      </c>
    </row>
    <row r="264" spans="1:2">
      <c r="A264" t="s">
        <v>1248</v>
      </c>
      <c r="B264">
        <f>COUNTIF(特质表!$C$153:$D$182,A264)</f>
        <v>0</v>
      </c>
    </row>
    <row r="265" spans="1:2">
      <c r="A265" t="s">
        <v>1251</v>
      </c>
      <c r="B265">
        <f>COUNTIF(特质表!$C$153:$D$182,"认知障碍（*")</f>
        <v>0</v>
      </c>
    </row>
    <row r="269" spans="1:2">
      <c r="A269" t="s">
        <v>1256</v>
      </c>
      <c r="B269">
        <f>COUNTIF(特质表!$C$203:$D$232,A269)</f>
        <v>0</v>
      </c>
    </row>
    <row r="270" spans="1:2">
      <c r="A270" t="s">
        <v>1259</v>
      </c>
      <c r="B270" s="114" cm="1">
        <f t="array" ref="B270">IFERROR(MID(INDEX(特质表!$D$203:$D$232,MATCH("*逐利（*",特质表!$D$203:$D$232,0)),FIND("（",INDEX(特质表!$D$203:$D$232,MATCH("*逐利（*",特质表!$D$203:$D$232,0)))+1,FIND("）",INDEX(特质表!$D$203:$D$232,MATCH("*逐利（*",特质表!$D$203:$D$232,0)))-FIND("（",INDEX(特质表!$D$203:$D$232,MATCH("*逐利（*",特质表!$D$203:$D$232,0)))-1),0)</f>
        <v>0</v>
      </c>
    </row>
    <row r="271" spans="1:2">
      <c r="A271" t="s">
        <v>1263</v>
      </c>
      <c r="B271">
        <f>COUNTIF(特质表!$C$203:$D$232,A271)</f>
        <v>0</v>
      </c>
    </row>
    <row r="272" spans="1:2">
      <c r="A272" t="s">
        <v>1266</v>
      </c>
      <c r="B272" s="114" cm="1">
        <f t="array" ref="B272">IFERROR(MID(INDEX(特质表!$D$203:$D$232,MATCH("*疏财（*",特质表!$D$203:$D$232,0)),FIND("（",INDEX(特质表!$D$203:$D$232,MATCH("*疏财（*",特质表!$D$203:$D$232,0)))+1,FIND("）",INDEX(特质表!$D$203:$D$232,MATCH("*疏财（*",特质表!$D$203:$D$232,0)))-FIND("（",INDEX(特质表!$D$203:$D$232,MATCH("*疏财（*",特质表!$D$203:$D$232,0)))-1),0)</f>
        <v>0</v>
      </c>
    </row>
    <row r="273" spans="1:2">
      <c r="A273" t="s">
        <v>1270</v>
      </c>
      <c r="B273">
        <f>COUNTIF(特质表!$C$203:$D$232,A273)</f>
        <v>0</v>
      </c>
    </row>
    <row r="274" spans="1:2">
      <c r="A274" t="s">
        <v>1274</v>
      </c>
      <c r="B274">
        <f>COUNTIF(特质表!$C$203:$D$232,"团体（*")</f>
        <v>0</v>
      </c>
    </row>
    <row r="275" spans="1:2">
      <c r="A275" t="s">
        <v>1277</v>
      </c>
      <c r="B275">
        <f>COUNTIF(特质表!$C$203:$D$232,A275)</f>
        <v>0</v>
      </c>
    </row>
    <row r="276" spans="1:2">
      <c r="A276" t="s">
        <v>1280</v>
      </c>
      <c r="B276">
        <f>COUNTIF(特质表!$C$203:$D$232,A276)</f>
        <v>0</v>
      </c>
    </row>
    <row r="277" spans="1:2">
      <c r="A277" t="s">
        <v>1283</v>
      </c>
      <c r="B277">
        <f>COUNTIF(特质表!$C$203:$D$232,A277)</f>
        <v>0</v>
      </c>
    </row>
    <row r="278" spans="1:2">
      <c r="A278" t="s">
        <v>1286</v>
      </c>
      <c r="B278">
        <f>COUNTIF(特质表!$C$203:$D$232,A278)</f>
        <v>0</v>
      </c>
    </row>
    <row r="279" spans="1:2">
      <c r="A279" t="s">
        <v>1289</v>
      </c>
      <c r="B279">
        <f>COUNTIF(特质表!$C$203:$D$232,A279)</f>
        <v>0</v>
      </c>
    </row>
    <row r="280" spans="1:2">
      <c r="A280" t="s">
        <v>1293</v>
      </c>
      <c r="B280">
        <f>COUNTIF(特质表!$C$203:$D$232,A280)</f>
        <v>0</v>
      </c>
    </row>
    <row r="281" spans="1:2">
      <c r="A281" t="s">
        <v>1296</v>
      </c>
      <c r="B281">
        <f>COUNTIF(特质表!$C$203:$D$232,A281)</f>
        <v>0</v>
      </c>
    </row>
    <row r="282" spans="1:2">
      <c r="A282" t="s">
        <v>1299</v>
      </c>
      <c r="B282">
        <f>COUNTIF(特质表!$C$203:$D$232,A282)</f>
        <v>0</v>
      </c>
    </row>
    <row r="283" spans="1:2">
      <c r="A283" t="s">
        <v>1301</v>
      </c>
      <c r="B283">
        <f>COUNTIF(特质表!$C$203:$D$232,"浪游旅人（*")</f>
        <v>0</v>
      </c>
    </row>
    <row r="284" spans="1:2">
      <c r="A284" t="s">
        <v>1304</v>
      </c>
      <c r="B284">
        <f>COUNTIF(特质表!$C$203:$D$232,A284)</f>
        <v>0</v>
      </c>
    </row>
    <row r="285" spans="1:2">
      <c r="A285" t="s">
        <v>1308</v>
      </c>
      <c r="B285">
        <f>COUNTIF(特质表!$C$203:$D$232,A285)</f>
        <v>0</v>
      </c>
    </row>
    <row r="286" spans="1:2">
      <c r="A286" t="s">
        <v>1312</v>
      </c>
      <c r="B286">
        <f>COUNTIF(特质表!$C$203:$D$232,A286)</f>
        <v>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sheetPr>
  <dimension ref="A1:N598"/>
  <sheetViews>
    <sheetView zoomScale="55" zoomScaleNormal="55" topLeftCell="E554" workbookViewId="0">
      <selection activeCell="N584" sqref="N584"/>
    </sheetView>
  </sheetViews>
  <sheetFormatPr defaultColWidth="9" defaultRowHeight="16.2"/>
  <cols>
    <col min="1" max="1" width="9" style="101" customWidth="1"/>
    <col min="2" max="2" width="81" style="102" customWidth="1"/>
    <col min="3" max="3" width="22.8148148148148" style="103" customWidth="1"/>
    <col min="4" max="4" width="12.6388888888889" style="104" hidden="1" customWidth="1"/>
    <col min="5" max="5" width="63.1111111111111" style="104" customWidth="1"/>
    <col min="6" max="6" width="12.6388888888889" style="104" hidden="1" customWidth="1"/>
    <col min="7" max="7" width="81" style="102" customWidth="1"/>
    <col min="8" max="8" width="12.6388888888889" style="102" hidden="1" customWidth="1"/>
    <col min="9" max="9" width="16" style="102" customWidth="1"/>
    <col min="10" max="10" width="9" style="105"/>
    <col min="11" max="11" width="81" style="102" customWidth="1"/>
    <col min="12" max="14" width="12.3796296296296" style="106" customWidth="1"/>
    <col min="15" max="16384" width="9" style="106"/>
  </cols>
  <sheetData>
    <row r="1" s="100" customFormat="1" spans="1:14">
      <c r="A1" s="107" t="s">
        <v>292</v>
      </c>
      <c r="B1" s="107" t="s">
        <v>296</v>
      </c>
      <c r="C1" s="108" t="s">
        <v>249</v>
      </c>
      <c r="D1" s="108"/>
      <c r="E1" s="109" t="s">
        <v>250</v>
      </c>
      <c r="F1" s="108"/>
      <c r="G1" s="109" t="s">
        <v>251</v>
      </c>
      <c r="H1" s="109"/>
      <c r="I1" s="109" t="s">
        <v>252</v>
      </c>
      <c r="J1" s="110" t="s">
        <v>1609</v>
      </c>
      <c r="K1" s="110" t="s">
        <v>1610</v>
      </c>
    </row>
    <row r="2" ht="129.6" spans="1:14">
      <c r="C2" s="111" t="s">
        <v>802</v>
      </c>
      <c r="D2" s="112" t="s">
        <v>1611</v>
      </c>
      <c r="E2" s="112" t="s">
        <v>803</v>
      </c>
      <c r="F2" s="112" t="s">
        <v>1612</v>
      </c>
      <c r="G2" s="113" t="s">
        <v>804</v>
      </c>
      <c r="H2" s="113" t="s">
        <v>1613</v>
      </c>
      <c r="I2" s="113">
        <v>0</v>
      </c>
      <c r="L2" s="106" t="str">
        <f>IFERROR(VLOOKUP(特质表!C3,$C$2:$I$173,2,0),IFERROR(VLOOKUP(特质表!D3,$C$2:$I$173,2,0),""))</f>
        <v/>
      </c>
      <c r="M2" s="106" t="str">
        <f>IFERROR(VLOOKUP(特质表!C3,$C$2:$I$173,4,0),IFERROR(VLOOKUP(特质表!D3,$C$2:$I$173,4,0),""))</f>
        <v/>
      </c>
      <c r="N2" s="106" t="str">
        <f>IFERROR(VLOOKUP(特质表!C3,$C$2:$I$173,6,0),IFERROR(VLOOKUP(特质表!D3,$C$2:$I$173,6,0),""))</f>
        <v/>
      </c>
    </row>
    <row r="3" ht="32.4" spans="1:14">
      <c r="C3" s="111" t="s">
        <v>805</v>
      </c>
      <c r="D3" s="112" t="s">
        <v>1614</v>
      </c>
      <c r="E3" s="112" t="s">
        <v>806</v>
      </c>
      <c r="F3" s="112" t="s">
        <v>1615</v>
      </c>
      <c r="G3" s="113" t="s">
        <v>807</v>
      </c>
      <c r="H3" s="113" t="s">
        <v>1616</v>
      </c>
      <c r="I3" s="113">
        <v>-10</v>
      </c>
      <c r="L3" s="106" t="str">
        <f>IFERROR(VLOOKUP(特质表!C4,$C$2:$I$173,2,0),IFERROR(VLOOKUP(特质表!D4,$C$2:$I$173,2,0),""))</f>
        <v/>
      </c>
      <c r="M3" s="106" t="str">
        <f>IFERROR(VLOOKUP(特质表!C4,$C$2:$I$173,4,0),IFERROR(VLOOKUP(特质表!D4,$C$2:$I$173,4,0),""))</f>
        <v/>
      </c>
      <c r="N3" s="106" t="str">
        <f>IFERROR(VLOOKUP(特质表!C4,$C$2:$I$173,6,0),IFERROR(VLOOKUP(特质表!D4,$C$2:$I$173,6,0),""))</f>
        <v/>
      </c>
    </row>
    <row r="4" ht="48.6" spans="1:14">
      <c r="C4" s="111" t="s">
        <v>808</v>
      </c>
      <c r="D4" s="112" t="s">
        <v>1617</v>
      </c>
      <c r="E4" s="112" t="s">
        <v>809</v>
      </c>
      <c r="F4" s="112" t="s">
        <v>1618</v>
      </c>
      <c r="G4" s="113" t="s">
        <v>810</v>
      </c>
      <c r="H4" s="113" t="s">
        <v>1619</v>
      </c>
      <c r="I4" s="113">
        <v>0</v>
      </c>
      <c r="L4" s="106" t="str">
        <f>IFERROR(VLOOKUP(特质表!C5,$C$2:$I$173,2,0),IFERROR(VLOOKUP(特质表!D5,$C$2:$I$173,2,0),""))</f>
        <v/>
      </c>
      <c r="M4" s="106" t="str">
        <f>IFERROR(VLOOKUP(特质表!C5,$C$2:$I$173,4,0),IFERROR(VLOOKUP(特质表!D5,$C$2:$I$173,4,0),""))</f>
        <v/>
      </c>
      <c r="N4" s="106" t="str">
        <f>IFERROR(VLOOKUP(特质表!C5,$C$2:$I$173,6,0),IFERROR(VLOOKUP(特质表!D5,$C$2:$I$173,6,0),""))</f>
        <v/>
      </c>
    </row>
    <row r="5" ht="32.4" spans="1:14">
      <c r="C5" s="111" t="s">
        <v>811</v>
      </c>
      <c r="D5" s="112" t="s">
        <v>1620</v>
      </c>
      <c r="E5" s="112" t="s">
        <v>812</v>
      </c>
      <c r="F5" s="112" t="s">
        <v>1621</v>
      </c>
      <c r="G5" s="113" t="s">
        <v>813</v>
      </c>
      <c r="H5" s="113" t="s">
        <v>1622</v>
      </c>
      <c r="I5" s="113">
        <v>10</v>
      </c>
      <c r="L5" s="106" t="str">
        <f>IFERROR(VLOOKUP(特质表!C6,$C$2:$I$173,2,0),IFERROR(VLOOKUP(特质表!D6,$C$2:$I$173,2,0),""))</f>
        <v/>
      </c>
      <c r="M5" s="106" t="str">
        <f>IFERROR(VLOOKUP(特质表!C6,$C$2:$I$173,4,0),IFERROR(VLOOKUP(特质表!D6,$C$2:$I$173,4,0),""))</f>
        <v/>
      </c>
      <c r="N5" s="106" t="str">
        <f>IFERROR(VLOOKUP(特质表!C6,$C$2:$I$173,6,0),IFERROR(VLOOKUP(特质表!D6,$C$2:$I$173,6,0),""))</f>
        <v/>
      </c>
    </row>
    <row r="6" ht="32.4" spans="1:14">
      <c r="C6" s="111" t="s">
        <v>814</v>
      </c>
      <c r="D6" s="112" t="s">
        <v>1623</v>
      </c>
      <c r="E6" s="112" t="s">
        <v>815</v>
      </c>
      <c r="F6" s="112" t="s">
        <v>1624</v>
      </c>
      <c r="G6" s="113" t="s">
        <v>816</v>
      </c>
      <c r="H6" s="113" t="s">
        <v>1625</v>
      </c>
      <c r="I6" s="113">
        <v>10</v>
      </c>
      <c r="L6" s="106" t="str">
        <f>IFERROR(VLOOKUP(特质表!C7,$C$2:$I$173,2,0),IFERROR(VLOOKUP(特质表!D7,$C$2:$I$173,2,0),""))</f>
        <v/>
      </c>
      <c r="M6" s="106" t="str">
        <f>IFERROR(VLOOKUP(特质表!C7,$C$2:$I$173,4,0),IFERROR(VLOOKUP(特质表!D7,$C$2:$I$173,4,0),""))</f>
        <v/>
      </c>
      <c r="N6" s="106" t="str">
        <f>IFERROR(VLOOKUP(特质表!C7,$C$2:$I$173,6,0),IFERROR(VLOOKUP(特质表!D7,$C$2:$I$173,6,0),""))</f>
        <v/>
      </c>
    </row>
    <row r="7" ht="32.4" spans="1:14">
      <c r="C7" s="111" t="s">
        <v>817</v>
      </c>
      <c r="D7" s="112" t="s">
        <v>1626</v>
      </c>
      <c r="E7" s="112" t="s">
        <v>818</v>
      </c>
      <c r="F7" s="112" t="s">
        <v>1627</v>
      </c>
      <c r="G7" s="113" t="s">
        <v>819</v>
      </c>
      <c r="H7" s="113" t="s">
        <v>1628</v>
      </c>
      <c r="I7" s="113">
        <v>20</v>
      </c>
      <c r="L7" s="106" t="str">
        <f>IFERROR(VLOOKUP(特质表!C8,$C$2:$I$173,2,0),IFERROR(VLOOKUP(特质表!D8,$C$2:$I$173,2,0),""))</f>
        <v/>
      </c>
      <c r="M7" s="106" t="str">
        <f>IFERROR(VLOOKUP(特质表!C8,$C$2:$I$173,4,0),IFERROR(VLOOKUP(特质表!D8,$C$2:$I$173,4,0),""))</f>
        <v/>
      </c>
      <c r="N7" s="106" t="str">
        <f>IFERROR(VLOOKUP(特质表!C8,$C$2:$I$173,6,0),IFERROR(VLOOKUP(特质表!D8,$C$2:$I$173,6,0),""))</f>
        <v/>
      </c>
    </row>
    <row r="8" ht="32.4" spans="1:14">
      <c r="C8" s="111" t="s">
        <v>820</v>
      </c>
      <c r="D8" s="112" t="s">
        <v>1629</v>
      </c>
      <c r="E8" s="112" t="s">
        <v>821</v>
      </c>
      <c r="F8" s="112" t="s">
        <v>1630</v>
      </c>
      <c r="G8" s="113" t="s">
        <v>822</v>
      </c>
      <c r="H8" s="113" t="s">
        <v>1631</v>
      </c>
      <c r="I8" s="113">
        <v>10</v>
      </c>
      <c r="L8" s="106" t="str">
        <f>IFERROR(VLOOKUP(特质表!C9,$C$2:$I$173,2,0),IFERROR(VLOOKUP(特质表!D9,$C$2:$I$173,2,0),""))</f>
        <v/>
      </c>
      <c r="M8" s="106" t="str">
        <f>IFERROR(VLOOKUP(特质表!C9,$C$2:$I$173,4,0),IFERROR(VLOOKUP(特质表!D9,$C$2:$I$173,4,0),""))</f>
        <v/>
      </c>
      <c r="N8" s="106" t="str">
        <f>IFERROR(VLOOKUP(特质表!C9,$C$2:$I$173,6,0),IFERROR(VLOOKUP(特质表!D9,$C$2:$I$173,6,0),""))</f>
        <v/>
      </c>
    </row>
    <row r="9" spans="1:14">
      <c r="C9" s="111" t="s">
        <v>823</v>
      </c>
      <c r="D9" s="112" t="s">
        <v>1632</v>
      </c>
      <c r="E9" s="112" t="s">
        <v>824</v>
      </c>
      <c r="F9" s="112" t="s">
        <v>1633</v>
      </c>
      <c r="G9" s="113" t="s">
        <v>825</v>
      </c>
      <c r="H9" s="113" t="s">
        <v>1634</v>
      </c>
      <c r="I9" s="113">
        <v>15</v>
      </c>
      <c r="L9" s="106" t="str">
        <f>IFERROR(VLOOKUP(特质表!C10,$C$2:$I$173,2,0),IFERROR(VLOOKUP(特质表!D10,$C$2:$I$173,2,0),""))</f>
        <v/>
      </c>
      <c r="M9" s="106" t="str">
        <f>IFERROR(VLOOKUP(特质表!C10,$C$2:$I$173,4,0),IFERROR(VLOOKUP(特质表!D10,$C$2:$I$173,4,0),""))</f>
        <v/>
      </c>
      <c r="N9" s="106" t="str">
        <f>IFERROR(VLOOKUP(特质表!C10,$C$2:$I$173,6,0),IFERROR(VLOOKUP(特质表!D10,$C$2:$I$173,6,0),""))</f>
        <v/>
      </c>
    </row>
    <row r="10" ht="32.4" spans="1:14">
      <c r="C10" s="111" t="s">
        <v>826</v>
      </c>
      <c r="D10" s="112" t="s">
        <v>1635</v>
      </c>
      <c r="E10" s="112" t="s">
        <v>827</v>
      </c>
      <c r="F10" s="112" t="s">
        <v>1636</v>
      </c>
      <c r="G10" s="113" t="s">
        <v>828</v>
      </c>
      <c r="H10" s="113" t="s">
        <v>1637</v>
      </c>
      <c r="I10" s="113">
        <v>10</v>
      </c>
      <c r="L10" s="106" t="str">
        <f>IFERROR(VLOOKUP(特质表!C11,$C$2:$I$173,2,0),IFERROR(VLOOKUP(特质表!D11,$C$2:$I$173,2,0),""))</f>
        <v/>
      </c>
      <c r="M10" s="106" t="str">
        <f>IFERROR(VLOOKUP(特质表!C11,$C$2:$I$173,4,0),IFERROR(VLOOKUP(特质表!D11,$C$2:$I$173,4,0),""))</f>
        <v/>
      </c>
      <c r="N10" s="106" t="str">
        <f>IFERROR(VLOOKUP(特质表!C11,$C$2:$I$173,6,0),IFERROR(VLOOKUP(特质表!D11,$C$2:$I$173,6,0),""))</f>
        <v/>
      </c>
    </row>
    <row r="11" ht="32.4" spans="1:14">
      <c r="C11" s="111" t="s">
        <v>829</v>
      </c>
      <c r="D11" s="112" t="s">
        <v>1638</v>
      </c>
      <c r="E11" s="112" t="s">
        <v>830</v>
      </c>
      <c r="F11" s="112" t="s">
        <v>1639</v>
      </c>
      <c r="G11" s="113" t="s">
        <v>831</v>
      </c>
      <c r="H11" s="113" t="s">
        <v>1640</v>
      </c>
      <c r="I11" s="113">
        <v>10</v>
      </c>
      <c r="L11" s="106" t="str">
        <f>IFERROR(VLOOKUP(特质表!C12,$C$2:$I$173,2,0),IFERROR(VLOOKUP(特质表!D12,$C$2:$I$173,2,0),""))</f>
        <v/>
      </c>
      <c r="M11" s="106" t="str">
        <f>IFERROR(VLOOKUP(特质表!C12,$C$2:$I$173,4,0),IFERROR(VLOOKUP(特质表!D12,$C$2:$I$173,4,0),""))</f>
        <v/>
      </c>
      <c r="N11" s="106" t="str">
        <f>IFERROR(VLOOKUP(特质表!C12,$C$2:$I$173,6,0),IFERROR(VLOOKUP(特质表!D12,$C$2:$I$173,6,0),""))</f>
        <v/>
      </c>
    </row>
    <row r="12" ht="97.2" spans="1:14">
      <c r="C12" s="111" t="s">
        <v>832</v>
      </c>
      <c r="D12" s="112" t="s">
        <v>1641</v>
      </c>
      <c r="E12" s="112" t="s">
        <v>833</v>
      </c>
      <c r="F12" s="112" t="s">
        <v>1642</v>
      </c>
      <c r="G12" s="113" t="s">
        <v>834</v>
      </c>
      <c r="H12" s="113" t="s">
        <v>1643</v>
      </c>
      <c r="I12" s="113">
        <v>30</v>
      </c>
      <c r="L12" s="106" t="str">
        <f>IFERROR(VLOOKUP(特质表!C13,$C$2:$I$173,2,0),IFERROR(VLOOKUP(特质表!D13,$C$2:$I$173,2,0),""))</f>
        <v/>
      </c>
      <c r="M12" s="106" t="str">
        <f>IFERROR(VLOOKUP(特质表!C13,$C$2:$I$173,4,0),IFERROR(VLOOKUP(特质表!D13,$C$2:$I$173,4,0),""))</f>
        <v/>
      </c>
      <c r="N12" s="106" t="str">
        <f>IFERROR(VLOOKUP(特质表!C13,$C$2:$I$173,6,0),IFERROR(VLOOKUP(特质表!D13,$C$2:$I$173,6,0),""))</f>
        <v/>
      </c>
    </row>
    <row r="13" ht="32.4" spans="1:14">
      <c r="C13" s="111" t="s">
        <v>835</v>
      </c>
      <c r="D13" s="112" t="s">
        <v>1644</v>
      </c>
      <c r="E13" s="112" t="s">
        <v>836</v>
      </c>
      <c r="F13" s="112" t="s">
        <v>1645</v>
      </c>
      <c r="G13" s="113" t="s">
        <v>837</v>
      </c>
      <c r="H13" s="113" t="s">
        <v>1646</v>
      </c>
      <c r="I13" s="113">
        <v>-15</v>
      </c>
      <c r="L13" s="106" t="str">
        <f>IFERROR(VLOOKUP(特质表!C14,$C$2:$I$173,2,0),IFERROR(VLOOKUP(特质表!D14,$C$2:$I$173,2,0),""))</f>
        <v/>
      </c>
      <c r="M13" s="106" t="str">
        <f>IFERROR(VLOOKUP(特质表!C14,$C$2:$I$173,4,0),IFERROR(VLOOKUP(特质表!D14,$C$2:$I$173,4,0),""))</f>
        <v/>
      </c>
      <c r="N13" s="106" t="str">
        <f>IFERROR(VLOOKUP(特质表!C14,$C$2:$I$173,6,0),IFERROR(VLOOKUP(特质表!D14,$C$2:$I$173,6,0),""))</f>
        <v/>
      </c>
    </row>
    <row r="14" ht="64.8" spans="1:14">
      <c r="C14" s="111" t="s">
        <v>838</v>
      </c>
      <c r="D14" s="112" t="s">
        <v>1647</v>
      </c>
      <c r="E14" s="112" t="s">
        <v>839</v>
      </c>
      <c r="F14" s="112" t="s">
        <v>1648</v>
      </c>
      <c r="G14" s="113" t="s">
        <v>840</v>
      </c>
      <c r="H14" s="113" t="s">
        <v>1649</v>
      </c>
      <c r="I14" s="113">
        <v>10</v>
      </c>
      <c r="L14" s="106" t="str">
        <f>IFERROR(VLOOKUP(特质表!C15,$C$2:$I$173,2,0),IFERROR(VLOOKUP(特质表!D15,$C$2:$I$173,2,0),""))</f>
        <v/>
      </c>
      <c r="M14" s="106" t="str">
        <f>IFERROR(VLOOKUP(特质表!C15,$C$2:$I$173,4,0),IFERROR(VLOOKUP(特质表!D15,$C$2:$I$173,4,0),""))</f>
        <v/>
      </c>
      <c r="N14" s="106" t="str">
        <f>IFERROR(VLOOKUP(特质表!C15,$C$2:$I$173,6,0),IFERROR(VLOOKUP(特质表!D15,$C$2:$I$173,6,0),""))</f>
        <v/>
      </c>
    </row>
    <row r="15" ht="48.6" spans="1:14">
      <c r="C15" s="111" t="s">
        <v>841</v>
      </c>
      <c r="D15" s="112" t="s">
        <v>1650</v>
      </c>
      <c r="E15" s="112" t="s">
        <v>842</v>
      </c>
      <c r="F15" s="112" t="s">
        <v>1651</v>
      </c>
      <c r="G15" s="113" t="s">
        <v>843</v>
      </c>
      <c r="H15" s="113" t="s">
        <v>1652</v>
      </c>
      <c r="I15" s="113">
        <v>5</v>
      </c>
      <c r="L15" s="106" t="str">
        <f>IFERROR(VLOOKUP(特质表!C16,$C$2:$I$173,2,0),IFERROR(VLOOKUP(特质表!D16,$C$2:$I$173,2,0),""))</f>
        <v/>
      </c>
      <c r="M15" s="106" t="str">
        <f>IFERROR(VLOOKUP(特质表!C16,$C$2:$I$173,4,0),IFERROR(VLOOKUP(特质表!D16,$C$2:$I$173,4,0),""))</f>
        <v/>
      </c>
      <c r="N15" s="106" t="str">
        <f>IFERROR(VLOOKUP(特质表!C16,$C$2:$I$173,6,0),IFERROR(VLOOKUP(特质表!D16,$C$2:$I$173,6,0),""))</f>
        <v/>
      </c>
    </row>
    <row r="16" ht="64.8" spans="1:14">
      <c r="C16" s="111" t="s">
        <v>844</v>
      </c>
      <c r="D16" s="112" t="s">
        <v>1653</v>
      </c>
      <c r="E16" s="112" t="s">
        <v>845</v>
      </c>
      <c r="F16" s="112" t="s">
        <v>1654</v>
      </c>
      <c r="G16" s="113" t="s">
        <v>846</v>
      </c>
      <c r="H16" s="113" t="s">
        <v>1655</v>
      </c>
      <c r="I16" s="113">
        <v>10</v>
      </c>
      <c r="L16" s="106" t="str">
        <f>IFERROR(VLOOKUP(特质表!C17,$C$2:$I$173,2,0),IFERROR(VLOOKUP(特质表!D17,$C$2:$I$173,2,0),""))</f>
        <v/>
      </c>
      <c r="M16" s="106" t="str">
        <f>IFERROR(VLOOKUP(特质表!C17,$C$2:$I$173,4,0),IFERROR(VLOOKUP(特质表!D17,$C$2:$I$173,4,0),""))</f>
        <v/>
      </c>
      <c r="N16" s="106" t="str">
        <f>IFERROR(VLOOKUP(特质表!C17,$C$2:$I$173,6,0),IFERROR(VLOOKUP(特质表!D17,$C$2:$I$173,6,0),""))</f>
        <v/>
      </c>
    </row>
    <row r="17" ht="48.6" spans="3:14">
      <c r="C17" s="111" t="s">
        <v>847</v>
      </c>
      <c r="D17" s="112" t="s">
        <v>1656</v>
      </c>
      <c r="E17" s="112" t="s">
        <v>848</v>
      </c>
      <c r="F17" s="112" t="s">
        <v>1657</v>
      </c>
      <c r="G17" s="113" t="s">
        <v>849</v>
      </c>
      <c r="H17" s="113" t="s">
        <v>1658</v>
      </c>
      <c r="I17" s="113">
        <v>-5</v>
      </c>
      <c r="L17" s="106" t="str">
        <f>IFERROR(VLOOKUP(特质表!C18,$C$2:$I$173,2,0),IFERROR(VLOOKUP(特质表!D18,$C$2:$I$173,2,0),""))</f>
        <v/>
      </c>
      <c r="M17" s="106" t="str">
        <f>IFERROR(VLOOKUP(特质表!C18,$C$2:$I$173,4,0),IFERROR(VLOOKUP(特质表!D18,$C$2:$I$173,4,0),""))</f>
        <v/>
      </c>
      <c r="N17" s="106" t="str">
        <f>IFERROR(VLOOKUP(特质表!C18,$C$2:$I$173,6,0),IFERROR(VLOOKUP(特质表!D18,$C$2:$I$173,6,0),""))</f>
        <v/>
      </c>
    </row>
    <row r="18" ht="81" spans="3:14">
      <c r="C18" s="111" t="s">
        <v>850</v>
      </c>
      <c r="D18" s="112" t="s">
        <v>1659</v>
      </c>
      <c r="E18" s="112" t="s">
        <v>851</v>
      </c>
      <c r="F18" s="112" t="s">
        <v>1660</v>
      </c>
      <c r="G18" s="113" t="s">
        <v>852</v>
      </c>
      <c r="H18" s="113" t="s">
        <v>1661</v>
      </c>
      <c r="I18" s="113">
        <v>20</v>
      </c>
      <c r="L18" s="106" t="str">
        <f>IFERROR(VLOOKUP(特质表!C19,$C$2:$I$173,2,0),IFERROR(VLOOKUP(特质表!D19,$C$2:$I$173,2,0),""))</f>
        <v/>
      </c>
      <c r="M18" s="106" t="str">
        <f>IFERROR(VLOOKUP(特质表!C19,$C$2:$I$173,4,0),IFERROR(VLOOKUP(特质表!D19,$C$2:$I$173,4,0),""))</f>
        <v/>
      </c>
      <c r="N18" s="106" t="str">
        <f>IFERROR(VLOOKUP(特质表!C19,$C$2:$I$173,6,0),IFERROR(VLOOKUP(特质表!D19,$C$2:$I$173,6,0),""))</f>
        <v/>
      </c>
    </row>
    <row r="19" ht="32.4" spans="3:14">
      <c r="C19" s="111" t="s">
        <v>853</v>
      </c>
      <c r="D19" s="112" t="s">
        <v>1662</v>
      </c>
      <c r="E19" s="112" t="s">
        <v>854</v>
      </c>
      <c r="F19" s="112" t="s">
        <v>1663</v>
      </c>
      <c r="G19" s="113" t="s">
        <v>855</v>
      </c>
      <c r="H19" s="113" t="s">
        <v>1664</v>
      </c>
      <c r="I19" s="113">
        <v>20</v>
      </c>
      <c r="L19" s="106" t="str">
        <f>IFERROR(VLOOKUP(特质表!C20,$C$2:$I$173,2,0),IFERROR(VLOOKUP(特质表!D20,$C$2:$I$173,2,0),""))</f>
        <v/>
      </c>
      <c r="M19" s="106" t="str">
        <f>IFERROR(VLOOKUP(特质表!C20,$C$2:$I$173,4,0),IFERROR(VLOOKUP(特质表!D20,$C$2:$I$173,4,0),""))</f>
        <v/>
      </c>
      <c r="N19" s="106" t="str">
        <f>IFERROR(VLOOKUP(特质表!C20,$C$2:$I$173,6,0),IFERROR(VLOOKUP(特质表!D20,$C$2:$I$173,6,0),""))</f>
        <v/>
      </c>
    </row>
    <row r="20" spans="3:14">
      <c r="C20" s="111" t="s">
        <v>856</v>
      </c>
      <c r="D20" s="112" t="s">
        <v>1665</v>
      </c>
      <c r="E20" s="112" t="s">
        <v>857</v>
      </c>
      <c r="F20" s="112" t="s">
        <v>1666</v>
      </c>
      <c r="G20" s="113" t="s">
        <v>858</v>
      </c>
      <c r="H20" s="113" t="s">
        <v>1667</v>
      </c>
      <c r="I20" s="113">
        <v>10</v>
      </c>
      <c r="L20" s="106" t="str">
        <f>IFERROR(VLOOKUP(特质表!C21,$C$2:$I$173,2,0),IFERROR(VLOOKUP(特质表!D21,$C$2:$I$173,2,0),""))</f>
        <v/>
      </c>
      <c r="M20" s="106" t="str">
        <f>IFERROR(VLOOKUP(特质表!C21,$C$2:$I$173,4,0),IFERROR(VLOOKUP(特质表!D21,$C$2:$I$173,4,0),""))</f>
        <v/>
      </c>
      <c r="N20" s="106" t="str">
        <f>IFERROR(VLOOKUP(特质表!C21,$C$2:$I$173,6,0),IFERROR(VLOOKUP(特质表!D21,$C$2:$I$173,6,0),""))</f>
        <v/>
      </c>
    </row>
    <row r="21" spans="3:14">
      <c r="C21" s="111" t="s">
        <v>859</v>
      </c>
      <c r="D21" s="112" t="s">
        <v>1668</v>
      </c>
      <c r="E21" s="112" t="s">
        <v>860</v>
      </c>
      <c r="F21" s="112" t="s">
        <v>1669</v>
      </c>
      <c r="G21" s="113" t="s">
        <v>861</v>
      </c>
      <c r="H21" s="113" t="s">
        <v>1670</v>
      </c>
      <c r="I21" s="113">
        <v>10</v>
      </c>
      <c r="L21" s="106" t="str">
        <f>IFERROR(VLOOKUP(特质表!C22,$C$2:$I$173,2,0),IFERROR(VLOOKUP(特质表!D22,$C$2:$I$173,2,0),""))</f>
        <v/>
      </c>
      <c r="M21" s="106" t="str">
        <f>IFERROR(VLOOKUP(特质表!C22,$C$2:$I$173,4,0),IFERROR(VLOOKUP(特质表!D22,$C$2:$I$173,4,0),""))</f>
        <v/>
      </c>
      <c r="N21" s="106" t="str">
        <f>IFERROR(VLOOKUP(特质表!C22,$C$2:$I$173,6,0),IFERROR(VLOOKUP(特质表!D22,$C$2:$I$173,6,0),""))</f>
        <v/>
      </c>
    </row>
    <row r="22" spans="3:14">
      <c r="C22" s="111" t="s">
        <v>862</v>
      </c>
      <c r="D22" s="112" t="s">
        <v>1671</v>
      </c>
      <c r="E22" s="112" t="s">
        <v>863</v>
      </c>
      <c r="F22" s="112" t="s">
        <v>1672</v>
      </c>
      <c r="G22" s="113" t="s">
        <v>864</v>
      </c>
      <c r="H22" s="113" t="s">
        <v>1673</v>
      </c>
      <c r="I22" s="113">
        <v>10</v>
      </c>
      <c r="L22" s="106" t="str">
        <f>IFERROR(VLOOKUP(特质表!C23,$C$2:$I$173,2,0),IFERROR(VLOOKUP(特质表!D23,$C$2:$I$173,2,0),""))</f>
        <v/>
      </c>
      <c r="M22" s="106" t="str">
        <f>IFERROR(VLOOKUP(特质表!C23,$C$2:$I$173,4,0),IFERROR(VLOOKUP(特质表!D23,$C$2:$I$173,4,0),""))</f>
        <v/>
      </c>
      <c r="N22" s="106" t="str">
        <f>IFERROR(VLOOKUP(特质表!C23,$C$2:$I$173,6,0),IFERROR(VLOOKUP(特质表!D23,$C$2:$I$173,6,0),""))</f>
        <v/>
      </c>
    </row>
    <row r="23" ht="32.4" spans="3:14">
      <c r="C23" s="111" t="s">
        <v>865</v>
      </c>
      <c r="D23" s="112" t="s">
        <v>1674</v>
      </c>
      <c r="E23" s="112" t="s">
        <v>866</v>
      </c>
      <c r="F23" s="112" t="s">
        <v>1675</v>
      </c>
      <c r="G23" s="113" t="s">
        <v>810</v>
      </c>
      <c r="H23" s="113" t="s">
        <v>1676</v>
      </c>
      <c r="I23" s="113">
        <v>0</v>
      </c>
      <c r="L23" s="106" t="str">
        <f>IFERROR(VLOOKUP(特质表!C24,$C$2:$I$173,2,0),IFERROR(VLOOKUP(特质表!D24,$C$2:$I$173,2,0),""))</f>
        <v/>
      </c>
      <c r="M23" s="106" t="str">
        <f>IFERROR(VLOOKUP(特质表!C24,$C$2:$I$173,4,0),IFERROR(VLOOKUP(特质表!D24,$C$2:$I$173,4,0),""))</f>
        <v/>
      </c>
      <c r="N23" s="106" t="str">
        <f>IFERROR(VLOOKUP(特质表!C24,$C$2:$I$173,6,0),IFERROR(VLOOKUP(特质表!D24,$C$2:$I$173,6,0),""))</f>
        <v/>
      </c>
    </row>
    <row r="24" ht="64.8" spans="3:14">
      <c r="C24" s="111" t="s">
        <v>867</v>
      </c>
      <c r="D24" s="112" t="s">
        <v>1677</v>
      </c>
      <c r="E24" s="112" t="s">
        <v>868</v>
      </c>
      <c r="F24" s="112" t="s">
        <v>1678</v>
      </c>
      <c r="G24" s="113" t="s">
        <v>869</v>
      </c>
      <c r="H24" s="113" t="s">
        <v>1679</v>
      </c>
      <c r="I24" s="113">
        <v>10</v>
      </c>
      <c r="L24" s="106" t="str">
        <f>IFERROR(VLOOKUP(特质表!C25,$C$2:$I$173,2,0),IFERROR(VLOOKUP(特质表!D25,$C$2:$I$173,2,0),""))</f>
        <v/>
      </c>
      <c r="M24" s="106" t="str">
        <f>IFERROR(VLOOKUP(特质表!C25,$C$2:$I$173,4,0),IFERROR(VLOOKUP(特质表!D25,$C$2:$I$173,4,0),""))</f>
        <v/>
      </c>
      <c r="N24" s="106" t="str">
        <f>IFERROR(VLOOKUP(特质表!C25,$C$2:$I$173,6,0),IFERROR(VLOOKUP(特质表!D25,$C$2:$I$173,6,0),""))</f>
        <v/>
      </c>
    </row>
    <row r="25" ht="48.6" spans="3:14">
      <c r="C25" s="111" t="s">
        <v>870</v>
      </c>
      <c r="D25" s="112" t="s">
        <v>1680</v>
      </c>
      <c r="E25" s="112" t="s">
        <v>871</v>
      </c>
      <c r="F25" s="112" t="s">
        <v>1681</v>
      </c>
      <c r="G25" s="113" t="s">
        <v>872</v>
      </c>
      <c r="H25" s="113" t="s">
        <v>1682</v>
      </c>
      <c r="I25" s="113">
        <v>10</v>
      </c>
      <c r="L25" s="106" t="str">
        <f>IFERROR(VLOOKUP(特质表!C26,$C$2:$I$173,2,0),IFERROR(VLOOKUP(特质表!D26,$C$2:$I$173,2,0),""))</f>
        <v/>
      </c>
      <c r="M25" s="106" t="str">
        <f>IFERROR(VLOOKUP(特质表!C26,$C$2:$I$173,4,0),IFERROR(VLOOKUP(特质表!D26,$C$2:$I$173,4,0),""))</f>
        <v/>
      </c>
      <c r="N25" s="106" t="str">
        <f>IFERROR(VLOOKUP(特质表!C26,$C$2:$I$173,6,0),IFERROR(VLOOKUP(特质表!D26,$C$2:$I$173,6,0),""))</f>
        <v/>
      </c>
    </row>
    <row r="26" ht="32.4" spans="3:14">
      <c r="C26" s="111" t="s">
        <v>873</v>
      </c>
      <c r="D26" s="112" t="s">
        <v>1683</v>
      </c>
      <c r="E26" s="112" t="s">
        <v>874</v>
      </c>
      <c r="F26" s="112" t="s">
        <v>1684</v>
      </c>
      <c r="G26" s="113" t="s">
        <v>810</v>
      </c>
      <c r="H26" s="113" t="s">
        <v>1685</v>
      </c>
      <c r="I26" s="113">
        <v>0</v>
      </c>
      <c r="L26" s="106" t="str">
        <f>IFERROR(VLOOKUP(特质表!C27,$C$2:$I$173,2,0),IFERROR(VLOOKUP(特质表!D27,$C$2:$I$173,2,0),""))</f>
        <v/>
      </c>
      <c r="M26" s="106" t="str">
        <f>IFERROR(VLOOKUP(特质表!C27,$C$2:$I$173,4,0),IFERROR(VLOOKUP(特质表!D27,$C$2:$I$173,4,0),""))</f>
        <v/>
      </c>
      <c r="N26" s="106" t="str">
        <f>IFERROR(VLOOKUP(特质表!C27,$C$2:$I$173,6,0),IFERROR(VLOOKUP(特质表!D27,$C$2:$I$173,6,0),""))</f>
        <v/>
      </c>
    </row>
    <row r="27" ht="64.8" spans="3:14">
      <c r="C27" s="111" t="s">
        <v>875</v>
      </c>
      <c r="D27" s="112" t="s">
        <v>1686</v>
      </c>
      <c r="E27" s="112" t="s">
        <v>876</v>
      </c>
      <c r="F27" s="112" t="s">
        <v>1687</v>
      </c>
      <c r="G27" s="113" t="s">
        <v>877</v>
      </c>
      <c r="H27" s="113" t="s">
        <v>1688</v>
      </c>
      <c r="I27" s="113">
        <v>5</v>
      </c>
      <c r="L27" s="106" t="str">
        <f>IFERROR(VLOOKUP(特质表!C28,$C$2:$I$173,2,0),IFERROR(VLOOKUP(特质表!D28,$C$2:$I$173,2,0),""))</f>
        <v/>
      </c>
      <c r="M27" s="106" t="str">
        <f>IFERROR(VLOOKUP(特质表!C28,$C$2:$I$173,4,0),IFERROR(VLOOKUP(特质表!D28,$C$2:$I$173,4,0),""))</f>
        <v/>
      </c>
      <c r="N27" s="106" t="str">
        <f>IFERROR(VLOOKUP(特质表!C28,$C$2:$I$173,6,0),IFERROR(VLOOKUP(特质表!D28,$C$2:$I$173,6,0),""))</f>
        <v/>
      </c>
    </row>
    <row r="28" ht="32.4" spans="3:14">
      <c r="C28" s="111" t="s">
        <v>878</v>
      </c>
      <c r="D28" s="112" t="s">
        <v>1689</v>
      </c>
      <c r="E28" s="112" t="s">
        <v>879</v>
      </c>
      <c r="F28" s="112" t="s">
        <v>1690</v>
      </c>
      <c r="G28" s="113" t="s">
        <v>880</v>
      </c>
      <c r="H28" s="113" t="s">
        <v>1691</v>
      </c>
      <c r="I28" s="113">
        <v>5</v>
      </c>
      <c r="L28" s="106" t="str">
        <f>IFERROR(VLOOKUP(特质表!C29,$C$2:$I$173,2,0),IFERROR(VLOOKUP(特质表!D29,$C$2:$I$173,2,0),""))</f>
        <v/>
      </c>
      <c r="M28" s="106" t="str">
        <f>IFERROR(VLOOKUP(特质表!C29,$C$2:$I$173,4,0),IFERROR(VLOOKUP(特质表!D29,$C$2:$I$173,4,0),""))</f>
        <v/>
      </c>
      <c r="N28" s="106" t="str">
        <f>IFERROR(VLOOKUP(特质表!C29,$C$2:$I$173,6,0),IFERROR(VLOOKUP(特质表!D29,$C$2:$I$173,6,0),""))</f>
        <v/>
      </c>
    </row>
    <row r="29" ht="81" spans="3:14">
      <c r="C29" s="111" t="s">
        <v>881</v>
      </c>
      <c r="D29" s="112" t="s">
        <v>1692</v>
      </c>
      <c r="E29" s="112" t="s">
        <v>882</v>
      </c>
      <c r="F29" s="112" t="s">
        <v>1693</v>
      </c>
      <c r="G29" s="113" t="s">
        <v>883</v>
      </c>
      <c r="H29" s="113" t="s">
        <v>1694</v>
      </c>
      <c r="I29" s="113">
        <v>5</v>
      </c>
      <c r="L29" s="106" t="str">
        <f>IFERROR(VLOOKUP(特质表!C30,$C$2:$I$173,2,0),IFERROR(VLOOKUP(特质表!D30,$C$2:$I$173,2,0),""))</f>
        <v/>
      </c>
      <c r="M29" s="106" t="str">
        <f>IFERROR(VLOOKUP(特质表!C30,$C$2:$I$173,4,0),IFERROR(VLOOKUP(特质表!D30,$C$2:$I$173,4,0),""))</f>
        <v/>
      </c>
      <c r="N29" s="106" t="str">
        <f>IFERROR(VLOOKUP(特质表!C30,$C$2:$I$173,6,0),IFERROR(VLOOKUP(特质表!D30,$C$2:$I$173,6,0),""))</f>
        <v/>
      </c>
    </row>
    <row r="30" ht="32.4" spans="3:14">
      <c r="C30" s="111" t="s">
        <v>884</v>
      </c>
      <c r="D30" s="112" t="s">
        <v>1695</v>
      </c>
      <c r="E30" s="112" t="s">
        <v>885</v>
      </c>
      <c r="F30" s="112" t="s">
        <v>1696</v>
      </c>
      <c r="G30" s="113" t="s">
        <v>886</v>
      </c>
      <c r="H30" s="113" t="s">
        <v>1697</v>
      </c>
      <c r="I30" s="113">
        <v>15</v>
      </c>
      <c r="L30" s="106" t="str">
        <f>IFERROR(VLOOKUP(特质表!C31,$C$2:$I$173,2,0),IFERROR(VLOOKUP(特质表!D31,$C$2:$I$173,2,0),""))</f>
        <v/>
      </c>
      <c r="M30" s="106" t="str">
        <f>IFERROR(VLOOKUP(特质表!C31,$C$2:$I$173,4,0),IFERROR(VLOOKUP(特质表!D31,$C$2:$I$173,4,0),""))</f>
        <v/>
      </c>
      <c r="N30" s="106" t="str">
        <f>IFERROR(VLOOKUP(特质表!C31,$C$2:$I$173,6,0),IFERROR(VLOOKUP(特质表!D31,$C$2:$I$173,6,0),""))</f>
        <v/>
      </c>
    </row>
    <row r="31" ht="64.8" spans="3:14">
      <c r="C31" s="111" t="s">
        <v>887</v>
      </c>
      <c r="D31" s="112" t="s">
        <v>1698</v>
      </c>
      <c r="E31" s="112" t="s">
        <v>888</v>
      </c>
      <c r="F31" s="112" t="s">
        <v>1699</v>
      </c>
      <c r="G31" s="113" t="s">
        <v>889</v>
      </c>
      <c r="H31" s="113" t="s">
        <v>1700</v>
      </c>
      <c r="I31" s="113">
        <v>15</v>
      </c>
      <c r="L31" s="106" t="str">
        <f>IFERROR(VLOOKUP(特质表!C32,$C$2:$I$173,2,0),IFERROR(VLOOKUP(特质表!D32,$C$2:$I$173,2,0),""))</f>
        <v/>
      </c>
      <c r="M31" s="106" t="str">
        <f>IFERROR(VLOOKUP(特质表!C32,$C$2:$I$173,4,0),IFERROR(VLOOKUP(特质表!D32,$C$2:$I$173,4,0),""))</f>
        <v/>
      </c>
      <c r="N31" s="106" t="str">
        <f>IFERROR(VLOOKUP(特质表!C32,$C$2:$I$173,6,0),IFERROR(VLOOKUP(特质表!D32,$C$2:$I$173,6,0),""))</f>
        <v/>
      </c>
    </row>
    <row r="32" ht="32.4" spans="3:14">
      <c r="C32" s="111" t="s">
        <v>890</v>
      </c>
      <c r="D32" s="112" t="s">
        <v>1701</v>
      </c>
      <c r="E32" s="112" t="s">
        <v>891</v>
      </c>
      <c r="F32" s="112" t="s">
        <v>1702</v>
      </c>
      <c r="G32" s="113" t="s">
        <v>892</v>
      </c>
      <c r="H32" s="113" t="s">
        <v>1703</v>
      </c>
      <c r="I32" s="113">
        <v>20</v>
      </c>
      <c r="L32" s="106" t="str">
        <f>IFERROR(VLOOKUP(特质表!C33,$C$2:$I$173,2,0),IFERROR(VLOOKUP(特质表!D33,$C$2:$I$173,2,0),""))</f>
        <v/>
      </c>
      <c r="M32" s="106" t="str">
        <f>IFERROR(VLOOKUP(特质表!C33,$C$2:$I$173,4,0),IFERROR(VLOOKUP(特质表!D33,$C$2:$I$173,4,0),""))</f>
        <v/>
      </c>
      <c r="N32" s="106" t="str">
        <f>IFERROR(VLOOKUP(特质表!C33,$C$2:$I$173,6,0),IFERROR(VLOOKUP(特质表!D33,$C$2:$I$173,6,0),""))</f>
        <v/>
      </c>
    </row>
    <row r="33" ht="48.6" spans="3:14">
      <c r="C33" s="111" t="s">
        <v>893</v>
      </c>
      <c r="D33" s="112" t="s">
        <v>1704</v>
      </c>
      <c r="E33" s="112" t="s">
        <v>894</v>
      </c>
      <c r="F33" s="112" t="s">
        <v>1705</v>
      </c>
      <c r="G33" s="113" t="s">
        <v>895</v>
      </c>
      <c r="H33" s="113" t="s">
        <v>1706</v>
      </c>
      <c r="I33" s="113">
        <v>10</v>
      </c>
      <c r="L33" s="106" t="str">
        <f>IFERROR(VLOOKUP(特质表!C34,$C$2:$I$173,2,0),IFERROR(VLOOKUP(特质表!D34,$C$2:$I$173,2,0),""))</f>
        <v/>
      </c>
      <c r="M33" s="106" t="str">
        <f>IFERROR(VLOOKUP(特质表!C34,$C$2:$I$173,4,0),IFERROR(VLOOKUP(特质表!D34,$C$2:$I$173,4,0),""))</f>
        <v/>
      </c>
      <c r="N33" s="106" t="str">
        <f>IFERROR(VLOOKUP(特质表!C34,$C$2:$I$173,6,0),IFERROR(VLOOKUP(特质表!D34,$C$2:$I$173,6,0),""))</f>
        <v/>
      </c>
    </row>
    <row r="34" ht="48.6" spans="3:14">
      <c r="C34" s="111" t="s">
        <v>896</v>
      </c>
      <c r="D34" s="112" t="s">
        <v>1707</v>
      </c>
      <c r="E34" s="112" t="s">
        <v>897</v>
      </c>
      <c r="F34" s="112" t="s">
        <v>1708</v>
      </c>
      <c r="G34" s="113" t="s">
        <v>898</v>
      </c>
      <c r="H34" s="113" t="s">
        <v>1709</v>
      </c>
      <c r="I34" s="113">
        <v>20</v>
      </c>
      <c r="L34" s="106" t="str">
        <f>IFERROR(VLOOKUP(特质表!C35,$C$2:$I$173,2,0),IFERROR(VLOOKUP(特质表!D35,$C$2:$I$173,2,0),""))</f>
        <v/>
      </c>
      <c r="M34" s="106" t="str">
        <f>IFERROR(VLOOKUP(特质表!C35,$C$2:$I$173,4,0),IFERROR(VLOOKUP(特质表!D35,$C$2:$I$173,4,0),""))</f>
        <v/>
      </c>
      <c r="N34" s="106" t="str">
        <f>IFERROR(VLOOKUP(特质表!C35,$C$2:$I$173,6,0),IFERROR(VLOOKUP(特质表!D35,$C$2:$I$173,6,0),""))</f>
        <v/>
      </c>
    </row>
    <row r="35" ht="32.4" spans="3:14">
      <c r="C35" s="111" t="s">
        <v>899</v>
      </c>
      <c r="D35" s="112" t="s">
        <v>1710</v>
      </c>
      <c r="E35" s="112" t="s">
        <v>900</v>
      </c>
      <c r="F35" s="112" t="s">
        <v>1711</v>
      </c>
      <c r="G35" s="113" t="s">
        <v>810</v>
      </c>
      <c r="H35" s="113" t="s">
        <v>1712</v>
      </c>
      <c r="I35" s="113">
        <v>0</v>
      </c>
      <c r="L35" s="106" t="str">
        <f>IFERROR(VLOOKUP(特质表!C36,$C$2:$I$173,2,0),IFERROR(VLOOKUP(特质表!D36,$C$2:$I$173,2,0),""))</f>
        <v/>
      </c>
      <c r="M35" s="106" t="str">
        <f>IFERROR(VLOOKUP(特质表!C36,$C$2:$I$173,4,0),IFERROR(VLOOKUP(特质表!D36,$C$2:$I$173,4,0),""))</f>
        <v/>
      </c>
      <c r="N35" s="106" t="str">
        <f>IFERROR(VLOOKUP(特质表!C36,$C$2:$I$173,6,0),IFERROR(VLOOKUP(特质表!D36,$C$2:$I$173,6,0),""))</f>
        <v/>
      </c>
    </row>
    <row r="36" spans="3:14">
      <c r="C36" s="111" t="s">
        <v>901</v>
      </c>
      <c r="D36" s="112" t="s">
        <v>1713</v>
      </c>
      <c r="E36" s="112" t="s">
        <v>902</v>
      </c>
      <c r="F36" s="112" t="s">
        <v>1714</v>
      </c>
      <c r="G36" s="113" t="s">
        <v>903</v>
      </c>
      <c r="H36" s="113" t="s">
        <v>1715</v>
      </c>
      <c r="I36" s="113">
        <v>5</v>
      </c>
      <c r="L36" s="106" t="str">
        <f>IFERROR(VLOOKUP(特质表!C37,$C$2:$I$173,2,0),IFERROR(VLOOKUP(特质表!D37,$C$2:$I$173,2,0),""))</f>
        <v/>
      </c>
      <c r="M36" s="106" t="str">
        <f>IFERROR(VLOOKUP(特质表!C37,$C$2:$I$173,4,0),IFERROR(VLOOKUP(特质表!D37,$C$2:$I$173,4,0),""))</f>
        <v/>
      </c>
      <c r="N36" s="106" t="str">
        <f>IFERROR(VLOOKUP(特质表!C37,$C$2:$I$173,6,0),IFERROR(VLOOKUP(特质表!D37,$C$2:$I$173,6,0),""))</f>
        <v/>
      </c>
    </row>
    <row r="37" spans="3:14">
      <c r="C37" s="111" t="s">
        <v>904</v>
      </c>
      <c r="D37" s="112" t="s">
        <v>1716</v>
      </c>
      <c r="E37" s="112" t="s">
        <v>905</v>
      </c>
      <c r="F37" s="112" t="s">
        <v>1717</v>
      </c>
      <c r="G37" s="113" t="s">
        <v>906</v>
      </c>
      <c r="H37" s="113" t="s">
        <v>1718</v>
      </c>
      <c r="I37" s="113">
        <v>5</v>
      </c>
      <c r="L37" s="106" t="str">
        <f>IFERROR(VLOOKUP(特质表!C38,$C$2:$I$173,2,0),IFERROR(VLOOKUP(特质表!D38,$C$2:$I$173,2,0),""))</f>
        <v/>
      </c>
      <c r="M37" s="106" t="str">
        <f>IFERROR(VLOOKUP(特质表!C38,$C$2:$I$173,4,0),IFERROR(VLOOKUP(特质表!D38,$C$2:$I$173,4,0),""))</f>
        <v/>
      </c>
      <c r="N37" s="106" t="str">
        <f>IFERROR(VLOOKUP(特质表!C38,$C$2:$I$173,6,0),IFERROR(VLOOKUP(特质表!D38,$C$2:$I$173,6,0),""))</f>
        <v/>
      </c>
    </row>
    <row r="38" spans="3:14">
      <c r="C38" s="111" t="s">
        <v>907</v>
      </c>
      <c r="D38" s="112" t="s">
        <v>1719</v>
      </c>
      <c r="E38" s="112" t="s">
        <v>908</v>
      </c>
      <c r="F38" s="112" t="s">
        <v>1720</v>
      </c>
      <c r="G38" s="113" t="s">
        <v>909</v>
      </c>
      <c r="H38" s="113" t="s">
        <v>1721</v>
      </c>
      <c r="I38" s="113">
        <v>5</v>
      </c>
      <c r="L38" s="106" t="str">
        <f>IFERROR(VLOOKUP(特质表!C39,$C$2:$I$173,2,0),IFERROR(VLOOKUP(特质表!D39,$C$2:$I$173,2,0),""))</f>
        <v/>
      </c>
      <c r="M38" s="106" t="str">
        <f>IFERROR(VLOOKUP(特质表!C39,$C$2:$I$173,4,0),IFERROR(VLOOKUP(特质表!D39,$C$2:$I$173,4,0),""))</f>
        <v/>
      </c>
      <c r="N38" s="106" t="str">
        <f>IFERROR(VLOOKUP(特质表!C39,$C$2:$I$173,6,0),IFERROR(VLOOKUP(特质表!D39,$C$2:$I$173,6,0),""))</f>
        <v/>
      </c>
    </row>
    <row r="39" ht="32.4" spans="3:14">
      <c r="C39" s="111" t="s">
        <v>910</v>
      </c>
      <c r="D39" s="112" t="s">
        <v>1722</v>
      </c>
      <c r="E39" s="112" t="s">
        <v>911</v>
      </c>
      <c r="F39" s="112" t="s">
        <v>1723</v>
      </c>
      <c r="G39" s="113" t="s">
        <v>912</v>
      </c>
      <c r="H39" s="113" t="s">
        <v>1724</v>
      </c>
      <c r="I39" s="113">
        <v>25</v>
      </c>
      <c r="L39" s="106" t="str">
        <f>IFERROR(VLOOKUP(特质表!C40,$C$2:$I$173,2,0),IFERROR(VLOOKUP(特质表!D40,$C$2:$I$173,2,0),""))</f>
        <v/>
      </c>
      <c r="M39" s="106" t="str">
        <f>IFERROR(VLOOKUP(特质表!C40,$C$2:$I$173,4,0),IFERROR(VLOOKUP(特质表!D40,$C$2:$I$173,4,0),""))</f>
        <v/>
      </c>
      <c r="N39" s="106" t="str">
        <f>IFERROR(VLOOKUP(特质表!C40,$C$2:$I$173,6,0),IFERROR(VLOOKUP(特质表!D40,$C$2:$I$173,6,0),""))</f>
        <v/>
      </c>
    </row>
    <row r="40" ht="48.6" spans="3:14">
      <c r="C40" s="111" t="s">
        <v>913</v>
      </c>
      <c r="D40" s="112" t="s">
        <v>1725</v>
      </c>
      <c r="E40" s="112" t="s">
        <v>914</v>
      </c>
      <c r="F40" s="112" t="s">
        <v>1726</v>
      </c>
      <c r="G40" s="113" t="s">
        <v>915</v>
      </c>
      <c r="H40" s="113" t="s">
        <v>1727</v>
      </c>
      <c r="I40" s="113">
        <v>10</v>
      </c>
      <c r="L40" s="106" t="str">
        <f>IFERROR(VLOOKUP(特质表!C41,$C$2:$I$173,2,0),IFERROR(VLOOKUP(特质表!D41,$C$2:$I$173,2,0),""))</f>
        <v/>
      </c>
      <c r="M40" s="106" t="str">
        <f>IFERROR(VLOOKUP(特质表!C41,$C$2:$I$173,4,0),IFERROR(VLOOKUP(特质表!D41,$C$2:$I$173,4,0),""))</f>
        <v/>
      </c>
      <c r="N40" s="106" t="str">
        <f>IFERROR(VLOOKUP(特质表!C41,$C$2:$I$173,6,0),IFERROR(VLOOKUP(特质表!D41,$C$2:$I$173,6,0),""))</f>
        <v/>
      </c>
    </row>
    <row r="41" ht="64.8" spans="3:14">
      <c r="C41" s="111" t="s">
        <v>916</v>
      </c>
      <c r="D41" s="112" t="s">
        <v>1728</v>
      </c>
      <c r="E41" s="112" t="s">
        <v>917</v>
      </c>
      <c r="F41" s="112" t="s">
        <v>1729</v>
      </c>
      <c r="G41" s="113" t="s">
        <v>810</v>
      </c>
      <c r="H41" s="113" t="s">
        <v>1730</v>
      </c>
      <c r="I41" s="113">
        <v>0</v>
      </c>
      <c r="L41" s="106" t="str">
        <f>IFERROR(VLOOKUP(特质表!C42,$C$2:$I$173,2,0),IFERROR(VLOOKUP(特质表!D42,$C$2:$I$173,2,0),""))</f>
        <v/>
      </c>
      <c r="M41" s="106" t="str">
        <f>IFERROR(VLOOKUP(特质表!C42,$C$2:$I$173,4,0),IFERROR(VLOOKUP(特质表!D42,$C$2:$I$173,4,0),""))</f>
        <v/>
      </c>
      <c r="N41" s="106" t="str">
        <f>IFERROR(VLOOKUP(特质表!C42,$C$2:$I$173,6,0),IFERROR(VLOOKUP(特质表!D42,$C$2:$I$173,6,0),""))</f>
        <v/>
      </c>
    </row>
    <row r="42" ht="32.4" spans="3:14">
      <c r="C42" s="111" t="s">
        <v>918</v>
      </c>
      <c r="D42" s="112" t="s">
        <v>1731</v>
      </c>
      <c r="E42" s="112" t="s">
        <v>919</v>
      </c>
      <c r="F42" s="112" t="s">
        <v>1732</v>
      </c>
      <c r="G42" s="113" t="s">
        <v>920</v>
      </c>
      <c r="H42" s="113" t="s">
        <v>1733</v>
      </c>
      <c r="I42" s="113">
        <v>10</v>
      </c>
      <c r="L42" s="106" t="str">
        <f>IFERROR(VLOOKUP(特质表!C43,$C$2:$I$173,2,0),IFERROR(VLOOKUP(特质表!D43,$C$2:$I$173,2,0),""))</f>
        <v/>
      </c>
      <c r="M42" s="106" t="str">
        <f>IFERROR(VLOOKUP(特质表!C43,$C$2:$I$173,4,0),IFERROR(VLOOKUP(特质表!D43,$C$2:$I$173,4,0),""))</f>
        <v/>
      </c>
      <c r="N42" s="106" t="str">
        <f>IFERROR(VLOOKUP(特质表!C43,$C$2:$I$173,6,0),IFERROR(VLOOKUP(特质表!D43,$C$2:$I$173,6,0),""))</f>
        <v/>
      </c>
    </row>
    <row r="43" ht="32.4" spans="3:14">
      <c r="C43" s="111" t="s">
        <v>921</v>
      </c>
      <c r="D43" s="112" t="s">
        <v>1734</v>
      </c>
      <c r="E43" s="112" t="s">
        <v>922</v>
      </c>
      <c r="F43" s="112" t="s">
        <v>1735</v>
      </c>
      <c r="G43" s="113" t="s">
        <v>920</v>
      </c>
      <c r="H43" s="113" t="s">
        <v>1736</v>
      </c>
      <c r="I43" s="113">
        <v>10</v>
      </c>
      <c r="L43" s="106" t="str">
        <f>IFERROR(VLOOKUP(特质表!C44,$C$2:$I$173,2,0),IFERROR(VLOOKUP(特质表!D44,$C$2:$I$173,2,0),""))</f>
        <v/>
      </c>
      <c r="M43" s="106" t="str">
        <f>IFERROR(VLOOKUP(特质表!C44,$C$2:$I$173,4,0),IFERROR(VLOOKUP(特质表!D44,$C$2:$I$173,4,0),""))</f>
        <v/>
      </c>
      <c r="N43" s="106" t="str">
        <f>IFERROR(VLOOKUP(特质表!C44,$C$2:$I$173,6,0),IFERROR(VLOOKUP(特质表!D44,$C$2:$I$173,6,0),""))</f>
        <v/>
      </c>
    </row>
    <row r="44" ht="32.4" spans="3:14">
      <c r="C44" s="111" t="s">
        <v>923</v>
      </c>
      <c r="D44" s="112" t="s">
        <v>1737</v>
      </c>
      <c r="E44" s="112" t="s">
        <v>924</v>
      </c>
      <c r="F44" s="112" t="s">
        <v>1738</v>
      </c>
      <c r="G44" s="113" t="s">
        <v>920</v>
      </c>
      <c r="H44" s="113" t="s">
        <v>1739</v>
      </c>
      <c r="I44" s="113">
        <v>10</v>
      </c>
      <c r="L44" s="106" t="str">
        <f>IFERROR(VLOOKUP(特质表!C45,$C$2:$I$173,2,0),IFERROR(VLOOKUP(特质表!D45,$C$2:$I$173,2,0),""))</f>
        <v/>
      </c>
      <c r="M44" s="106" t="str">
        <f>IFERROR(VLOOKUP(特质表!C45,$C$2:$I$173,4,0),IFERROR(VLOOKUP(特质表!D45,$C$2:$I$173,4,0),""))</f>
        <v/>
      </c>
      <c r="N44" s="106" t="str">
        <f>IFERROR(VLOOKUP(特质表!C45,$C$2:$I$173,6,0),IFERROR(VLOOKUP(特质表!D45,$C$2:$I$173,6,0),""))</f>
        <v/>
      </c>
    </row>
    <row r="45" ht="32.4" spans="3:14">
      <c r="C45" s="111" t="s">
        <v>925</v>
      </c>
      <c r="D45" s="112" t="s">
        <v>1740</v>
      </c>
      <c r="E45" s="112" t="s">
        <v>926</v>
      </c>
      <c r="F45" s="112" t="s">
        <v>1741</v>
      </c>
      <c r="G45" s="113" t="s">
        <v>920</v>
      </c>
      <c r="H45" s="113" t="s">
        <v>1742</v>
      </c>
      <c r="I45" s="113">
        <v>10</v>
      </c>
      <c r="L45" s="106" t="str">
        <f>IFERROR(VLOOKUP(特质表!C46,$C$2:$I$173,2,0),IFERROR(VLOOKUP(特质表!D46,$C$2:$I$173,2,0),""))</f>
        <v/>
      </c>
      <c r="M45" s="106" t="str">
        <f>IFERROR(VLOOKUP(特质表!C46,$C$2:$I$173,4,0),IFERROR(VLOOKUP(特质表!D46,$C$2:$I$173,4,0),""))</f>
        <v/>
      </c>
      <c r="N45" s="106" t="str">
        <f>IFERROR(VLOOKUP(特质表!C46,$C$2:$I$173,6,0),IFERROR(VLOOKUP(特质表!D46,$C$2:$I$173,6,0),""))</f>
        <v/>
      </c>
    </row>
    <row r="46" spans="3:14">
      <c r="C46" s="111" t="s">
        <v>927</v>
      </c>
      <c r="D46" s="112" t="s">
        <v>1743</v>
      </c>
      <c r="E46" s="112" t="s">
        <v>928</v>
      </c>
      <c r="F46" s="112" t="s">
        <v>1744</v>
      </c>
      <c r="G46" s="113" t="s">
        <v>929</v>
      </c>
      <c r="H46" s="113" t="s">
        <v>1745</v>
      </c>
      <c r="I46" s="113">
        <v>20</v>
      </c>
      <c r="L46" s="106" t="str">
        <f>IFERROR(VLOOKUP(特质表!C47,$C$2:$I$173,2,0),IFERROR(VLOOKUP(特质表!D47,$C$2:$I$173,2,0),""))</f>
        <v/>
      </c>
      <c r="M46" s="106" t="str">
        <f>IFERROR(VLOOKUP(特质表!C47,$C$2:$I$173,4,0),IFERROR(VLOOKUP(特质表!D47,$C$2:$I$173,4,0),""))</f>
        <v/>
      </c>
      <c r="N46" s="106" t="str">
        <f>IFERROR(VLOOKUP(特质表!C47,$C$2:$I$173,6,0),IFERROR(VLOOKUP(特质表!D47,$C$2:$I$173,6,0),""))</f>
        <v/>
      </c>
    </row>
    <row r="47" ht="97.2" spans="3:14">
      <c r="C47" s="111" t="s">
        <v>930</v>
      </c>
      <c r="D47" s="112" t="s">
        <v>1746</v>
      </c>
      <c r="E47" s="112" t="s">
        <v>931</v>
      </c>
      <c r="F47" s="112" t="s">
        <v>1747</v>
      </c>
      <c r="G47" s="113" t="s">
        <v>932</v>
      </c>
      <c r="H47" s="113" t="s">
        <v>1748</v>
      </c>
      <c r="I47" s="113">
        <v>20</v>
      </c>
      <c r="L47" s="106" t="str">
        <f>IFERROR(VLOOKUP(特质表!C48,$C$2:$I$173,2,0),IFERROR(VLOOKUP(特质表!D48,$C$2:$I$173,2,0),""))</f>
        <v/>
      </c>
      <c r="M47" s="106" t="str">
        <f>IFERROR(VLOOKUP(特质表!C48,$C$2:$I$173,4,0),IFERROR(VLOOKUP(特质表!D48,$C$2:$I$173,4,0),""))</f>
        <v/>
      </c>
      <c r="N47" s="106" t="str">
        <f>IFERROR(VLOOKUP(特质表!C48,$C$2:$I$173,6,0),IFERROR(VLOOKUP(特质表!D48,$C$2:$I$173,6,0),""))</f>
        <v/>
      </c>
    </row>
    <row r="48" ht="64.8" spans="3:14">
      <c r="C48" s="111" t="s">
        <v>933</v>
      </c>
      <c r="D48" s="112" t="s">
        <v>1749</v>
      </c>
      <c r="E48" s="112" t="s">
        <v>934</v>
      </c>
      <c r="F48" s="112" t="s">
        <v>1750</v>
      </c>
      <c r="G48" s="113" t="s">
        <v>935</v>
      </c>
      <c r="H48" s="113" t="s">
        <v>1751</v>
      </c>
      <c r="I48" s="113">
        <v>25</v>
      </c>
      <c r="L48" s="106" t="str">
        <f>IFERROR(VLOOKUP(特质表!C49,$C$2:$I$173,2,0),IFERROR(VLOOKUP(特质表!D49,$C$2:$I$173,2,0),""))</f>
        <v/>
      </c>
      <c r="M48" s="106" t="str">
        <f>IFERROR(VLOOKUP(特质表!C49,$C$2:$I$173,4,0),IFERROR(VLOOKUP(特质表!D49,$C$2:$I$173,4,0),""))</f>
        <v/>
      </c>
      <c r="N48" s="106" t="str">
        <f>IFERROR(VLOOKUP(特质表!C49,$C$2:$I$173,6,0),IFERROR(VLOOKUP(特质表!D49,$C$2:$I$173,6,0),""))</f>
        <v/>
      </c>
    </row>
    <row r="49" ht="32.4" spans="3:14">
      <c r="C49" s="111" t="s">
        <v>936</v>
      </c>
      <c r="D49" s="112" t="s">
        <v>1752</v>
      </c>
      <c r="E49" s="112" t="s">
        <v>937</v>
      </c>
      <c r="F49" s="112" t="s">
        <v>1753</v>
      </c>
      <c r="G49" s="113" t="s">
        <v>938</v>
      </c>
      <c r="H49" s="113" t="s">
        <v>1754</v>
      </c>
      <c r="I49" s="113">
        <v>10</v>
      </c>
      <c r="L49" s="106" t="str">
        <f>IFERROR(VLOOKUP(特质表!C50,$C$2:$I$173,2,0),IFERROR(VLOOKUP(特质表!D50,$C$2:$I$173,2,0),""))</f>
        <v/>
      </c>
      <c r="M49" s="106" t="str">
        <f>IFERROR(VLOOKUP(特质表!C50,$C$2:$I$173,4,0),IFERROR(VLOOKUP(特质表!D50,$C$2:$I$173,4,0),""))</f>
        <v/>
      </c>
      <c r="N49" s="106" t="str">
        <f>IFERROR(VLOOKUP(特质表!C50,$C$2:$I$173,6,0),IFERROR(VLOOKUP(特质表!D50,$C$2:$I$173,6,0),""))</f>
        <v/>
      </c>
    </row>
    <row r="50" ht="48.6" spans="3:14">
      <c r="C50" s="111" t="s">
        <v>939</v>
      </c>
      <c r="D50" s="112" t="s">
        <v>1755</v>
      </c>
      <c r="E50" s="112" t="s">
        <v>940</v>
      </c>
      <c r="F50" s="112" t="s">
        <v>1756</v>
      </c>
      <c r="G50" s="113" t="s">
        <v>941</v>
      </c>
      <c r="H50" s="113" t="s">
        <v>1757</v>
      </c>
      <c r="I50" s="113">
        <v>10</v>
      </c>
      <c r="L50" s="106" t="str">
        <f>IFERROR(VLOOKUP(特质表!C51,$C$2:$I$173,2,0),IFERROR(VLOOKUP(特质表!D51,$C$2:$I$173,2,0),""))</f>
        <v/>
      </c>
      <c r="M50" s="106" t="str">
        <f>IFERROR(VLOOKUP(特质表!C51,$C$2:$I$173,4,0),IFERROR(VLOOKUP(特质表!D51,$C$2:$I$173,4,0),""))</f>
        <v/>
      </c>
      <c r="N50" s="106" t="str">
        <f>IFERROR(VLOOKUP(特质表!C51,$C$2:$I$173,6,0),IFERROR(VLOOKUP(特质表!D51,$C$2:$I$173,6,0),""))</f>
        <v/>
      </c>
    </row>
    <row r="51" ht="48.6" spans="3:14">
      <c r="C51" s="111" t="s">
        <v>942</v>
      </c>
      <c r="D51" s="112" t="s">
        <v>1758</v>
      </c>
      <c r="E51" s="112" t="s">
        <v>943</v>
      </c>
      <c r="F51" s="112" t="s">
        <v>1759</v>
      </c>
      <c r="G51" s="113" t="s">
        <v>944</v>
      </c>
      <c r="H51" s="113" t="s">
        <v>1760</v>
      </c>
      <c r="I51" s="113">
        <v>10</v>
      </c>
      <c r="L51" s="106" t="str">
        <f>IFERROR(VLOOKUP(特质表!C52,$C$2:$I$173,2,0),IFERROR(VLOOKUP(特质表!D52,$C$2:$I$173,2,0),""))</f>
        <v/>
      </c>
      <c r="M51" s="106" t="str">
        <f>IFERROR(VLOOKUP(特质表!C52,$C$2:$I$173,4,0),IFERROR(VLOOKUP(特质表!D52,$C$2:$I$173,4,0),""))</f>
        <v/>
      </c>
      <c r="N51" s="106" t="str">
        <f>IFERROR(VLOOKUP(特质表!C52,$C$2:$I$173,6,0),IFERROR(VLOOKUP(特质表!D52,$C$2:$I$173,6,0),""))</f>
        <v/>
      </c>
    </row>
    <row r="52" spans="3:14">
      <c r="C52" s="111" t="s">
        <v>945</v>
      </c>
      <c r="D52" s="112" t="s">
        <v>1761</v>
      </c>
      <c r="E52" s="112" t="s">
        <v>946</v>
      </c>
      <c r="F52" s="112" t="s">
        <v>1762</v>
      </c>
      <c r="G52" s="113" t="s">
        <v>947</v>
      </c>
      <c r="H52" s="113" t="s">
        <v>1763</v>
      </c>
      <c r="I52" s="113">
        <v>10</v>
      </c>
      <c r="L52" s="106" t="str">
        <f>IFERROR(VLOOKUP(特质表!C53,$C$2:$I$173,2,0),IFERROR(VLOOKUP(特质表!D53,$C$2:$I$173,2,0),""))</f>
        <v/>
      </c>
      <c r="M52" s="106" t="str">
        <f>IFERROR(VLOOKUP(特质表!C53,$C$2:$I$173,4,0),IFERROR(VLOOKUP(特质表!D53,$C$2:$I$173,4,0),""))</f>
        <v/>
      </c>
      <c r="N52" s="106" t="str">
        <f>IFERROR(VLOOKUP(特质表!C53,$C$2:$I$173,6,0),IFERROR(VLOOKUP(特质表!D53,$C$2:$I$173,6,0),""))</f>
        <v/>
      </c>
    </row>
    <row r="53" spans="3:14">
      <c r="C53" s="111" t="s">
        <v>948</v>
      </c>
      <c r="D53" s="112" t="s">
        <v>1764</v>
      </c>
      <c r="E53" s="112" t="s">
        <v>949</v>
      </c>
      <c r="F53" s="112" t="s">
        <v>1765</v>
      </c>
      <c r="G53" s="113" t="s">
        <v>950</v>
      </c>
      <c r="H53" s="113" t="s">
        <v>1766</v>
      </c>
      <c r="I53" s="113">
        <v>10</v>
      </c>
      <c r="L53" s="106" t="str">
        <f>IFERROR(VLOOKUP(特质表!C54,$C$2:$I$173,2,0),IFERROR(VLOOKUP(特质表!D54,$C$2:$I$173,2,0),""))</f>
        <v/>
      </c>
      <c r="M53" s="106" t="str">
        <f>IFERROR(VLOOKUP(特质表!C54,$C$2:$I$173,4,0),IFERROR(VLOOKUP(特质表!D54,$C$2:$I$173,4,0),""))</f>
        <v/>
      </c>
      <c r="N53" s="106" t="str">
        <f>IFERROR(VLOOKUP(特质表!C54,$C$2:$I$173,6,0),IFERROR(VLOOKUP(特质表!D54,$C$2:$I$173,6,0),""))</f>
        <v/>
      </c>
    </row>
    <row r="54" ht="32.4" spans="3:14">
      <c r="C54" s="111" t="s">
        <v>951</v>
      </c>
      <c r="D54" s="112" t="s">
        <v>1767</v>
      </c>
      <c r="E54" s="112" t="s">
        <v>952</v>
      </c>
      <c r="F54" s="112" t="s">
        <v>1768</v>
      </c>
      <c r="G54" s="113" t="s">
        <v>953</v>
      </c>
      <c r="H54" s="113" t="s">
        <v>1769</v>
      </c>
      <c r="I54" s="113">
        <v>15</v>
      </c>
      <c r="L54" s="106" t="str">
        <f>IFERROR(VLOOKUP(特质表!C55,$C$2:$I$173,2,0),IFERROR(VLOOKUP(特质表!D55,$C$2:$I$173,2,0),""))</f>
        <v/>
      </c>
      <c r="M54" s="106" t="str">
        <f>IFERROR(VLOOKUP(特质表!C55,$C$2:$I$173,4,0),IFERROR(VLOOKUP(特质表!D55,$C$2:$I$173,4,0),""))</f>
        <v/>
      </c>
      <c r="N54" s="106" t="str">
        <f>IFERROR(VLOOKUP(特质表!C55,$C$2:$I$173,6,0),IFERROR(VLOOKUP(特质表!D55,$C$2:$I$173,6,0),""))</f>
        <v/>
      </c>
    </row>
    <row r="55" ht="32.4" spans="3:14">
      <c r="C55" s="111" t="s">
        <v>954</v>
      </c>
      <c r="D55" s="112" t="s">
        <v>1770</v>
      </c>
      <c r="E55" s="112" t="s">
        <v>955</v>
      </c>
      <c r="F55" s="112" t="s">
        <v>1771</v>
      </c>
      <c r="G55" s="113" t="s">
        <v>956</v>
      </c>
      <c r="H55" s="113" t="s">
        <v>1772</v>
      </c>
      <c r="I55" s="113">
        <v>10</v>
      </c>
      <c r="L55" s="106" t="str">
        <f>IFERROR(VLOOKUP(特质表!C56,$C$2:$I$173,2,0),IFERROR(VLOOKUP(特质表!D56,$C$2:$I$173,2,0),""))</f>
        <v/>
      </c>
      <c r="M55" s="106" t="str">
        <f>IFERROR(VLOOKUP(特质表!C56,$C$2:$I$173,4,0),IFERROR(VLOOKUP(特质表!D56,$C$2:$I$173,4,0),""))</f>
        <v/>
      </c>
      <c r="N55" s="106" t="str">
        <f>IFERROR(VLOOKUP(特质表!C56,$C$2:$I$173,6,0),IFERROR(VLOOKUP(特质表!D56,$C$2:$I$173,6,0),""))</f>
        <v/>
      </c>
    </row>
    <row r="56" ht="48.6" spans="3:14">
      <c r="C56" s="111" t="s">
        <v>957</v>
      </c>
      <c r="D56" s="112" t="s">
        <v>1773</v>
      </c>
      <c r="E56" s="112" t="s">
        <v>958</v>
      </c>
      <c r="F56" s="112" t="s">
        <v>1774</v>
      </c>
      <c r="G56" s="113" t="s">
        <v>959</v>
      </c>
      <c r="H56" s="113" t="s">
        <v>1775</v>
      </c>
      <c r="I56" s="113">
        <v>15</v>
      </c>
      <c r="L56" s="106" t="str">
        <f>IFERROR(VLOOKUP(特质表!C57,$C$2:$I$173,2,0),IFERROR(VLOOKUP(特质表!D57,$C$2:$I$173,2,0),""))</f>
        <v/>
      </c>
      <c r="M56" s="106" t="str">
        <f>IFERROR(VLOOKUP(特质表!C57,$C$2:$I$173,4,0),IFERROR(VLOOKUP(特质表!D57,$C$2:$I$173,4,0),""))</f>
        <v/>
      </c>
      <c r="N56" s="106" t="str">
        <f>IFERROR(VLOOKUP(特质表!C57,$C$2:$I$173,6,0),IFERROR(VLOOKUP(特质表!D57,$C$2:$I$173,6,0),""))</f>
        <v/>
      </c>
    </row>
    <row r="57" ht="32.4" spans="3:14">
      <c r="C57" s="111" t="s">
        <v>960</v>
      </c>
      <c r="D57" s="112" t="s">
        <v>1776</v>
      </c>
      <c r="E57" s="112" t="s">
        <v>961</v>
      </c>
      <c r="F57" s="112" t="s">
        <v>1777</v>
      </c>
      <c r="G57" s="113" t="s">
        <v>962</v>
      </c>
      <c r="H57" s="113" t="s">
        <v>1778</v>
      </c>
      <c r="I57" s="113">
        <v>10</v>
      </c>
      <c r="L57" s="106" t="str">
        <f>IFERROR(VLOOKUP(特质表!C58,$C$2:$I$173,2,0),IFERROR(VLOOKUP(特质表!D58,$C$2:$I$173,2,0),""))</f>
        <v/>
      </c>
      <c r="M57" s="106" t="str">
        <f>IFERROR(VLOOKUP(特质表!C58,$C$2:$I$173,4,0),IFERROR(VLOOKUP(特质表!D58,$C$2:$I$173,4,0),""))</f>
        <v/>
      </c>
      <c r="N57" s="106" t="str">
        <f>IFERROR(VLOOKUP(特质表!C58,$C$2:$I$173,6,0),IFERROR(VLOOKUP(特质表!D58,$C$2:$I$173,6,0),""))</f>
        <v/>
      </c>
    </row>
    <row r="58" ht="32.4" spans="3:14">
      <c r="C58" s="111" t="s">
        <v>963</v>
      </c>
      <c r="D58" s="112" t="s">
        <v>1779</v>
      </c>
      <c r="E58" s="112" t="s">
        <v>964</v>
      </c>
      <c r="F58" s="112" t="s">
        <v>1780</v>
      </c>
      <c r="G58" s="113" t="s">
        <v>965</v>
      </c>
      <c r="H58" s="113" t="s">
        <v>1781</v>
      </c>
      <c r="I58" s="113">
        <v>10</v>
      </c>
      <c r="L58" s="106" t="str">
        <f>IFERROR(VLOOKUP(特质表!C59,$C$2:$I$173,2,0),IFERROR(VLOOKUP(特质表!D59,$C$2:$I$173,2,0),""))</f>
        <v/>
      </c>
      <c r="M58" s="106" t="str">
        <f>IFERROR(VLOOKUP(特质表!C59,$C$2:$I$173,4,0),IFERROR(VLOOKUP(特质表!D59,$C$2:$I$173,4,0),""))</f>
        <v/>
      </c>
      <c r="N58" s="106" t="str">
        <f>IFERROR(VLOOKUP(特质表!C59,$C$2:$I$173,6,0),IFERROR(VLOOKUP(特质表!D59,$C$2:$I$173,6,0),""))</f>
        <v/>
      </c>
    </row>
    <row r="59" ht="64.8" spans="3:14">
      <c r="C59" s="111" t="s">
        <v>966</v>
      </c>
      <c r="D59" s="112" t="s">
        <v>1782</v>
      </c>
      <c r="E59" s="112" t="s">
        <v>967</v>
      </c>
      <c r="F59" s="112" t="s">
        <v>1783</v>
      </c>
      <c r="G59" s="113" t="s">
        <v>968</v>
      </c>
      <c r="H59" s="113" t="s">
        <v>1784</v>
      </c>
      <c r="I59" s="113">
        <v>10</v>
      </c>
      <c r="L59" s="106" t="str">
        <f>IFERROR(VLOOKUP(特质表!C60,$C$2:$I$173,2,0),IFERROR(VLOOKUP(特质表!D60,$C$2:$I$173,2,0),""))</f>
        <v/>
      </c>
      <c r="M59" s="106" t="str">
        <f>IFERROR(VLOOKUP(特质表!C60,$C$2:$I$173,4,0),IFERROR(VLOOKUP(特质表!D60,$C$2:$I$173,4,0),""))</f>
        <v/>
      </c>
      <c r="N59" s="106" t="str">
        <f>IFERROR(VLOOKUP(特质表!C60,$C$2:$I$173,6,0),IFERROR(VLOOKUP(特质表!D60,$C$2:$I$173,6,0),""))</f>
        <v/>
      </c>
    </row>
    <row r="60" spans="3:14">
      <c r="C60" s="111" t="s">
        <v>969</v>
      </c>
      <c r="D60" s="112" t="s">
        <v>1785</v>
      </c>
      <c r="E60" s="112" t="s">
        <v>970</v>
      </c>
      <c r="F60" s="112" t="s">
        <v>1786</v>
      </c>
      <c r="G60" s="113" t="s">
        <v>971</v>
      </c>
      <c r="H60" s="113" t="s">
        <v>1787</v>
      </c>
      <c r="I60" s="113">
        <v>5</v>
      </c>
      <c r="L60" s="106" t="str">
        <f>IFERROR(VLOOKUP(特质表!C61,$C$2:$I$173,2,0),IFERROR(VLOOKUP(特质表!D61,$C$2:$I$173,2,0),""))</f>
        <v/>
      </c>
      <c r="M60" s="106" t="str">
        <f>IFERROR(VLOOKUP(特质表!C61,$C$2:$I$173,4,0),IFERROR(VLOOKUP(特质表!D61,$C$2:$I$173,4,0),""))</f>
        <v/>
      </c>
      <c r="N60" s="106" t="str">
        <f>IFERROR(VLOOKUP(特质表!C61,$C$2:$I$173,6,0),IFERROR(VLOOKUP(特质表!D61,$C$2:$I$173,6,0),""))</f>
        <v/>
      </c>
    </row>
    <row r="61" spans="3:14">
      <c r="C61" s="111" t="s">
        <v>972</v>
      </c>
      <c r="D61" s="112" t="s">
        <v>1788</v>
      </c>
      <c r="E61" s="112" t="s">
        <v>973</v>
      </c>
      <c r="F61" s="112" t="s">
        <v>1789</v>
      </c>
      <c r="G61" s="113" t="s">
        <v>971</v>
      </c>
      <c r="H61" s="113" t="s">
        <v>1790</v>
      </c>
      <c r="I61" s="113">
        <v>5</v>
      </c>
      <c r="L61" s="106" t="str">
        <f>IFERROR(VLOOKUP(特质表!C62,$C$2:$I$173,2,0),IFERROR(VLOOKUP(特质表!D62,$C$2:$I$173,2,0),""))</f>
        <v/>
      </c>
      <c r="M61" s="106" t="str">
        <f>IFERROR(VLOOKUP(特质表!C62,$C$2:$I$173,4,0),IFERROR(VLOOKUP(特质表!D62,$C$2:$I$173,4,0),""))</f>
        <v/>
      </c>
      <c r="N61" s="106" t="str">
        <f>IFERROR(VLOOKUP(特质表!C62,$C$2:$I$173,6,0),IFERROR(VLOOKUP(特质表!D62,$C$2:$I$173,6,0),""))</f>
        <v/>
      </c>
    </row>
    <row r="62" spans="3:14">
      <c r="C62" s="111" t="s">
        <v>974</v>
      </c>
      <c r="D62" s="112" t="s">
        <v>1791</v>
      </c>
      <c r="E62" s="112" t="s">
        <v>975</v>
      </c>
      <c r="F62" s="112" t="s">
        <v>1792</v>
      </c>
      <c r="G62" s="113" t="s">
        <v>971</v>
      </c>
      <c r="H62" s="113" t="s">
        <v>1793</v>
      </c>
      <c r="I62" s="113">
        <v>5</v>
      </c>
      <c r="L62" s="106" t="str">
        <f>IFERROR(VLOOKUP(特质表!C63,$C$2:$I$173,2,0),IFERROR(VLOOKUP(特质表!D63,$C$2:$I$173,2,0),""))</f>
        <v/>
      </c>
      <c r="M62" s="106" t="str">
        <f>IFERROR(VLOOKUP(特质表!C63,$C$2:$I$173,4,0),IFERROR(VLOOKUP(特质表!D63,$C$2:$I$173,4,0),""))</f>
        <v/>
      </c>
      <c r="N62" s="106" t="str">
        <f>IFERROR(VLOOKUP(特质表!C63,$C$2:$I$173,6,0),IFERROR(VLOOKUP(特质表!D63,$C$2:$I$173,6,0),""))</f>
        <v/>
      </c>
    </row>
    <row r="63" ht="64.8" spans="3:14">
      <c r="C63" s="111" t="s">
        <v>976</v>
      </c>
      <c r="D63" s="112" t="s">
        <v>1794</v>
      </c>
      <c r="E63" s="112" t="s">
        <v>977</v>
      </c>
      <c r="F63" s="112" t="s">
        <v>1795</v>
      </c>
      <c r="G63" s="113" t="s">
        <v>978</v>
      </c>
      <c r="H63" s="113" t="s">
        <v>1796</v>
      </c>
      <c r="I63" s="113">
        <v>10</v>
      </c>
      <c r="L63" s="106" t="str">
        <f>IFERROR(VLOOKUP(特质表!C64,$C$2:$I$173,2,0),IFERROR(VLOOKUP(特质表!D64,$C$2:$I$173,2,0),""))</f>
        <v/>
      </c>
      <c r="M63" s="106" t="str">
        <f>IFERROR(VLOOKUP(特质表!C64,$C$2:$I$173,4,0),IFERROR(VLOOKUP(特质表!D64,$C$2:$I$173,4,0),""))</f>
        <v/>
      </c>
      <c r="N63" s="106" t="str">
        <f>IFERROR(VLOOKUP(特质表!C64,$C$2:$I$173,6,0),IFERROR(VLOOKUP(特质表!D64,$C$2:$I$173,6,0),""))</f>
        <v/>
      </c>
    </row>
    <row r="64" ht="32.4" spans="3:14">
      <c r="C64" s="111" t="s">
        <v>979</v>
      </c>
      <c r="D64" s="112" t="s">
        <v>1797</v>
      </c>
      <c r="E64" s="112" t="s">
        <v>980</v>
      </c>
      <c r="F64" s="112" t="s">
        <v>1798</v>
      </c>
      <c r="G64" s="113" t="s">
        <v>981</v>
      </c>
      <c r="H64" s="113" t="s">
        <v>1799</v>
      </c>
      <c r="I64" s="113">
        <v>5</v>
      </c>
      <c r="L64" s="106" t="str">
        <f>IFERROR(VLOOKUP(特质表!C65,$C$2:$I$173,2,0),IFERROR(VLOOKUP(特质表!D65,$C$2:$I$173,2,0),""))</f>
        <v/>
      </c>
      <c r="M64" s="106" t="str">
        <f>IFERROR(VLOOKUP(特质表!C65,$C$2:$I$173,4,0),IFERROR(VLOOKUP(特质表!D65,$C$2:$I$173,4,0),""))</f>
        <v/>
      </c>
      <c r="N64" s="106" t="str">
        <f>IFERROR(VLOOKUP(特质表!C65,$C$2:$I$173,6,0),IFERROR(VLOOKUP(特质表!D65,$C$2:$I$173,6,0),""))</f>
        <v/>
      </c>
    </row>
    <row r="65" ht="32.4" spans="3:14">
      <c r="C65" s="111" t="s">
        <v>34</v>
      </c>
      <c r="D65" s="112" t="s">
        <v>1800</v>
      </c>
      <c r="E65" s="112" t="s">
        <v>982</v>
      </c>
      <c r="F65" s="112" t="s">
        <v>1801</v>
      </c>
      <c r="G65" s="113" t="s">
        <v>983</v>
      </c>
      <c r="H65" s="113" t="s">
        <v>1802</v>
      </c>
      <c r="I65" s="113">
        <v>5</v>
      </c>
      <c r="L65" s="106" t="str">
        <f>IFERROR(VLOOKUP(特质表!C66,$C$2:$I$173,2,0),IFERROR(VLOOKUP(特质表!D66,$C$2:$I$173,2,0),""))</f>
        <v/>
      </c>
      <c r="M65" s="106" t="str">
        <f>IFERROR(VLOOKUP(特质表!C66,$C$2:$I$173,4,0),IFERROR(VLOOKUP(特质表!D66,$C$2:$I$173,4,0),""))</f>
        <v/>
      </c>
      <c r="N65" s="106" t="str">
        <f>IFERROR(VLOOKUP(特质表!C66,$C$2:$I$173,6,0),IFERROR(VLOOKUP(特质表!D66,$C$2:$I$173,6,0),""))</f>
        <v/>
      </c>
    </row>
    <row r="66" ht="64.8" spans="3:14">
      <c r="C66" s="111" t="s">
        <v>984</v>
      </c>
      <c r="D66" s="112" t="s">
        <v>1803</v>
      </c>
      <c r="E66" s="112" t="s">
        <v>985</v>
      </c>
      <c r="F66" s="112" t="s">
        <v>1804</v>
      </c>
      <c r="G66" s="113" t="s">
        <v>986</v>
      </c>
      <c r="H66" s="113" t="s">
        <v>1805</v>
      </c>
      <c r="I66" s="113">
        <v>10</v>
      </c>
      <c r="L66" s="106" t="str">
        <f>IFERROR(VLOOKUP(特质表!C67,$C$2:$I$173,2,0),IFERROR(VLOOKUP(特质表!D67,$C$2:$I$173,2,0),""))</f>
        <v/>
      </c>
      <c r="M66" s="106" t="str">
        <f>IFERROR(VLOOKUP(特质表!C67,$C$2:$I$173,4,0),IFERROR(VLOOKUP(特质表!D67,$C$2:$I$173,4,0),""))</f>
        <v/>
      </c>
      <c r="N66" s="106" t="str">
        <f>IFERROR(VLOOKUP(特质表!C67,$C$2:$I$173,6,0),IFERROR(VLOOKUP(特质表!D67,$C$2:$I$173,6,0),""))</f>
        <v/>
      </c>
    </row>
    <row r="67" ht="48.6" spans="3:14">
      <c r="C67" s="111" t="s">
        <v>987</v>
      </c>
      <c r="D67" s="112" t="s">
        <v>1806</v>
      </c>
      <c r="E67" s="112" t="s">
        <v>988</v>
      </c>
      <c r="F67" s="112" t="s">
        <v>1807</v>
      </c>
      <c r="G67" s="113" t="s">
        <v>989</v>
      </c>
      <c r="H67" s="113" t="s">
        <v>1808</v>
      </c>
      <c r="I67" s="113">
        <v>10</v>
      </c>
      <c r="L67" s="106" t="str">
        <f>IFERROR(VLOOKUP(特质表!C68,$C$2:$I$173,2,0),IFERROR(VLOOKUP(特质表!D68,$C$2:$I$173,2,0),""))</f>
        <v/>
      </c>
      <c r="M67" s="106" t="str">
        <f>IFERROR(VLOOKUP(特质表!C68,$C$2:$I$173,4,0),IFERROR(VLOOKUP(特质表!D68,$C$2:$I$173,4,0),""))</f>
        <v/>
      </c>
      <c r="N67" s="106" t="str">
        <f>IFERROR(VLOOKUP(特质表!C68,$C$2:$I$173,6,0),IFERROR(VLOOKUP(特质表!D68,$C$2:$I$173,6,0),""))</f>
        <v/>
      </c>
    </row>
    <row r="68" ht="81" spans="3:14">
      <c r="C68" s="111" t="s">
        <v>1809</v>
      </c>
      <c r="D68" s="112" t="s">
        <v>1810</v>
      </c>
      <c r="E68" s="112"/>
      <c r="F68" s="112" t="s">
        <v>1811</v>
      </c>
      <c r="G68" s="113"/>
      <c r="H68" s="113" t="s">
        <v>1812</v>
      </c>
      <c r="I68" s="113"/>
      <c r="L68" s="106" t="str">
        <f>IFERROR(VLOOKUP(特质表!C69,$C$2:$I$173,2,0),IFERROR(VLOOKUP(特质表!D69,$C$2:$I$173,2,0),""))</f>
        <v/>
      </c>
      <c r="M68" s="106" t="str">
        <f>IFERROR(VLOOKUP(特质表!C69,$C$2:$I$173,4,0),IFERROR(VLOOKUP(特质表!D69,$C$2:$I$173,4,0),""))</f>
        <v/>
      </c>
      <c r="N68" s="106" t="str">
        <f>IFERROR(VLOOKUP(特质表!C69,$C$2:$I$173,6,0),IFERROR(VLOOKUP(特质表!D69,$C$2:$I$173,6,0),""))</f>
        <v/>
      </c>
    </row>
    <row r="69" ht="113.4" spans="3:14">
      <c r="C69" s="111" t="s">
        <v>991</v>
      </c>
      <c r="D69" s="112" t="s">
        <v>1813</v>
      </c>
      <c r="E69" s="112" t="s">
        <v>992</v>
      </c>
      <c r="F69" s="112" t="s">
        <v>1814</v>
      </c>
      <c r="G69" s="113" t="s">
        <v>993</v>
      </c>
      <c r="H69" s="113" t="s">
        <v>1815</v>
      </c>
      <c r="I69" s="113">
        <v>0</v>
      </c>
      <c r="L69" s="106" t="str">
        <f>IFERROR(VLOOKUP(特质表!C70,$C$2:$I$173,2,0),IFERROR(VLOOKUP(特质表!D70,$C$2:$I$173,2,0),""))</f>
        <v/>
      </c>
      <c r="M69" s="106" t="str">
        <f>IFERROR(VLOOKUP(特质表!C70,$C$2:$I$173,4,0),IFERROR(VLOOKUP(特质表!D70,$C$2:$I$173,4,0),""))</f>
        <v/>
      </c>
      <c r="N69" s="106" t="str">
        <f>IFERROR(VLOOKUP(特质表!C70,$C$2:$I$173,6,0),IFERROR(VLOOKUP(特质表!D70,$C$2:$I$173,6,0),""))</f>
        <v/>
      </c>
    </row>
    <row r="70" spans="3:14">
      <c r="C70" s="111" t="s">
        <v>994</v>
      </c>
      <c r="D70" s="112" t="s">
        <v>1816</v>
      </c>
      <c r="E70" s="112" t="s">
        <v>995</v>
      </c>
      <c r="F70" s="112" t="s">
        <v>1817</v>
      </c>
      <c r="G70" s="113" t="s">
        <v>996</v>
      </c>
      <c r="H70" s="113" t="s">
        <v>1818</v>
      </c>
      <c r="I70" s="113">
        <v>-20</v>
      </c>
      <c r="L70" s="106" t="str">
        <f>IFERROR(VLOOKUP(特质表!C71,$C$2:$I$173,2,0),IFERROR(VLOOKUP(特质表!D71,$C$2:$I$173,2,0),""))</f>
        <v/>
      </c>
      <c r="M70" s="106" t="str">
        <f>IFERROR(VLOOKUP(特质表!C71,$C$2:$I$173,4,0),IFERROR(VLOOKUP(特质表!D71,$C$2:$I$173,4,0),""))</f>
        <v/>
      </c>
      <c r="N70" s="106" t="str">
        <f>IFERROR(VLOOKUP(特质表!C71,$C$2:$I$173,6,0),IFERROR(VLOOKUP(特质表!D71,$C$2:$I$173,6,0),""))</f>
        <v/>
      </c>
    </row>
    <row r="71" ht="129.6" spans="3:14">
      <c r="C71" s="111" t="s">
        <v>997</v>
      </c>
      <c r="D71" s="112" t="s">
        <v>1819</v>
      </c>
      <c r="E71" s="112" t="s">
        <v>998</v>
      </c>
      <c r="F71" s="112" t="s">
        <v>1820</v>
      </c>
      <c r="G71" s="113" t="s">
        <v>999</v>
      </c>
      <c r="H71" s="113" t="s">
        <v>1821</v>
      </c>
      <c r="I71" s="113">
        <v>0</v>
      </c>
      <c r="L71" s="106" t="str">
        <f>IFERROR(VLOOKUP(特质表!C72,$C$2:$I$173,2,0),IFERROR(VLOOKUP(特质表!D72,$C$2:$I$173,2,0),""))</f>
        <v/>
      </c>
      <c r="M71" s="106" t="str">
        <f>IFERROR(VLOOKUP(特质表!C72,$C$2:$I$173,4,0),IFERROR(VLOOKUP(特质表!D72,$C$2:$I$173,4,0),""))</f>
        <v/>
      </c>
      <c r="N71" s="106" t="str">
        <f>IFERROR(VLOOKUP(特质表!C72,$C$2:$I$173,6,0),IFERROR(VLOOKUP(特质表!D72,$C$2:$I$173,6,0),""))</f>
        <v/>
      </c>
    </row>
    <row r="72" ht="32.4" spans="3:14">
      <c r="C72" s="111" t="s">
        <v>1000</v>
      </c>
      <c r="D72" s="112" t="s">
        <v>1822</v>
      </c>
      <c r="E72" s="112" t="s">
        <v>1001</v>
      </c>
      <c r="F72" s="112" t="s">
        <v>1823</v>
      </c>
      <c r="G72" s="113" t="s">
        <v>1002</v>
      </c>
      <c r="H72" s="113" t="s">
        <v>1824</v>
      </c>
      <c r="I72" s="113">
        <v>-10</v>
      </c>
      <c r="L72" s="106" t="str">
        <f>IFERROR(VLOOKUP(特质表!C73,$C$2:$I$173,2,0),IFERROR(VLOOKUP(特质表!D73,$C$2:$I$173,2,0),""))</f>
        <v/>
      </c>
      <c r="M72" s="106" t="str">
        <f>IFERROR(VLOOKUP(特质表!C73,$C$2:$I$173,4,0),IFERROR(VLOOKUP(特质表!D73,$C$2:$I$173,4,0),""))</f>
        <v/>
      </c>
      <c r="N72" s="106" t="str">
        <f>IFERROR(VLOOKUP(特质表!C73,$C$2:$I$173,6,0),IFERROR(VLOOKUP(特质表!D73,$C$2:$I$173,6,0),""))</f>
        <v/>
      </c>
    </row>
    <row r="73" ht="64.8" spans="3:14">
      <c r="C73" s="111" t="s">
        <v>1003</v>
      </c>
      <c r="D73" s="112" t="s">
        <v>1825</v>
      </c>
      <c r="E73" s="112" t="s">
        <v>1004</v>
      </c>
      <c r="F73" s="112" t="s">
        <v>1826</v>
      </c>
      <c r="G73" s="113" t="s">
        <v>1005</v>
      </c>
      <c r="H73" s="113" t="s">
        <v>1827</v>
      </c>
      <c r="I73" s="113">
        <v>-20</v>
      </c>
      <c r="L73" s="106" t="str">
        <f>IFERROR(VLOOKUP(特质表!C74,$C$2:$I$173,2,0),IFERROR(VLOOKUP(特质表!D74,$C$2:$I$173,2,0),""))</f>
        <v/>
      </c>
      <c r="M73" s="106" t="str">
        <f>IFERROR(VLOOKUP(特质表!C74,$C$2:$I$173,4,0),IFERROR(VLOOKUP(特质表!D74,$C$2:$I$173,4,0),""))</f>
        <v/>
      </c>
      <c r="N73" s="106" t="str">
        <f>IFERROR(VLOOKUP(特质表!C74,$C$2:$I$173,6,0),IFERROR(VLOOKUP(特质表!D74,$C$2:$I$173,6,0),""))</f>
        <v/>
      </c>
    </row>
    <row r="74" ht="64.8" spans="3:14">
      <c r="C74" s="111" t="s">
        <v>1006</v>
      </c>
      <c r="D74" s="112" t="s">
        <v>1828</v>
      </c>
      <c r="E74" s="112" t="s">
        <v>1007</v>
      </c>
      <c r="F74" s="112" t="s">
        <v>1829</v>
      </c>
      <c r="G74" s="113" t="s">
        <v>1008</v>
      </c>
      <c r="H74" s="113" t="s">
        <v>1830</v>
      </c>
      <c r="I74" s="113">
        <v>-15</v>
      </c>
      <c r="L74" s="106" t="str">
        <f>IFERROR(VLOOKUP(特质表!C75,$C$2:$I$173,2,0),IFERROR(VLOOKUP(特质表!D75,$C$2:$I$173,2,0),""))</f>
        <v/>
      </c>
      <c r="M74" s="106" t="str">
        <f>IFERROR(VLOOKUP(特质表!C75,$C$2:$I$173,4,0),IFERROR(VLOOKUP(特质表!D75,$C$2:$I$173,4,0),""))</f>
        <v/>
      </c>
      <c r="N74" s="106" t="str">
        <f>IFERROR(VLOOKUP(特质表!C75,$C$2:$I$173,6,0),IFERROR(VLOOKUP(特质表!D75,$C$2:$I$173,6,0),""))</f>
        <v/>
      </c>
    </row>
    <row r="75" ht="32.4" spans="3:14">
      <c r="C75" s="111" t="s">
        <v>1009</v>
      </c>
      <c r="D75" s="112" t="s">
        <v>1831</v>
      </c>
      <c r="E75" s="112" t="s">
        <v>1010</v>
      </c>
      <c r="F75" s="112" t="s">
        <v>1832</v>
      </c>
      <c r="G75" s="113" t="s">
        <v>1011</v>
      </c>
      <c r="H75" s="113" t="s">
        <v>1833</v>
      </c>
      <c r="I75" s="113">
        <v>-10</v>
      </c>
      <c r="L75" s="106" t="str">
        <f>IFERROR(VLOOKUP(特质表!C76,$C$2:$I$173,2,0),IFERROR(VLOOKUP(特质表!D76,$C$2:$I$173,2,0),""))</f>
        <v/>
      </c>
      <c r="M75" s="106" t="str">
        <f>IFERROR(VLOOKUP(特质表!C76,$C$2:$I$173,4,0),IFERROR(VLOOKUP(特质表!D76,$C$2:$I$173,4,0),""))</f>
        <v/>
      </c>
      <c r="N75" s="106" t="str">
        <f>IFERROR(VLOOKUP(特质表!C76,$C$2:$I$173,6,0),IFERROR(VLOOKUP(特质表!D76,$C$2:$I$173,6,0),""))</f>
        <v/>
      </c>
    </row>
    <row r="76" ht="32.4" spans="3:14">
      <c r="C76" s="111" t="s">
        <v>1012</v>
      </c>
      <c r="D76" s="112" t="s">
        <v>1834</v>
      </c>
      <c r="E76" s="112" t="s">
        <v>1013</v>
      </c>
      <c r="F76" s="112" t="s">
        <v>1835</v>
      </c>
      <c r="G76" s="113" t="s">
        <v>1014</v>
      </c>
      <c r="H76" s="113" t="s">
        <v>1836</v>
      </c>
      <c r="I76" s="113">
        <v>-25</v>
      </c>
      <c r="L76" s="106" t="str">
        <f>IFERROR(VLOOKUP(特质表!C77,$C$2:$I$173,2,0),IFERROR(VLOOKUP(特质表!D77,$C$2:$I$173,2,0),""))</f>
        <v/>
      </c>
      <c r="M76" s="106" t="str">
        <f>IFERROR(VLOOKUP(特质表!C77,$C$2:$I$173,4,0),IFERROR(VLOOKUP(特质表!D77,$C$2:$I$173,4,0),""))</f>
        <v/>
      </c>
      <c r="N76" s="106" t="str">
        <f>IFERROR(VLOOKUP(特质表!C77,$C$2:$I$173,6,0),IFERROR(VLOOKUP(特质表!D77,$C$2:$I$173,6,0),""))</f>
        <v/>
      </c>
    </row>
    <row r="77" ht="32.4" spans="3:14">
      <c r="C77" s="111" t="s">
        <v>1015</v>
      </c>
      <c r="D77" s="112" t="s">
        <v>1837</v>
      </c>
      <c r="E77" s="112" t="s">
        <v>1016</v>
      </c>
      <c r="F77" s="112" t="s">
        <v>1838</v>
      </c>
      <c r="G77" s="113" t="s">
        <v>810</v>
      </c>
      <c r="H77" s="113" t="s">
        <v>1839</v>
      </c>
      <c r="I77" s="113">
        <v>0</v>
      </c>
      <c r="L77" s="106" t="str">
        <f>IFERROR(VLOOKUP(特质表!C78,$C$2:$I$173,2,0),IFERROR(VLOOKUP(特质表!D78,$C$2:$I$173,2,0),""))</f>
        <v/>
      </c>
      <c r="M77" s="106" t="str">
        <f>IFERROR(VLOOKUP(特质表!C78,$C$2:$I$173,4,0),IFERROR(VLOOKUP(特质表!D78,$C$2:$I$173,4,0),""))</f>
        <v/>
      </c>
      <c r="N77" s="106" t="str">
        <f>IFERROR(VLOOKUP(特质表!C78,$C$2:$I$173,6,0),IFERROR(VLOOKUP(特质表!D78,$C$2:$I$173,6,0),""))</f>
        <v/>
      </c>
    </row>
    <row r="78" ht="32.4" spans="3:14">
      <c r="C78" s="111" t="s">
        <v>1017</v>
      </c>
      <c r="D78" s="112" t="s">
        <v>1840</v>
      </c>
      <c r="E78" s="112" t="s">
        <v>1018</v>
      </c>
      <c r="F78" s="112" t="s">
        <v>1841</v>
      </c>
      <c r="G78" s="113" t="s">
        <v>1019</v>
      </c>
      <c r="H78" s="113" t="s">
        <v>1842</v>
      </c>
      <c r="I78" s="113">
        <v>-15</v>
      </c>
      <c r="L78" s="106" t="str">
        <f>IFERROR(VLOOKUP(特质表!C79,$C$2:$I$173,2,0),IFERROR(VLOOKUP(特质表!D79,$C$2:$I$173,2,0),""))</f>
        <v/>
      </c>
      <c r="M78" s="106" t="str">
        <f>IFERROR(VLOOKUP(特质表!C79,$C$2:$I$173,4,0),IFERROR(VLOOKUP(特质表!D79,$C$2:$I$173,4,0),""))</f>
        <v/>
      </c>
      <c r="N78" s="106" t="str">
        <f>IFERROR(VLOOKUP(特质表!C79,$C$2:$I$173,6,0),IFERROR(VLOOKUP(特质表!D79,$C$2:$I$173,6,0),""))</f>
        <v/>
      </c>
    </row>
    <row r="79" ht="32.4" spans="3:14">
      <c r="C79" s="111" t="s">
        <v>1020</v>
      </c>
      <c r="D79" s="112" t="s">
        <v>1843</v>
      </c>
      <c r="E79" s="112" t="s">
        <v>1021</v>
      </c>
      <c r="F79" s="112" t="s">
        <v>1844</v>
      </c>
      <c r="G79" s="113" t="s">
        <v>1022</v>
      </c>
      <c r="H79" s="113" t="s">
        <v>1845</v>
      </c>
      <c r="I79" s="113">
        <v>-10</v>
      </c>
      <c r="L79" s="106" t="str">
        <f>IFERROR(VLOOKUP(特质表!C80,$C$2:$I$173,2,0),IFERROR(VLOOKUP(特质表!D80,$C$2:$I$173,2,0),""))</f>
        <v/>
      </c>
      <c r="M79" s="106" t="str">
        <f>IFERROR(VLOOKUP(特质表!C80,$C$2:$I$173,4,0),IFERROR(VLOOKUP(特质表!D80,$C$2:$I$173,4,0),""))</f>
        <v/>
      </c>
      <c r="N79" s="106" t="str">
        <f>IFERROR(VLOOKUP(特质表!C80,$C$2:$I$173,6,0),IFERROR(VLOOKUP(特质表!D80,$C$2:$I$173,6,0),""))</f>
        <v/>
      </c>
    </row>
    <row r="80" spans="3:14">
      <c r="C80" s="111" t="s">
        <v>1023</v>
      </c>
      <c r="D80" s="112" t="s">
        <v>1846</v>
      </c>
      <c r="E80" s="112" t="s">
        <v>1024</v>
      </c>
      <c r="F80" s="112" t="s">
        <v>1847</v>
      </c>
      <c r="G80" s="113" t="s">
        <v>1025</v>
      </c>
      <c r="H80" s="113" t="s">
        <v>1848</v>
      </c>
      <c r="I80" s="113">
        <v>-5</v>
      </c>
      <c r="L80" s="106" t="str">
        <f>IFERROR(VLOOKUP(特质表!C81,$C$2:$I$173,2,0),IFERROR(VLOOKUP(特质表!D81,$C$2:$I$173,2,0),""))</f>
        <v/>
      </c>
      <c r="M80" s="106" t="str">
        <f>IFERROR(VLOOKUP(特质表!C81,$C$2:$I$173,4,0),IFERROR(VLOOKUP(特质表!D81,$C$2:$I$173,4,0),""))</f>
        <v/>
      </c>
      <c r="N80" s="106" t="str">
        <f>IFERROR(VLOOKUP(特质表!C81,$C$2:$I$173,6,0),IFERROR(VLOOKUP(特质表!D81,$C$2:$I$173,6,0),""))</f>
        <v/>
      </c>
    </row>
    <row r="81" ht="48.6" spans="3:14">
      <c r="C81" s="111" t="s">
        <v>1026</v>
      </c>
      <c r="D81" s="112" t="s">
        <v>1849</v>
      </c>
      <c r="E81" s="112" t="s">
        <v>1027</v>
      </c>
      <c r="F81" s="112" t="s">
        <v>1850</v>
      </c>
      <c r="G81" s="113" t="s">
        <v>1028</v>
      </c>
      <c r="H81" s="113" t="s">
        <v>1851</v>
      </c>
      <c r="I81" s="113">
        <v>-10</v>
      </c>
      <c r="L81" s="106" t="str">
        <f>IFERROR(VLOOKUP(特质表!C82,$C$2:$I$173,2,0),IFERROR(VLOOKUP(特质表!D82,$C$2:$I$173,2,0),""))</f>
        <v/>
      </c>
      <c r="M81" s="106" t="str">
        <f>IFERROR(VLOOKUP(特质表!C82,$C$2:$I$173,4,0),IFERROR(VLOOKUP(特质表!D82,$C$2:$I$173,4,0),""))</f>
        <v/>
      </c>
      <c r="N81" s="106" t="str">
        <f>IFERROR(VLOOKUP(特质表!C82,$C$2:$I$173,6,0),IFERROR(VLOOKUP(特质表!D82,$C$2:$I$173,6,0),""))</f>
        <v/>
      </c>
    </row>
    <row r="82" ht="97.2" spans="3:14">
      <c r="C82" s="111" t="s">
        <v>1029</v>
      </c>
      <c r="D82" s="112" t="s">
        <v>1852</v>
      </c>
      <c r="E82" s="112" t="s">
        <v>1030</v>
      </c>
      <c r="F82" s="112" t="s">
        <v>1853</v>
      </c>
      <c r="G82" s="113" t="s">
        <v>1031</v>
      </c>
      <c r="H82" s="113" t="s">
        <v>1854</v>
      </c>
      <c r="I82" s="113">
        <v>-10</v>
      </c>
      <c r="L82" s="106" t="str">
        <f>IFERROR(VLOOKUP(特质表!C83,$C$2:$I$173,2,0),IFERROR(VLOOKUP(特质表!D83,$C$2:$I$173,2,0),""))</f>
        <v/>
      </c>
      <c r="M82" s="106" t="str">
        <f>IFERROR(VLOOKUP(特质表!C83,$C$2:$I$173,4,0),IFERROR(VLOOKUP(特质表!D83,$C$2:$I$173,4,0),""))</f>
        <v/>
      </c>
      <c r="N82" s="106" t="str">
        <f>IFERROR(VLOOKUP(特质表!C83,$C$2:$I$173,6,0),IFERROR(VLOOKUP(特质表!D83,$C$2:$I$173,6,0),""))</f>
        <v/>
      </c>
    </row>
    <row r="83" ht="48.6" spans="3:14">
      <c r="C83" s="111" t="s">
        <v>1032</v>
      </c>
      <c r="D83" s="112" t="s">
        <v>1855</v>
      </c>
      <c r="E83" s="112" t="s">
        <v>1033</v>
      </c>
      <c r="F83" s="112" t="s">
        <v>1856</v>
      </c>
      <c r="G83" s="113" t="s">
        <v>1034</v>
      </c>
      <c r="H83" s="113" t="s">
        <v>1857</v>
      </c>
      <c r="I83" s="113">
        <v>5</v>
      </c>
      <c r="L83" s="106" t="str">
        <f>IFERROR(VLOOKUP(特质表!C84,$C$2:$I$173,2,0),IFERROR(VLOOKUP(特质表!D84,$C$2:$I$173,2,0),""))</f>
        <v/>
      </c>
      <c r="M83" s="106" t="str">
        <f>IFERROR(VLOOKUP(特质表!C84,$C$2:$I$173,4,0),IFERROR(VLOOKUP(特质表!D84,$C$2:$I$173,4,0),""))</f>
        <v/>
      </c>
      <c r="N83" s="106" t="str">
        <f>IFERROR(VLOOKUP(特质表!C84,$C$2:$I$173,6,0),IFERROR(VLOOKUP(特质表!D84,$C$2:$I$173,6,0),""))</f>
        <v/>
      </c>
    </row>
    <row r="84" ht="64.8" spans="3:14">
      <c r="C84" s="111" t="s">
        <v>1035</v>
      </c>
      <c r="D84" s="112" t="s">
        <v>1858</v>
      </c>
      <c r="E84" s="112" t="s">
        <v>1036</v>
      </c>
      <c r="F84" s="112" t="s">
        <v>1859</v>
      </c>
      <c r="G84" s="113" t="s">
        <v>1037</v>
      </c>
      <c r="H84" s="113" t="s">
        <v>1860</v>
      </c>
      <c r="I84" s="113">
        <v>-20</v>
      </c>
      <c r="L84" s="106" t="str">
        <f>IFERROR(VLOOKUP(特质表!C85,$C$2:$I$173,2,0),IFERROR(VLOOKUP(特质表!D85,$C$2:$I$173,2,0),""))</f>
        <v/>
      </c>
      <c r="M84" s="106" t="str">
        <f>IFERROR(VLOOKUP(特质表!C85,$C$2:$I$173,4,0),IFERROR(VLOOKUP(特质表!D85,$C$2:$I$173,4,0),""))</f>
        <v/>
      </c>
      <c r="N84" s="106" t="str">
        <f>IFERROR(VLOOKUP(特质表!C85,$C$2:$I$173,6,0),IFERROR(VLOOKUP(特质表!D85,$C$2:$I$173,6,0),""))</f>
        <v/>
      </c>
    </row>
    <row r="85" spans="3:14">
      <c r="C85" s="111" t="s">
        <v>1038</v>
      </c>
      <c r="D85" s="112" t="s">
        <v>1861</v>
      </c>
      <c r="E85" s="112" t="s">
        <v>1039</v>
      </c>
      <c r="F85" s="112" t="s">
        <v>1862</v>
      </c>
      <c r="G85" s="113" t="s">
        <v>1040</v>
      </c>
      <c r="H85" s="113" t="s">
        <v>1863</v>
      </c>
      <c r="I85" s="113">
        <v>-10</v>
      </c>
      <c r="L85" s="106" t="str">
        <f>IFERROR(VLOOKUP(特质表!C86,$C$2:$I$173,2,0),IFERROR(VLOOKUP(特质表!D86,$C$2:$I$173,2,0),""))</f>
        <v/>
      </c>
      <c r="M85" s="106" t="str">
        <f>IFERROR(VLOOKUP(特质表!C86,$C$2:$I$173,4,0),IFERROR(VLOOKUP(特质表!D86,$C$2:$I$173,4,0),""))</f>
        <v/>
      </c>
      <c r="N85" s="106" t="str">
        <f>IFERROR(VLOOKUP(特质表!C86,$C$2:$I$173,6,0),IFERROR(VLOOKUP(特质表!D86,$C$2:$I$173,6,0),""))</f>
        <v/>
      </c>
    </row>
    <row r="86" ht="48.6" spans="3:14">
      <c r="C86" s="111" t="s">
        <v>1041</v>
      </c>
      <c r="D86" s="112" t="s">
        <v>1864</v>
      </c>
      <c r="E86" s="112" t="s">
        <v>1042</v>
      </c>
      <c r="F86" s="112" t="s">
        <v>1865</v>
      </c>
      <c r="G86" s="113" t="s">
        <v>1043</v>
      </c>
      <c r="H86" s="113" t="s">
        <v>1866</v>
      </c>
      <c r="I86" s="113">
        <v>-5</v>
      </c>
      <c r="L86" s="106" t="str">
        <f>IFERROR(VLOOKUP(特质表!C87,$C$2:$I$173,2,0),IFERROR(VLOOKUP(特质表!D87,$C$2:$I$173,2,0),""))</f>
        <v/>
      </c>
      <c r="M86" s="106" t="str">
        <f>IFERROR(VLOOKUP(特质表!C87,$C$2:$I$173,4,0),IFERROR(VLOOKUP(特质表!D87,$C$2:$I$173,4,0),""))</f>
        <v/>
      </c>
      <c r="N86" s="106" t="str">
        <f>IFERROR(VLOOKUP(特质表!C87,$C$2:$I$173,6,0),IFERROR(VLOOKUP(特质表!D87,$C$2:$I$173,6,0),""))</f>
        <v/>
      </c>
    </row>
    <row r="87" ht="32.4" spans="3:14">
      <c r="C87" s="111" t="s">
        <v>1044</v>
      </c>
      <c r="D87" s="112" t="s">
        <v>1867</v>
      </c>
      <c r="E87" s="112" t="s">
        <v>1045</v>
      </c>
      <c r="F87" s="112" t="s">
        <v>1868</v>
      </c>
      <c r="G87" s="113" t="s">
        <v>1046</v>
      </c>
      <c r="H87" s="113" t="s">
        <v>1869</v>
      </c>
      <c r="I87" s="113">
        <v>-20</v>
      </c>
      <c r="L87" s="106" t="str">
        <f>IFERROR(VLOOKUP(特质表!C88,$C$2:$I$173,2,0),IFERROR(VLOOKUP(特质表!D88,$C$2:$I$173,2,0),""))</f>
        <v/>
      </c>
      <c r="M87" s="106" t="str">
        <f>IFERROR(VLOOKUP(特质表!C88,$C$2:$I$173,4,0),IFERROR(VLOOKUP(特质表!D88,$C$2:$I$173,4,0),""))</f>
        <v/>
      </c>
      <c r="N87" s="106" t="str">
        <f>IFERROR(VLOOKUP(特质表!C88,$C$2:$I$173,6,0),IFERROR(VLOOKUP(特质表!D88,$C$2:$I$173,6,0),""))</f>
        <v/>
      </c>
    </row>
    <row r="88" ht="64.8" spans="3:14">
      <c r="C88" s="111" t="s">
        <v>1047</v>
      </c>
      <c r="D88" s="112" t="s">
        <v>1870</v>
      </c>
      <c r="E88" s="112" t="s">
        <v>1048</v>
      </c>
      <c r="F88" s="112" t="s">
        <v>1871</v>
      </c>
      <c r="G88" s="113" t="s">
        <v>1049</v>
      </c>
      <c r="H88" s="113" t="s">
        <v>1872</v>
      </c>
      <c r="I88" s="113">
        <v>-25</v>
      </c>
      <c r="L88" s="106" t="str">
        <f>IFERROR(VLOOKUP(特质表!C89,$C$2:$I$173,2,0),IFERROR(VLOOKUP(特质表!D89,$C$2:$I$173,2,0),""))</f>
        <v/>
      </c>
      <c r="M88" s="106" t="str">
        <f>IFERROR(VLOOKUP(特质表!C89,$C$2:$I$173,4,0),IFERROR(VLOOKUP(特质表!D89,$C$2:$I$173,4,0),""))</f>
        <v/>
      </c>
      <c r="N88" s="106" t="str">
        <f>IFERROR(VLOOKUP(特质表!C89,$C$2:$I$173,6,0),IFERROR(VLOOKUP(特质表!D89,$C$2:$I$173,6,0),""))</f>
        <v/>
      </c>
    </row>
    <row r="89" spans="3:14">
      <c r="C89" s="111" t="s">
        <v>1050</v>
      </c>
      <c r="D89" s="112" t="s">
        <v>1873</v>
      </c>
      <c r="E89" s="112" t="s">
        <v>1051</v>
      </c>
      <c r="F89" s="112" t="s">
        <v>1874</v>
      </c>
      <c r="G89" s="113" t="s">
        <v>1052</v>
      </c>
      <c r="H89" s="113" t="s">
        <v>1875</v>
      </c>
      <c r="I89" s="113">
        <v>-10</v>
      </c>
      <c r="L89" s="106" t="str">
        <f>IFERROR(VLOOKUP(特质表!C90,$C$2:$I$173,2,0),IFERROR(VLOOKUP(特质表!D90,$C$2:$I$173,2,0),""))</f>
        <v/>
      </c>
      <c r="M89" s="106" t="str">
        <f>IFERROR(VLOOKUP(特质表!C90,$C$2:$I$173,4,0),IFERROR(VLOOKUP(特质表!D90,$C$2:$I$173,4,0),""))</f>
        <v/>
      </c>
      <c r="N89" s="106" t="str">
        <f>IFERROR(VLOOKUP(特质表!C90,$C$2:$I$173,6,0),IFERROR(VLOOKUP(特质表!D90,$C$2:$I$173,6,0),""))</f>
        <v/>
      </c>
    </row>
    <row r="90" ht="64.8" spans="3:14">
      <c r="C90" s="111" t="s">
        <v>1053</v>
      </c>
      <c r="D90" s="112" t="s">
        <v>1876</v>
      </c>
      <c r="E90" s="112" t="s">
        <v>1054</v>
      </c>
      <c r="F90" s="112" t="s">
        <v>1877</v>
      </c>
      <c r="G90" s="113" t="s">
        <v>1055</v>
      </c>
      <c r="H90" s="113" t="s">
        <v>1878</v>
      </c>
      <c r="I90" s="113">
        <v>-5</v>
      </c>
      <c r="L90" s="106" t="str">
        <f>IFERROR(VLOOKUP(特质表!C91,$C$2:$I$173,2,0),IFERROR(VLOOKUP(特质表!D91,$C$2:$I$173,2,0),""))</f>
        <v/>
      </c>
      <c r="M90" s="106" t="str">
        <f>IFERROR(VLOOKUP(特质表!C91,$C$2:$I$173,4,0),IFERROR(VLOOKUP(特质表!D91,$C$2:$I$173,4,0),""))</f>
        <v/>
      </c>
      <c r="N90" s="106" t="str">
        <f>IFERROR(VLOOKUP(特质表!C91,$C$2:$I$173,6,0),IFERROR(VLOOKUP(特质表!D91,$C$2:$I$173,6,0),""))</f>
        <v/>
      </c>
    </row>
    <row r="91" ht="48.6" spans="3:14">
      <c r="C91" s="111" t="s">
        <v>1056</v>
      </c>
      <c r="D91" s="112" t="s">
        <v>1879</v>
      </c>
      <c r="E91" s="112" t="s">
        <v>1057</v>
      </c>
      <c r="F91" s="112" t="s">
        <v>1880</v>
      </c>
      <c r="G91" s="113" t="s">
        <v>1058</v>
      </c>
      <c r="H91" s="113" t="s">
        <v>1881</v>
      </c>
      <c r="I91" s="113">
        <v>-20</v>
      </c>
      <c r="L91" s="106" t="str">
        <f>IFERROR(VLOOKUP(特质表!C92,$C$2:$I$173,2,0),IFERROR(VLOOKUP(特质表!D92,$C$2:$I$173,2,0),""))</f>
        <v/>
      </c>
      <c r="M91" s="106" t="str">
        <f>IFERROR(VLOOKUP(特质表!C92,$C$2:$I$173,4,0),IFERROR(VLOOKUP(特质表!D92,$C$2:$I$173,4,0),""))</f>
        <v/>
      </c>
      <c r="N91" s="106" t="str">
        <f>IFERROR(VLOOKUP(特质表!C92,$C$2:$I$173,6,0),IFERROR(VLOOKUP(特质表!D92,$C$2:$I$173,6,0),""))</f>
        <v/>
      </c>
    </row>
    <row r="92" ht="64.8" spans="3:14">
      <c r="C92" s="111" t="s">
        <v>1059</v>
      </c>
      <c r="D92" s="112" t="s">
        <v>1882</v>
      </c>
      <c r="E92" s="112" t="s">
        <v>1060</v>
      </c>
      <c r="F92" s="112" t="s">
        <v>1883</v>
      </c>
      <c r="G92" s="113" t="s">
        <v>1061</v>
      </c>
      <c r="H92" s="113" t="s">
        <v>1884</v>
      </c>
      <c r="I92" s="113">
        <v>10</v>
      </c>
      <c r="L92" s="106" t="str">
        <f>IFERROR(VLOOKUP(特质表!C93,$C$2:$I$173,2,0),IFERROR(VLOOKUP(特质表!D93,$C$2:$I$173,2,0),""))</f>
        <v/>
      </c>
      <c r="M92" s="106" t="str">
        <f>IFERROR(VLOOKUP(特质表!C93,$C$2:$I$173,4,0),IFERROR(VLOOKUP(特质表!D93,$C$2:$I$173,4,0),""))</f>
        <v/>
      </c>
      <c r="N92" s="106" t="str">
        <f>IFERROR(VLOOKUP(特质表!C93,$C$2:$I$173,6,0),IFERROR(VLOOKUP(特质表!D93,$C$2:$I$173,6,0),""))</f>
        <v/>
      </c>
    </row>
    <row r="93" ht="97.2" spans="3:14">
      <c r="C93" s="111" t="s">
        <v>1062</v>
      </c>
      <c r="D93" s="112" t="s">
        <v>1885</v>
      </c>
      <c r="E93" s="112" t="s">
        <v>1063</v>
      </c>
      <c r="F93" s="112" t="s">
        <v>1886</v>
      </c>
      <c r="G93" s="113" t="s">
        <v>1064</v>
      </c>
      <c r="H93" s="113" t="s">
        <v>1887</v>
      </c>
      <c r="I93" s="113" t="s">
        <v>1065</v>
      </c>
      <c r="L93" s="106" t="str">
        <f>IFERROR(VLOOKUP(特质表!C94,$C$2:$I$173,2,0),IFERROR(VLOOKUP(特质表!D94,$C$2:$I$173,2,0),""))</f>
        <v/>
      </c>
      <c r="M93" s="106" t="str">
        <f>IFERROR(VLOOKUP(特质表!C94,$C$2:$I$173,4,0),IFERROR(VLOOKUP(特质表!D94,$C$2:$I$173,4,0),""))</f>
        <v/>
      </c>
      <c r="N93" s="106" t="str">
        <f>IFERROR(VLOOKUP(特质表!C94,$C$2:$I$173,6,0),IFERROR(VLOOKUP(特质表!D94,$C$2:$I$173,6,0),""))</f>
        <v/>
      </c>
    </row>
    <row r="94" ht="32.4" spans="3:14">
      <c r="C94" s="111" t="s">
        <v>1066</v>
      </c>
      <c r="D94" s="112" t="s">
        <v>1888</v>
      </c>
      <c r="E94" s="112" t="s">
        <v>1067</v>
      </c>
      <c r="F94" s="112" t="s">
        <v>1889</v>
      </c>
      <c r="G94" s="113" t="s">
        <v>1068</v>
      </c>
      <c r="H94" s="113" t="s">
        <v>1890</v>
      </c>
      <c r="I94" s="113" t="s">
        <v>1069</v>
      </c>
      <c r="L94" s="106" t="str">
        <f>IFERROR(VLOOKUP(特质表!C95,$C$2:$I$173,2,0),IFERROR(VLOOKUP(特质表!D95,$C$2:$I$173,2,0),""))</f>
        <v/>
      </c>
      <c r="M94" s="106" t="str">
        <f>IFERROR(VLOOKUP(特质表!C95,$C$2:$I$173,4,0),IFERROR(VLOOKUP(特质表!D95,$C$2:$I$173,4,0),""))</f>
        <v/>
      </c>
      <c r="N94" s="106" t="str">
        <f>IFERROR(VLOOKUP(特质表!C95,$C$2:$I$173,6,0),IFERROR(VLOOKUP(特质表!D95,$C$2:$I$173,6,0),""))</f>
        <v/>
      </c>
    </row>
    <row r="95" ht="32.4" spans="3:14">
      <c r="C95" s="111" t="s">
        <v>1071</v>
      </c>
      <c r="D95" s="112" t="s">
        <v>1891</v>
      </c>
      <c r="E95" s="112" t="s">
        <v>1072</v>
      </c>
      <c r="F95" s="112" t="s">
        <v>1892</v>
      </c>
      <c r="G95" s="113" t="s">
        <v>1073</v>
      </c>
      <c r="H95" s="113" t="s">
        <v>1893</v>
      </c>
      <c r="I95" s="113">
        <v>20</v>
      </c>
      <c r="L95" s="106" t="str">
        <f>IFERROR(VLOOKUP(特质表!C96,$C$2:$I$173,2,0),IFERROR(VLOOKUP(特质表!D96,$C$2:$I$173,2,0),""))</f>
        <v/>
      </c>
      <c r="M95" s="106" t="str">
        <f>IFERROR(VLOOKUP(特质表!C96,$C$2:$I$173,4,0),IFERROR(VLOOKUP(特质表!D96,$C$2:$I$173,4,0),""))</f>
        <v/>
      </c>
      <c r="N95" s="106" t="str">
        <f>IFERROR(VLOOKUP(特质表!C96,$C$2:$I$173,6,0),IFERROR(VLOOKUP(特质表!D96,$C$2:$I$173,6,0),""))</f>
        <v/>
      </c>
    </row>
    <row r="96" ht="32.4" spans="3:14">
      <c r="C96" s="111" t="s">
        <v>1074</v>
      </c>
      <c r="D96" s="112" t="s">
        <v>1894</v>
      </c>
      <c r="E96" s="112" t="s">
        <v>1075</v>
      </c>
      <c r="F96" s="112" t="s">
        <v>1895</v>
      </c>
      <c r="G96" s="113" t="s">
        <v>1076</v>
      </c>
      <c r="H96" s="113" t="s">
        <v>1896</v>
      </c>
      <c r="I96" s="113">
        <v>0</v>
      </c>
      <c r="L96" s="106" t="str">
        <f>IFERROR(VLOOKUP(特质表!C97,$C$2:$I$173,2,0),IFERROR(VLOOKUP(特质表!D97,$C$2:$I$173,2,0),""))</f>
        <v/>
      </c>
      <c r="M96" s="106" t="str">
        <f>IFERROR(VLOOKUP(特质表!C97,$C$2:$I$173,4,0),IFERROR(VLOOKUP(特质表!D97,$C$2:$I$173,4,0),""))</f>
        <v/>
      </c>
      <c r="N96" s="106" t="str">
        <f>IFERROR(VLOOKUP(特质表!C97,$C$2:$I$173,6,0),IFERROR(VLOOKUP(特质表!D97,$C$2:$I$173,6,0),""))</f>
        <v/>
      </c>
    </row>
    <row r="97" ht="64.8" spans="3:14">
      <c r="C97" s="111" t="s">
        <v>1077</v>
      </c>
      <c r="D97" s="112" t="s">
        <v>1897</v>
      </c>
      <c r="E97" s="112" t="s">
        <v>1078</v>
      </c>
      <c r="F97" s="112" t="s">
        <v>1898</v>
      </c>
      <c r="G97" s="113" t="s">
        <v>1079</v>
      </c>
      <c r="H97" s="113" t="s">
        <v>1899</v>
      </c>
      <c r="I97" s="113">
        <v>15</v>
      </c>
      <c r="L97" s="106" t="str">
        <f>IFERROR(VLOOKUP(特质表!C98,$C$2:$I$173,2,0),IFERROR(VLOOKUP(特质表!D98,$C$2:$I$173,2,0),""))</f>
        <v/>
      </c>
      <c r="M97" s="106" t="str">
        <f>IFERROR(VLOOKUP(特质表!C98,$C$2:$I$173,4,0),IFERROR(VLOOKUP(特质表!D98,$C$2:$I$173,4,0),""))</f>
        <v/>
      </c>
      <c r="N97" s="106" t="str">
        <f>IFERROR(VLOOKUP(特质表!C98,$C$2:$I$173,6,0),IFERROR(VLOOKUP(特质表!D98,$C$2:$I$173,6,0),""))</f>
        <v/>
      </c>
    </row>
    <row r="98" ht="48.6" spans="3:14">
      <c r="C98" s="111" t="s">
        <v>1080</v>
      </c>
      <c r="D98" s="112" t="s">
        <v>1900</v>
      </c>
      <c r="E98" s="112" t="s">
        <v>1081</v>
      </c>
      <c r="F98" s="112" t="s">
        <v>1901</v>
      </c>
      <c r="G98" s="113" t="s">
        <v>1082</v>
      </c>
      <c r="H98" s="113" t="s">
        <v>1902</v>
      </c>
      <c r="I98" s="113">
        <v>15</v>
      </c>
      <c r="L98" s="106" t="str">
        <f>IFERROR(VLOOKUP(特质表!C99,$C$2:$I$173,2,0),IFERROR(VLOOKUP(特质表!D99,$C$2:$I$173,2,0),""))</f>
        <v/>
      </c>
      <c r="M98" s="106" t="str">
        <f>IFERROR(VLOOKUP(特质表!C99,$C$2:$I$173,4,0),IFERROR(VLOOKUP(特质表!D99,$C$2:$I$173,4,0),""))</f>
        <v/>
      </c>
      <c r="N98" s="106" t="str">
        <f>IFERROR(VLOOKUP(特质表!C99,$C$2:$I$173,6,0),IFERROR(VLOOKUP(特质表!D99,$C$2:$I$173,6,0),""))</f>
        <v/>
      </c>
    </row>
    <row r="99" ht="32.4" spans="3:14">
      <c r="C99" s="111" t="s">
        <v>1083</v>
      </c>
      <c r="D99" s="112" t="s">
        <v>1903</v>
      </c>
      <c r="E99" s="112" t="s">
        <v>1084</v>
      </c>
      <c r="F99" s="112" t="s">
        <v>1904</v>
      </c>
      <c r="G99" s="113" t="s">
        <v>1085</v>
      </c>
      <c r="H99" s="113" t="s">
        <v>1905</v>
      </c>
      <c r="I99" s="113">
        <v>10</v>
      </c>
      <c r="L99" s="106" t="str">
        <f>IFERROR(VLOOKUP(特质表!C100,$C$2:$I$173,2,0),IFERROR(VLOOKUP(特质表!D100,$C$2:$I$173,2,0),""))</f>
        <v/>
      </c>
      <c r="M99" s="106" t="str">
        <f>IFERROR(VLOOKUP(特质表!C100,$C$2:$I$173,4,0),IFERROR(VLOOKUP(特质表!D100,$C$2:$I$173,4,0),""))</f>
        <v/>
      </c>
      <c r="N99" s="106" t="str">
        <f>IFERROR(VLOOKUP(特质表!C100,$C$2:$I$173,6,0),IFERROR(VLOOKUP(特质表!D100,$C$2:$I$173,6,0),""))</f>
        <v/>
      </c>
    </row>
    <row r="100" ht="32.4" spans="3:14">
      <c r="C100" s="111" t="s">
        <v>1086</v>
      </c>
      <c r="D100" s="112" t="s">
        <v>1906</v>
      </c>
      <c r="E100" s="112" t="s">
        <v>1087</v>
      </c>
      <c r="F100" s="112" t="s">
        <v>1907</v>
      </c>
      <c r="G100" s="113" t="s">
        <v>1088</v>
      </c>
      <c r="H100" s="113" t="s">
        <v>1908</v>
      </c>
      <c r="I100" s="113">
        <v>25</v>
      </c>
      <c r="L100" s="106" t="str">
        <f>IFERROR(VLOOKUP(特质表!C101,$C$2:$I$173,2,0),IFERROR(VLOOKUP(特质表!D101,$C$2:$I$173,2,0),""))</f>
        <v/>
      </c>
      <c r="M100" s="106" t="str">
        <f>IFERROR(VLOOKUP(特质表!C101,$C$2:$I$173,4,0),IFERROR(VLOOKUP(特质表!D101,$C$2:$I$173,4,0),""))</f>
        <v/>
      </c>
      <c r="N100" s="106" t="str">
        <f>IFERROR(VLOOKUP(特质表!C101,$C$2:$I$173,6,0),IFERROR(VLOOKUP(特质表!D101,$C$2:$I$173,6,0),""))</f>
        <v/>
      </c>
    </row>
    <row r="101" ht="32.4" spans="3:14">
      <c r="C101" s="111" t="s">
        <v>1089</v>
      </c>
      <c r="D101" s="112" t="s">
        <v>1909</v>
      </c>
      <c r="E101" s="112" t="s">
        <v>1090</v>
      </c>
      <c r="F101" s="112" t="s">
        <v>1910</v>
      </c>
      <c r="G101" s="113" t="s">
        <v>1091</v>
      </c>
      <c r="H101" s="113" t="s">
        <v>1911</v>
      </c>
      <c r="I101" s="113">
        <v>-10</v>
      </c>
      <c r="L101" s="106" t="str">
        <f>IFERROR(VLOOKUP(特质表!C102,$C$2:$I$173,2,0),IFERROR(VLOOKUP(特质表!D102,$C$2:$I$173,2,0),""))</f>
        <v/>
      </c>
      <c r="M101" s="106" t="str">
        <f>IFERROR(VLOOKUP(特质表!C102,$C$2:$I$173,4,0),IFERROR(VLOOKUP(特质表!D102,$C$2:$I$173,4,0),""))</f>
        <v/>
      </c>
      <c r="N101" s="106" t="str">
        <f>IFERROR(VLOOKUP(特质表!C102,$C$2:$I$173,6,0),IFERROR(VLOOKUP(特质表!D102,$C$2:$I$173,6,0),""))</f>
        <v/>
      </c>
    </row>
    <row r="102" ht="32.4" spans="3:14">
      <c r="C102" s="111" t="s">
        <v>1092</v>
      </c>
      <c r="D102" s="112" t="s">
        <v>1912</v>
      </c>
      <c r="E102" s="112" t="s">
        <v>1093</v>
      </c>
      <c r="F102" s="112" t="s">
        <v>1913</v>
      </c>
      <c r="G102" s="113" t="s">
        <v>1094</v>
      </c>
      <c r="H102" s="113" t="s">
        <v>1914</v>
      </c>
      <c r="I102" s="113">
        <v>50</v>
      </c>
      <c r="L102" s="106" t="str">
        <f>IFERROR(VLOOKUP(特质表!C103,$C$2:$I$173,2,0),IFERROR(VLOOKUP(特质表!D103,$C$2:$I$173,2,0),""))</f>
        <v/>
      </c>
      <c r="M102" s="106" t="str">
        <f>IFERROR(VLOOKUP(特质表!C103,$C$2:$I$173,4,0),IFERROR(VLOOKUP(特质表!D103,$C$2:$I$173,4,0),""))</f>
        <v/>
      </c>
      <c r="N102" s="106" t="str">
        <f>IFERROR(VLOOKUP(特质表!C103,$C$2:$I$173,6,0),IFERROR(VLOOKUP(特质表!D103,$C$2:$I$173,6,0),""))</f>
        <v/>
      </c>
    </row>
    <row r="103" ht="48.6" spans="3:14">
      <c r="C103" s="111" t="s">
        <v>1095</v>
      </c>
      <c r="D103" s="112" t="s">
        <v>1915</v>
      </c>
      <c r="E103" s="112" t="s">
        <v>1096</v>
      </c>
      <c r="F103" s="112" t="s">
        <v>1916</v>
      </c>
      <c r="G103" s="113" t="s">
        <v>1097</v>
      </c>
      <c r="H103" s="113" t="s">
        <v>1917</v>
      </c>
      <c r="I103" s="113">
        <v>0</v>
      </c>
      <c r="L103" s="106" t="str">
        <f>IFERROR(VLOOKUP(特质表!C104,$C$2:$I$173,2,0),IFERROR(VLOOKUP(特质表!D104,$C$2:$I$173,2,0),""))</f>
        <v/>
      </c>
      <c r="M103" s="106" t="str">
        <f>IFERROR(VLOOKUP(特质表!C104,$C$2:$I$173,4,0),IFERROR(VLOOKUP(特质表!D104,$C$2:$I$173,4,0),""))</f>
        <v/>
      </c>
      <c r="N103" s="106" t="str">
        <f>IFERROR(VLOOKUP(特质表!C104,$C$2:$I$173,6,0),IFERROR(VLOOKUP(特质表!D104,$C$2:$I$173,6,0),""))</f>
        <v/>
      </c>
    </row>
    <row r="104" ht="64.8" spans="3:14">
      <c r="C104" s="111" t="s">
        <v>1098</v>
      </c>
      <c r="D104" s="112" t="s">
        <v>1918</v>
      </c>
      <c r="E104" s="112" t="s">
        <v>1099</v>
      </c>
      <c r="F104" s="112" t="s">
        <v>1919</v>
      </c>
      <c r="G104" s="113" t="s">
        <v>1100</v>
      </c>
      <c r="H104" s="113" t="s">
        <v>1920</v>
      </c>
      <c r="I104" s="113">
        <v>10</v>
      </c>
      <c r="L104" s="106" t="str">
        <f>IFERROR(VLOOKUP(特质表!C105,$C$2:$I$173,2,0),IFERROR(VLOOKUP(特质表!D105,$C$2:$I$173,2,0),""))</f>
        <v/>
      </c>
      <c r="M104" s="106" t="str">
        <f>IFERROR(VLOOKUP(特质表!C105,$C$2:$I$173,4,0),IFERROR(VLOOKUP(特质表!D105,$C$2:$I$173,4,0),""))</f>
        <v/>
      </c>
      <c r="N104" s="106" t="str">
        <f>IFERROR(VLOOKUP(特质表!C105,$C$2:$I$173,6,0),IFERROR(VLOOKUP(特质表!D105,$C$2:$I$173,6,0),""))</f>
        <v/>
      </c>
    </row>
    <row r="105" ht="113.4" spans="3:14">
      <c r="C105" s="111" t="s">
        <v>1101</v>
      </c>
      <c r="D105" s="112" t="s">
        <v>1921</v>
      </c>
      <c r="E105" s="112" t="s">
        <v>1102</v>
      </c>
      <c r="F105" s="112" t="s">
        <v>1922</v>
      </c>
      <c r="G105" s="113" t="s">
        <v>1103</v>
      </c>
      <c r="H105" s="113" t="s">
        <v>1923</v>
      </c>
      <c r="I105" s="113">
        <v>20</v>
      </c>
      <c r="L105" s="106" t="str">
        <f>IFERROR(VLOOKUP(特质表!C106,$C$2:$I$173,2,0),IFERROR(VLOOKUP(特质表!D106,$C$2:$I$173,2,0),""))</f>
        <v/>
      </c>
      <c r="M105" s="106" t="str">
        <f>IFERROR(VLOOKUP(特质表!C106,$C$2:$I$173,4,0),IFERROR(VLOOKUP(特质表!D106,$C$2:$I$173,4,0),""))</f>
        <v/>
      </c>
      <c r="N105" s="106" t="str">
        <f>IFERROR(VLOOKUP(特质表!C106,$C$2:$I$173,6,0),IFERROR(VLOOKUP(特质表!D106,$C$2:$I$173,6,0),""))</f>
        <v/>
      </c>
    </row>
    <row r="106" ht="48.6" spans="3:14">
      <c r="C106" s="111" t="s">
        <v>1104</v>
      </c>
      <c r="D106" s="112" t="s">
        <v>1924</v>
      </c>
      <c r="E106" s="112" t="s">
        <v>1105</v>
      </c>
      <c r="F106" s="112" t="s">
        <v>1925</v>
      </c>
      <c r="G106" s="113" t="s">
        <v>1106</v>
      </c>
      <c r="H106" s="113" t="s">
        <v>1926</v>
      </c>
      <c r="I106" s="113">
        <v>10</v>
      </c>
      <c r="L106" s="106" t="str">
        <f>IFERROR(VLOOKUP(特质表!C107,$C$2:$I$173,2,0),IFERROR(VLOOKUP(特质表!D107,$C$2:$I$173,2,0),""))</f>
        <v/>
      </c>
      <c r="M106" s="106" t="str">
        <f>IFERROR(VLOOKUP(特质表!C107,$C$2:$I$173,4,0),IFERROR(VLOOKUP(特质表!D107,$C$2:$I$173,4,0),""))</f>
        <v/>
      </c>
      <c r="N106" s="106" t="str">
        <f>IFERROR(VLOOKUP(特质表!C107,$C$2:$I$173,6,0),IFERROR(VLOOKUP(特质表!D107,$C$2:$I$173,6,0),""))</f>
        <v/>
      </c>
    </row>
    <row r="107" ht="48.6" spans="3:14">
      <c r="C107" s="111" t="s">
        <v>1107</v>
      </c>
      <c r="D107" s="112" t="s">
        <v>1927</v>
      </c>
      <c r="E107" s="112" t="s">
        <v>1108</v>
      </c>
      <c r="F107" s="112" t="s">
        <v>1928</v>
      </c>
      <c r="G107" s="113" t="s">
        <v>1109</v>
      </c>
      <c r="H107" s="113" t="s">
        <v>1929</v>
      </c>
      <c r="I107" s="113">
        <v>20</v>
      </c>
      <c r="L107" s="106" t="str">
        <f>IFERROR(VLOOKUP(特质表!C108,$C$2:$I$173,2,0),IFERROR(VLOOKUP(特质表!D108,$C$2:$I$173,2,0),""))</f>
        <v/>
      </c>
      <c r="M107" s="106" t="str">
        <f>IFERROR(VLOOKUP(特质表!C108,$C$2:$I$173,4,0),IFERROR(VLOOKUP(特质表!D108,$C$2:$I$173,4,0),""))</f>
        <v/>
      </c>
      <c r="N107" s="106" t="str">
        <f>IFERROR(VLOOKUP(特质表!C108,$C$2:$I$173,6,0),IFERROR(VLOOKUP(特质表!D108,$C$2:$I$173,6,0),""))</f>
        <v/>
      </c>
    </row>
    <row r="108" ht="32.4" spans="3:14">
      <c r="C108" s="111" t="s">
        <v>1110</v>
      </c>
      <c r="D108" s="112" t="s">
        <v>1930</v>
      </c>
      <c r="E108" s="112" t="s">
        <v>1111</v>
      </c>
      <c r="F108" s="112" t="s">
        <v>1931</v>
      </c>
      <c r="G108" s="113" t="s">
        <v>1111</v>
      </c>
      <c r="H108" s="113" t="s">
        <v>1932</v>
      </c>
      <c r="I108" s="113" t="s">
        <v>1112</v>
      </c>
      <c r="L108" s="106" t="str">
        <f>IFERROR(VLOOKUP(特质表!C109,$C$2:$I$173,2,0),IFERROR(VLOOKUP(特质表!D109,$C$2:$I$173,2,0),""))</f>
        <v/>
      </c>
      <c r="M108" s="106" t="str">
        <f>IFERROR(VLOOKUP(特质表!C109,$C$2:$I$173,4,0),IFERROR(VLOOKUP(特质表!D109,$C$2:$I$173,4,0),""))</f>
        <v/>
      </c>
      <c r="N108" s="106" t="str">
        <f>IFERROR(VLOOKUP(特质表!C109,$C$2:$I$173,6,0),IFERROR(VLOOKUP(特质表!D109,$C$2:$I$173,6,0),""))</f>
        <v/>
      </c>
    </row>
    <row r="109" ht="97.2" spans="3:14">
      <c r="C109" s="111" t="s">
        <v>1113</v>
      </c>
      <c r="D109" s="112" t="s">
        <v>1933</v>
      </c>
      <c r="E109" s="112" t="s">
        <v>1114</v>
      </c>
      <c r="F109" s="112" t="s">
        <v>1934</v>
      </c>
      <c r="G109" s="113" t="s">
        <v>1115</v>
      </c>
      <c r="H109" s="113" t="s">
        <v>1935</v>
      </c>
      <c r="I109" s="113">
        <v>15</v>
      </c>
      <c r="L109" s="106" t="str">
        <f>IFERROR(VLOOKUP(特质表!C110,$C$2:$I$173,2,0),IFERROR(VLOOKUP(特质表!D110,$C$2:$I$173,2,0),""))</f>
        <v/>
      </c>
      <c r="M109" s="106" t="str">
        <f>IFERROR(VLOOKUP(特质表!C110,$C$2:$I$173,4,0),IFERROR(VLOOKUP(特质表!D110,$C$2:$I$173,4,0),""))</f>
        <v/>
      </c>
      <c r="N109" s="106" t="str">
        <f>IFERROR(VLOOKUP(特质表!C110,$C$2:$I$173,6,0),IFERROR(VLOOKUP(特质表!D110,$C$2:$I$173,6,0),""))</f>
        <v/>
      </c>
    </row>
    <row r="110" ht="64.8" spans="3:14">
      <c r="C110" s="111" t="s">
        <v>1116</v>
      </c>
      <c r="D110" s="112" t="s">
        <v>1936</v>
      </c>
      <c r="E110" s="112" t="s">
        <v>1117</v>
      </c>
      <c r="F110" s="112" t="s">
        <v>1937</v>
      </c>
      <c r="G110" s="113" t="s">
        <v>1118</v>
      </c>
      <c r="H110" s="113" t="s">
        <v>1938</v>
      </c>
      <c r="I110" s="113">
        <v>0</v>
      </c>
      <c r="L110" s="106" t="str">
        <f>IFERROR(VLOOKUP(特质表!C111,$C$2:$I$173,2,0),IFERROR(VLOOKUP(特质表!D111,$C$2:$I$173,2,0),""))</f>
        <v/>
      </c>
      <c r="M110" s="106" t="str">
        <f>IFERROR(VLOOKUP(特质表!C111,$C$2:$I$173,4,0),IFERROR(VLOOKUP(特质表!D111,$C$2:$I$173,4,0),""))</f>
        <v/>
      </c>
      <c r="N110" s="106" t="str">
        <f>IFERROR(VLOOKUP(特质表!C111,$C$2:$I$173,6,0),IFERROR(VLOOKUP(特质表!D111,$C$2:$I$173,6,0),""))</f>
        <v/>
      </c>
    </row>
    <row r="111" ht="145.8" spans="3:14">
      <c r="C111" s="111" t="s">
        <v>1119</v>
      </c>
      <c r="D111" s="112" t="s">
        <v>1939</v>
      </c>
      <c r="E111" s="112" t="s">
        <v>1120</v>
      </c>
      <c r="F111" s="112" t="s">
        <v>1940</v>
      </c>
      <c r="G111" s="113" t="s">
        <v>1121</v>
      </c>
      <c r="H111" s="113" t="s">
        <v>1941</v>
      </c>
      <c r="I111" s="113">
        <v>10</v>
      </c>
      <c r="L111" s="106" t="str">
        <f>IFERROR(VLOOKUP(特质表!C112,$C$2:$I$173,2,0),IFERROR(VLOOKUP(特质表!D112,$C$2:$I$173,2,0),""))</f>
        <v/>
      </c>
      <c r="M111" s="106" t="str">
        <f>IFERROR(VLOOKUP(特质表!C112,$C$2:$I$173,4,0),IFERROR(VLOOKUP(特质表!D112,$C$2:$I$173,4,0),""))</f>
        <v/>
      </c>
      <c r="N111" s="106" t="str">
        <f>IFERROR(VLOOKUP(特质表!C112,$C$2:$I$173,6,0),IFERROR(VLOOKUP(特质表!D112,$C$2:$I$173,6,0),""))</f>
        <v/>
      </c>
    </row>
    <row r="112" ht="64.8" spans="3:14">
      <c r="C112" s="111" t="s">
        <v>1122</v>
      </c>
      <c r="D112" s="112" t="s">
        <v>1942</v>
      </c>
      <c r="E112" s="112" t="s">
        <v>1123</v>
      </c>
      <c r="F112" s="112" t="s">
        <v>1943</v>
      </c>
      <c r="G112" s="113" t="s">
        <v>1124</v>
      </c>
      <c r="H112" s="113" t="s">
        <v>1944</v>
      </c>
      <c r="I112" s="113">
        <v>10</v>
      </c>
      <c r="L112" s="106" t="str">
        <f>IFERROR(VLOOKUP(特质表!C113,$C$2:$I$173,2,0),IFERROR(VLOOKUP(特质表!D113,$C$2:$I$173,2,0),""))</f>
        <v/>
      </c>
      <c r="M112" s="106" t="str">
        <f>IFERROR(VLOOKUP(特质表!C113,$C$2:$I$173,4,0),IFERROR(VLOOKUP(特质表!D113,$C$2:$I$173,4,0),""))</f>
        <v/>
      </c>
      <c r="N112" s="106" t="str">
        <f>IFERROR(VLOOKUP(特质表!C113,$C$2:$I$173,6,0),IFERROR(VLOOKUP(特质表!D113,$C$2:$I$173,6,0),""))</f>
        <v/>
      </c>
    </row>
    <row r="113" ht="97.2" spans="3:14">
      <c r="C113" s="111" t="s">
        <v>1125</v>
      </c>
      <c r="D113" s="112" t="s">
        <v>1945</v>
      </c>
      <c r="E113" s="112" t="s">
        <v>1126</v>
      </c>
      <c r="F113" s="112" t="s">
        <v>1946</v>
      </c>
      <c r="G113" s="113" t="s">
        <v>1127</v>
      </c>
      <c r="H113" s="113" t="s">
        <v>1947</v>
      </c>
      <c r="I113" s="113">
        <v>20</v>
      </c>
      <c r="L113" s="106" t="str">
        <f>IFERROR(VLOOKUP(特质表!C114,$C$2:$I$173,2,0),IFERROR(VLOOKUP(特质表!D114,$C$2:$I$173,2,0),""))</f>
        <v/>
      </c>
      <c r="M113" s="106" t="str">
        <f>IFERROR(VLOOKUP(特质表!C114,$C$2:$I$173,4,0),IFERROR(VLOOKUP(特质表!D114,$C$2:$I$173,4,0),""))</f>
        <v/>
      </c>
      <c r="N113" s="106" t="str">
        <f>IFERROR(VLOOKUP(特质表!C114,$C$2:$I$173,6,0),IFERROR(VLOOKUP(特质表!D114,$C$2:$I$173,6,0),""))</f>
        <v/>
      </c>
    </row>
    <row r="114" ht="129.6" spans="3:14">
      <c r="C114" s="111" t="s">
        <v>1128</v>
      </c>
      <c r="D114" s="112" t="s">
        <v>1948</v>
      </c>
      <c r="E114" s="112" t="s">
        <v>1129</v>
      </c>
      <c r="F114" s="112" t="s">
        <v>1949</v>
      </c>
      <c r="G114" s="113" t="s">
        <v>1130</v>
      </c>
      <c r="H114" s="113" t="s">
        <v>1950</v>
      </c>
      <c r="I114" s="113">
        <v>10</v>
      </c>
      <c r="L114" s="106" t="str">
        <f>IFERROR(VLOOKUP(特质表!C115,$C$2:$I$173,2,0),IFERROR(VLOOKUP(特质表!D115,$C$2:$I$173,2,0),""))</f>
        <v/>
      </c>
      <c r="M114" s="106" t="str">
        <f>IFERROR(VLOOKUP(特质表!C115,$C$2:$I$173,4,0),IFERROR(VLOOKUP(特质表!D115,$C$2:$I$173,4,0),""))</f>
        <v/>
      </c>
      <c r="N114" s="106" t="str">
        <f>IFERROR(VLOOKUP(特质表!C115,$C$2:$I$173,6,0),IFERROR(VLOOKUP(特质表!D115,$C$2:$I$173,6,0),""))</f>
        <v/>
      </c>
    </row>
    <row r="115" ht="32.4" spans="3:14">
      <c r="C115" s="111" t="s">
        <v>1131</v>
      </c>
      <c r="D115" s="112" t="s">
        <v>1951</v>
      </c>
      <c r="E115" s="112" t="s">
        <v>1132</v>
      </c>
      <c r="F115" s="112" t="s">
        <v>1952</v>
      </c>
      <c r="G115" s="113" t="s">
        <v>1133</v>
      </c>
      <c r="H115" s="113" t="s">
        <v>1953</v>
      </c>
      <c r="I115" s="113">
        <v>10</v>
      </c>
      <c r="L115" s="106" t="str">
        <f>IFERROR(VLOOKUP(特质表!C116,$C$2:$I$173,2,0),IFERROR(VLOOKUP(特质表!D116,$C$2:$I$173,2,0),""))</f>
        <v/>
      </c>
      <c r="M115" s="106" t="str">
        <f>IFERROR(VLOOKUP(特质表!C116,$C$2:$I$173,4,0),IFERROR(VLOOKUP(特质表!D116,$C$2:$I$173,4,0),""))</f>
        <v/>
      </c>
      <c r="N115" s="106" t="str">
        <f>IFERROR(VLOOKUP(特质表!C116,$C$2:$I$173,6,0),IFERROR(VLOOKUP(特质表!D116,$C$2:$I$173,6,0),""))</f>
        <v/>
      </c>
    </row>
    <row r="116" ht="97.2" spans="3:14">
      <c r="C116" s="111" t="s">
        <v>1134</v>
      </c>
      <c r="D116" s="112" t="s">
        <v>1954</v>
      </c>
      <c r="E116" s="112" t="s">
        <v>1135</v>
      </c>
      <c r="F116" s="112" t="s">
        <v>1955</v>
      </c>
      <c r="G116" s="113" t="s">
        <v>1136</v>
      </c>
      <c r="H116" s="113" t="s">
        <v>1956</v>
      </c>
      <c r="I116" s="113">
        <v>20</v>
      </c>
      <c r="L116" s="106" t="str">
        <f>IFERROR(VLOOKUP(特质表!C117,$C$2:$I$173,2,0),IFERROR(VLOOKUP(特质表!D117,$C$2:$I$173,2,0),""))</f>
        <v/>
      </c>
      <c r="M116" s="106" t="str">
        <f>IFERROR(VLOOKUP(特质表!C117,$C$2:$I$173,4,0),IFERROR(VLOOKUP(特质表!D117,$C$2:$I$173,4,0),""))</f>
        <v/>
      </c>
      <c r="N116" s="106" t="str">
        <f>IFERROR(VLOOKUP(特质表!C117,$C$2:$I$173,6,0),IFERROR(VLOOKUP(特质表!D117,$C$2:$I$173,6,0),""))</f>
        <v/>
      </c>
    </row>
    <row r="117" ht="97.2" spans="3:14">
      <c r="C117" s="111" t="s">
        <v>1137</v>
      </c>
      <c r="D117" s="112" t="s">
        <v>1957</v>
      </c>
      <c r="E117" s="112" t="s">
        <v>1138</v>
      </c>
      <c r="F117" s="112" t="s">
        <v>1958</v>
      </c>
      <c r="G117" s="113" t="s">
        <v>1139</v>
      </c>
      <c r="H117" s="113" t="s">
        <v>1959</v>
      </c>
      <c r="I117" s="113">
        <v>30</v>
      </c>
      <c r="L117" s="106" t="str">
        <f>IFERROR(VLOOKUP(特质表!C118,$C$2:$I$173,2,0),IFERROR(VLOOKUP(特质表!D118,$C$2:$I$173,2,0),""))</f>
        <v/>
      </c>
      <c r="M117" s="106" t="str">
        <f>IFERROR(VLOOKUP(特质表!C118,$C$2:$I$173,4,0),IFERROR(VLOOKUP(特质表!D118,$C$2:$I$173,4,0),""))</f>
        <v/>
      </c>
      <c r="N117" s="106" t="str">
        <f>IFERROR(VLOOKUP(特质表!C118,$C$2:$I$173,6,0),IFERROR(VLOOKUP(特质表!D118,$C$2:$I$173,6,0),""))</f>
        <v/>
      </c>
    </row>
    <row r="118" ht="32.4" spans="3:14">
      <c r="C118" s="111" t="s">
        <v>1140</v>
      </c>
      <c r="D118" s="112" t="s">
        <v>1960</v>
      </c>
      <c r="E118" s="112" t="s">
        <v>1141</v>
      </c>
      <c r="F118" s="112" t="s">
        <v>1961</v>
      </c>
      <c r="G118" s="113" t="s">
        <v>1142</v>
      </c>
      <c r="H118" s="113" t="s">
        <v>1962</v>
      </c>
      <c r="I118" s="113">
        <v>10</v>
      </c>
      <c r="L118" s="106" t="str">
        <f>IFERROR(VLOOKUP(特质表!C119,$C$2:$I$173,2,0),IFERROR(VLOOKUP(特质表!D119,$C$2:$I$173,2,0),""))</f>
        <v/>
      </c>
      <c r="M118" s="106" t="str">
        <f>IFERROR(VLOOKUP(特质表!C119,$C$2:$I$173,4,0),IFERROR(VLOOKUP(特质表!D119,$C$2:$I$173,4,0),""))</f>
        <v/>
      </c>
      <c r="N118" s="106" t="str">
        <f>IFERROR(VLOOKUP(特质表!C119,$C$2:$I$173,6,0),IFERROR(VLOOKUP(特质表!D119,$C$2:$I$173,6,0),""))</f>
        <v/>
      </c>
    </row>
    <row r="119" spans="3:14">
      <c r="C119" s="111" t="s">
        <v>1143</v>
      </c>
      <c r="D119" s="112" t="s">
        <v>1963</v>
      </c>
      <c r="E119" s="112" t="s">
        <v>1144</v>
      </c>
      <c r="F119" s="112" t="s">
        <v>1964</v>
      </c>
      <c r="G119" s="113" t="s">
        <v>1145</v>
      </c>
      <c r="H119" s="113" t="s">
        <v>1965</v>
      </c>
      <c r="I119" s="113">
        <v>5</v>
      </c>
      <c r="L119" s="106" t="str">
        <f>IFERROR(VLOOKUP(特质表!C120,$C$2:$I$173,2,0),IFERROR(VLOOKUP(特质表!D120,$C$2:$I$173,2,0),""))</f>
        <v/>
      </c>
      <c r="M119" s="106" t="str">
        <f>IFERROR(VLOOKUP(特质表!C120,$C$2:$I$173,4,0),IFERROR(VLOOKUP(特质表!D120,$C$2:$I$173,4,0),""))</f>
        <v/>
      </c>
      <c r="N119" s="106" t="str">
        <f>IFERROR(VLOOKUP(特质表!C120,$C$2:$I$173,6,0),IFERROR(VLOOKUP(特质表!D120,$C$2:$I$173,6,0),""))</f>
        <v/>
      </c>
    </row>
    <row r="120" ht="32.4" spans="3:14">
      <c r="C120" s="111" t="s">
        <v>1146</v>
      </c>
      <c r="D120" s="112" t="s">
        <v>1966</v>
      </c>
      <c r="E120" s="112" t="s">
        <v>1147</v>
      </c>
      <c r="F120" s="112" t="s">
        <v>1967</v>
      </c>
      <c r="G120" s="113" t="s">
        <v>1148</v>
      </c>
      <c r="H120" s="113" t="s">
        <v>1968</v>
      </c>
      <c r="I120" s="113">
        <v>10</v>
      </c>
      <c r="L120" s="106" t="str">
        <f>IFERROR(VLOOKUP(特质表!C121,$C$2:$I$173,2,0),IFERROR(VLOOKUP(特质表!D121,$C$2:$I$173,2,0),""))</f>
        <v/>
      </c>
      <c r="M120" s="106" t="str">
        <f>IFERROR(VLOOKUP(特质表!C121,$C$2:$I$173,4,0),IFERROR(VLOOKUP(特质表!D121,$C$2:$I$173,4,0),""))</f>
        <v/>
      </c>
      <c r="N120" s="106" t="str">
        <f>IFERROR(VLOOKUP(特质表!C121,$C$2:$I$173,6,0),IFERROR(VLOOKUP(特质表!D121,$C$2:$I$173,6,0),""))</f>
        <v/>
      </c>
    </row>
    <row r="121" spans="3:14">
      <c r="C121" s="111" t="s">
        <v>1149</v>
      </c>
      <c r="D121" s="112" t="s">
        <v>1969</v>
      </c>
      <c r="E121" s="112" t="s">
        <v>1150</v>
      </c>
      <c r="F121" s="112" t="s">
        <v>1970</v>
      </c>
      <c r="G121" s="113" t="s">
        <v>1150</v>
      </c>
      <c r="H121" s="113" t="s">
        <v>1971</v>
      </c>
      <c r="I121" s="113">
        <v>5</v>
      </c>
      <c r="L121" s="106" t="str">
        <f>IFERROR(VLOOKUP(特质表!C122,$C$2:$I$173,2,0),IFERROR(VLOOKUP(特质表!D122,$C$2:$I$173,2,0),""))</f>
        <v/>
      </c>
      <c r="M121" s="106" t="str">
        <f>IFERROR(VLOOKUP(特质表!C122,$C$2:$I$173,4,0),IFERROR(VLOOKUP(特质表!D122,$C$2:$I$173,4,0),""))</f>
        <v/>
      </c>
      <c r="N121" s="106" t="str">
        <f>IFERROR(VLOOKUP(特质表!C122,$C$2:$I$173,6,0),IFERROR(VLOOKUP(特质表!D122,$C$2:$I$173,6,0),""))</f>
        <v/>
      </c>
    </row>
    <row r="122" ht="48.6" spans="3:14">
      <c r="C122" s="111" t="s">
        <v>1151</v>
      </c>
      <c r="D122" s="112" t="s">
        <v>1972</v>
      </c>
      <c r="E122" s="112" t="s">
        <v>1152</v>
      </c>
      <c r="F122" s="112" t="s">
        <v>1973</v>
      </c>
      <c r="G122" s="113" t="s">
        <v>1153</v>
      </c>
      <c r="H122" s="113" t="s">
        <v>1974</v>
      </c>
      <c r="I122" s="113">
        <v>30</v>
      </c>
      <c r="L122" s="106" t="str">
        <f>IFERROR(VLOOKUP(特质表!C123,$C$2:$I$173,2,0),IFERROR(VLOOKUP(特质表!D123,$C$2:$I$173,2,0),""))</f>
        <v/>
      </c>
      <c r="M122" s="106" t="str">
        <f>IFERROR(VLOOKUP(特质表!C123,$C$2:$I$173,4,0),IFERROR(VLOOKUP(特质表!D123,$C$2:$I$173,4,0),""))</f>
        <v/>
      </c>
      <c r="N122" s="106" t="str">
        <f>IFERROR(VLOOKUP(特质表!C123,$C$2:$I$173,6,0),IFERROR(VLOOKUP(特质表!D123,$C$2:$I$173,6,0),""))</f>
        <v/>
      </c>
    </row>
    <row r="123" ht="32.4" spans="3:14">
      <c r="C123" s="111" t="s">
        <v>1154</v>
      </c>
      <c r="D123" s="112" t="s">
        <v>1975</v>
      </c>
      <c r="E123" s="112" t="s">
        <v>1155</v>
      </c>
      <c r="F123" s="112" t="s">
        <v>1976</v>
      </c>
      <c r="G123" s="113" t="s">
        <v>1156</v>
      </c>
      <c r="H123" s="113" t="s">
        <v>1977</v>
      </c>
      <c r="I123" s="113">
        <v>10</v>
      </c>
      <c r="L123" s="106" t="str">
        <f>IFERROR(VLOOKUP(特质表!C124,$C$2:$I$173,2,0),IFERROR(VLOOKUP(特质表!D124,$C$2:$I$173,2,0),""))</f>
        <v/>
      </c>
      <c r="M123" s="106" t="str">
        <f>IFERROR(VLOOKUP(特质表!C124,$C$2:$I$173,4,0),IFERROR(VLOOKUP(特质表!D124,$C$2:$I$173,4,0),""))</f>
        <v/>
      </c>
      <c r="N123" s="106" t="str">
        <f>IFERROR(VLOOKUP(特质表!C124,$C$2:$I$173,6,0),IFERROR(VLOOKUP(特质表!D124,$C$2:$I$173,6,0),""))</f>
        <v/>
      </c>
    </row>
    <row r="124" ht="48.6" spans="3:14">
      <c r="C124" s="111" t="s">
        <v>1157</v>
      </c>
      <c r="D124" s="112" t="s">
        <v>1978</v>
      </c>
      <c r="E124" s="112" t="s">
        <v>1158</v>
      </c>
      <c r="F124" s="112" t="s">
        <v>1979</v>
      </c>
      <c r="G124" s="113" t="s">
        <v>1159</v>
      </c>
      <c r="H124" s="113" t="s">
        <v>1980</v>
      </c>
      <c r="I124" s="113">
        <v>10</v>
      </c>
      <c r="L124" s="106" t="str">
        <f>IFERROR(VLOOKUP(特质表!C125,$C$2:$I$173,2,0),IFERROR(VLOOKUP(特质表!D125,$C$2:$I$173,2,0),""))</f>
        <v/>
      </c>
      <c r="M124" s="106" t="str">
        <f>IFERROR(VLOOKUP(特质表!C125,$C$2:$I$173,4,0),IFERROR(VLOOKUP(特质表!D125,$C$2:$I$173,4,0),""))</f>
        <v/>
      </c>
      <c r="N124" s="106" t="str">
        <f>IFERROR(VLOOKUP(特质表!C125,$C$2:$I$173,6,0),IFERROR(VLOOKUP(特质表!D125,$C$2:$I$173,6,0),""))</f>
        <v/>
      </c>
    </row>
    <row r="125" ht="64.8" spans="3:14">
      <c r="C125" s="111" t="s">
        <v>1160</v>
      </c>
      <c r="D125" s="112" t="s">
        <v>1981</v>
      </c>
      <c r="E125" s="112" t="s">
        <v>1161</v>
      </c>
      <c r="F125" s="112" t="s">
        <v>1982</v>
      </c>
      <c r="G125" s="113" t="s">
        <v>1162</v>
      </c>
      <c r="H125" s="113" t="s">
        <v>1983</v>
      </c>
      <c r="I125" s="113">
        <v>0</v>
      </c>
      <c r="L125" s="106" t="str">
        <f>IFERROR(VLOOKUP(特质表!C126,$C$2:$I$173,2,0),IFERROR(VLOOKUP(特质表!D126,$C$2:$I$173,2,0),""))</f>
        <v/>
      </c>
      <c r="M125" s="106" t="str">
        <f>IFERROR(VLOOKUP(特质表!C126,$C$2:$I$173,4,0),IFERROR(VLOOKUP(特质表!D126,$C$2:$I$173,4,0),""))</f>
        <v/>
      </c>
      <c r="N125" s="106" t="str">
        <f>IFERROR(VLOOKUP(特质表!C126,$C$2:$I$173,6,0),IFERROR(VLOOKUP(特质表!D126,$C$2:$I$173,6,0),""))</f>
        <v/>
      </c>
    </row>
    <row r="126" ht="48.6" spans="3:14">
      <c r="C126" s="111" t="s">
        <v>1163</v>
      </c>
      <c r="D126" s="112" t="s">
        <v>1984</v>
      </c>
      <c r="E126" s="112" t="s">
        <v>1164</v>
      </c>
      <c r="F126" s="112" t="s">
        <v>1985</v>
      </c>
      <c r="G126" s="113" t="s">
        <v>1165</v>
      </c>
      <c r="H126" s="113" t="s">
        <v>1986</v>
      </c>
      <c r="I126" s="113">
        <v>0</v>
      </c>
      <c r="L126" s="106" t="str">
        <f>IFERROR(VLOOKUP(特质表!C127,$C$2:$I$173,2,0),IFERROR(VLOOKUP(特质表!D127,$C$2:$I$173,2,0),""))</f>
        <v/>
      </c>
      <c r="M126" s="106" t="str">
        <f>IFERROR(VLOOKUP(特质表!C127,$C$2:$I$173,4,0),IFERROR(VLOOKUP(特质表!D127,$C$2:$I$173,4,0),""))</f>
        <v/>
      </c>
      <c r="N126" s="106" t="str">
        <f>IFERROR(VLOOKUP(特质表!C127,$C$2:$I$173,6,0),IFERROR(VLOOKUP(特质表!D127,$C$2:$I$173,6,0),""))</f>
        <v/>
      </c>
    </row>
    <row r="127" ht="178.2" spans="3:14">
      <c r="C127" s="111" t="s">
        <v>1167</v>
      </c>
      <c r="D127" s="112" t="s">
        <v>1987</v>
      </c>
      <c r="E127" s="112" t="s">
        <v>1168</v>
      </c>
      <c r="F127" s="112" t="s">
        <v>1988</v>
      </c>
      <c r="G127" s="113" t="s">
        <v>1169</v>
      </c>
      <c r="H127" s="113" t="s">
        <v>1989</v>
      </c>
      <c r="I127" s="113" t="s">
        <v>1065</v>
      </c>
      <c r="L127" s="106" t="str">
        <f>IFERROR(VLOOKUP(特质表!C128,$C$2:$I$173,2,0),IFERROR(VLOOKUP(特质表!D128,$C$2:$I$173,2,0),""))</f>
        <v/>
      </c>
      <c r="M127" s="106" t="str">
        <f>IFERROR(VLOOKUP(特质表!C128,$C$2:$I$173,4,0),IFERROR(VLOOKUP(特质表!D128,$C$2:$I$173,4,0),""))</f>
        <v/>
      </c>
      <c r="N127" s="106" t="str">
        <f>IFERROR(VLOOKUP(特质表!C128,$C$2:$I$173,6,0),IFERROR(VLOOKUP(特质表!D128,$C$2:$I$173,6,0),""))</f>
        <v/>
      </c>
    </row>
    <row r="128" ht="48.6" spans="3:14">
      <c r="C128" s="111" t="s">
        <v>1170</v>
      </c>
      <c r="D128" s="112" t="s">
        <v>1990</v>
      </c>
      <c r="E128" s="112" t="s">
        <v>1171</v>
      </c>
      <c r="F128" s="112" t="s">
        <v>1991</v>
      </c>
      <c r="G128" s="113" t="s">
        <v>1172</v>
      </c>
      <c r="H128" s="113" t="s">
        <v>1992</v>
      </c>
      <c r="I128" s="113">
        <v>-10</v>
      </c>
      <c r="L128" s="106" t="str">
        <f>IFERROR(VLOOKUP(特质表!C129,$C$2:$I$173,2,0),IFERROR(VLOOKUP(特质表!D129,$C$2:$I$173,2,0),""))</f>
        <v/>
      </c>
      <c r="M128" s="106" t="str">
        <f>IFERROR(VLOOKUP(特质表!C129,$C$2:$I$173,4,0),IFERROR(VLOOKUP(特质表!D129,$C$2:$I$173,4,0),""))</f>
        <v/>
      </c>
      <c r="N128" s="106" t="str">
        <f>IFERROR(VLOOKUP(特质表!C129,$C$2:$I$173,6,0),IFERROR(VLOOKUP(特质表!D129,$C$2:$I$173,6,0),""))</f>
        <v/>
      </c>
    </row>
    <row r="129" ht="32.4" spans="3:14">
      <c r="C129" s="111" t="s">
        <v>1173</v>
      </c>
      <c r="D129" s="112" t="s">
        <v>1993</v>
      </c>
      <c r="E129" s="112" t="s">
        <v>1174</v>
      </c>
      <c r="F129" s="112" t="s">
        <v>1994</v>
      </c>
      <c r="G129" s="113" t="s">
        <v>1175</v>
      </c>
      <c r="H129" s="113" t="s">
        <v>1995</v>
      </c>
      <c r="I129" s="113">
        <v>-15</v>
      </c>
      <c r="L129" s="106" t="str">
        <f>IFERROR(VLOOKUP(特质表!C130,$C$2:$I$173,2,0),IFERROR(VLOOKUP(特质表!D130,$C$2:$I$173,2,0),""))</f>
        <v/>
      </c>
      <c r="M129" s="106" t="str">
        <f>IFERROR(VLOOKUP(特质表!C130,$C$2:$I$173,4,0),IFERROR(VLOOKUP(特质表!D130,$C$2:$I$173,4,0),""))</f>
        <v/>
      </c>
      <c r="N129" s="106" t="str">
        <f>IFERROR(VLOOKUP(特质表!C130,$C$2:$I$173,6,0),IFERROR(VLOOKUP(特质表!D130,$C$2:$I$173,6,0),""))</f>
        <v/>
      </c>
    </row>
    <row r="130" ht="81" spans="3:14">
      <c r="C130" s="111" t="s">
        <v>1176</v>
      </c>
      <c r="D130" s="112" t="s">
        <v>1996</v>
      </c>
      <c r="E130" s="112" t="s">
        <v>1177</v>
      </c>
      <c r="F130" s="112" t="s">
        <v>1997</v>
      </c>
      <c r="G130" s="113" t="s">
        <v>1178</v>
      </c>
      <c r="H130" s="113" t="s">
        <v>1998</v>
      </c>
      <c r="I130" s="113">
        <v>0</v>
      </c>
      <c r="L130" s="106" t="str">
        <f>IFERROR(VLOOKUP(特质表!C131,$C$2:$I$173,2,0),IFERROR(VLOOKUP(特质表!D131,$C$2:$I$173,2,0),""))</f>
        <v/>
      </c>
      <c r="M130" s="106" t="str">
        <f>IFERROR(VLOOKUP(特质表!C131,$C$2:$I$173,4,0),IFERROR(VLOOKUP(特质表!D131,$C$2:$I$173,4,0),""))</f>
        <v/>
      </c>
      <c r="N130" s="106" t="str">
        <f>IFERROR(VLOOKUP(特质表!C131,$C$2:$I$173,6,0),IFERROR(VLOOKUP(特质表!D131,$C$2:$I$173,6,0),""))</f>
        <v/>
      </c>
    </row>
    <row r="131" ht="48.6" spans="3:14">
      <c r="C131" s="111" t="s">
        <v>1179</v>
      </c>
      <c r="D131" s="112" t="s">
        <v>1999</v>
      </c>
      <c r="E131" s="112" t="s">
        <v>1180</v>
      </c>
      <c r="F131" s="112" t="s">
        <v>2000</v>
      </c>
      <c r="G131" s="113" t="s">
        <v>1181</v>
      </c>
      <c r="H131" s="113" t="s">
        <v>2001</v>
      </c>
      <c r="I131" s="113">
        <v>-10</v>
      </c>
      <c r="L131" s="106" t="str">
        <f>IFERROR(VLOOKUP(特质表!C132,$C$2:$I$173,2,0),IFERROR(VLOOKUP(特质表!D132,$C$2:$I$173,2,0),""))</f>
        <v/>
      </c>
      <c r="M131" s="106" t="str">
        <f>IFERROR(VLOOKUP(特质表!C132,$C$2:$I$173,4,0),IFERROR(VLOOKUP(特质表!D132,$C$2:$I$173,4,0),""))</f>
        <v/>
      </c>
      <c r="N131" s="106" t="str">
        <f>IFERROR(VLOOKUP(特质表!C132,$C$2:$I$173,6,0),IFERROR(VLOOKUP(特质表!D132,$C$2:$I$173,6,0),""))</f>
        <v/>
      </c>
    </row>
    <row r="132" ht="48.6" spans="3:14">
      <c r="C132" s="111" t="s">
        <v>1182</v>
      </c>
      <c r="D132" s="112" t="s">
        <v>2002</v>
      </c>
      <c r="E132" s="112" t="s">
        <v>1183</v>
      </c>
      <c r="F132" s="112" t="s">
        <v>2003</v>
      </c>
      <c r="G132" s="113" t="s">
        <v>1184</v>
      </c>
      <c r="H132" s="113" t="s">
        <v>2004</v>
      </c>
      <c r="I132" s="113">
        <v>10</v>
      </c>
      <c r="L132" s="106" t="str">
        <f>IFERROR(VLOOKUP(特质表!C133,$C$2:$I$173,2,0),IFERROR(VLOOKUP(特质表!D133,$C$2:$I$173,2,0),""))</f>
        <v/>
      </c>
      <c r="M132" s="106" t="str">
        <f>IFERROR(VLOOKUP(特质表!C133,$C$2:$I$173,4,0),IFERROR(VLOOKUP(特质表!D133,$C$2:$I$173,4,0),""))</f>
        <v/>
      </c>
      <c r="N132" s="106" t="str">
        <f>IFERROR(VLOOKUP(特质表!C133,$C$2:$I$173,6,0),IFERROR(VLOOKUP(特质表!D133,$C$2:$I$173,6,0),""))</f>
        <v/>
      </c>
    </row>
    <row r="133" ht="32.4" spans="3:14">
      <c r="C133" s="111" t="s">
        <v>1185</v>
      </c>
      <c r="D133" s="112" t="s">
        <v>2005</v>
      </c>
      <c r="E133" s="112" t="s">
        <v>1186</v>
      </c>
      <c r="F133" s="112" t="s">
        <v>2006</v>
      </c>
      <c r="G133" s="113" t="s">
        <v>1187</v>
      </c>
      <c r="H133" s="113" t="s">
        <v>2007</v>
      </c>
      <c r="I133" s="113">
        <v>-10</v>
      </c>
      <c r="L133" s="106" t="str">
        <f>IFERROR(VLOOKUP(特质表!C134,$C$2:$I$173,2,0),IFERROR(VLOOKUP(特质表!D134,$C$2:$I$173,2,0),""))</f>
        <v/>
      </c>
      <c r="M133" s="106" t="str">
        <f>IFERROR(VLOOKUP(特质表!C134,$C$2:$I$173,4,0),IFERROR(VLOOKUP(特质表!D134,$C$2:$I$173,4,0),""))</f>
        <v/>
      </c>
      <c r="N133" s="106" t="str">
        <f>IFERROR(VLOOKUP(特质表!C134,$C$2:$I$173,6,0),IFERROR(VLOOKUP(特质表!D134,$C$2:$I$173,6,0),""))</f>
        <v/>
      </c>
    </row>
    <row r="134" ht="48.6" spans="3:14">
      <c r="C134" s="111" t="s">
        <v>1188</v>
      </c>
      <c r="D134" s="112" t="s">
        <v>2008</v>
      </c>
      <c r="E134" s="112" t="s">
        <v>1189</v>
      </c>
      <c r="F134" s="112" t="s">
        <v>2009</v>
      </c>
      <c r="G134" s="113" t="s">
        <v>1190</v>
      </c>
      <c r="H134" s="113" t="s">
        <v>2010</v>
      </c>
      <c r="I134" s="113" t="s">
        <v>1191</v>
      </c>
      <c r="L134" s="106" t="str">
        <f>IFERROR(VLOOKUP(特质表!C135,$C$2:$I$173,2,0),IFERROR(VLOOKUP(特质表!D135,$C$2:$I$173,2,0),""))</f>
        <v/>
      </c>
      <c r="M134" s="106" t="str">
        <f>IFERROR(VLOOKUP(特质表!C135,$C$2:$I$173,4,0),IFERROR(VLOOKUP(特质表!D135,$C$2:$I$173,4,0),""))</f>
        <v/>
      </c>
      <c r="N134" s="106" t="str">
        <f>IFERROR(VLOOKUP(特质表!C135,$C$2:$I$173,6,0),IFERROR(VLOOKUP(特质表!D135,$C$2:$I$173,6,0),""))</f>
        <v/>
      </c>
    </row>
    <row r="135" ht="48.6" spans="3:14">
      <c r="C135" s="111" t="s">
        <v>1192</v>
      </c>
      <c r="D135" s="112" t="s">
        <v>2011</v>
      </c>
      <c r="E135" s="112" t="s">
        <v>1193</v>
      </c>
      <c r="F135" s="112" t="s">
        <v>2012</v>
      </c>
      <c r="G135" s="113" t="s">
        <v>1194</v>
      </c>
      <c r="H135" s="113" t="s">
        <v>2013</v>
      </c>
      <c r="I135" s="113">
        <v>-10</v>
      </c>
      <c r="L135" s="106" t="str">
        <f>IFERROR(VLOOKUP(特质表!C136,$C$2:$I$173,2,0),IFERROR(VLOOKUP(特质表!D136,$C$2:$I$173,2,0),""))</f>
        <v/>
      </c>
      <c r="M135" s="106" t="str">
        <f>IFERROR(VLOOKUP(特质表!C136,$C$2:$I$173,4,0),IFERROR(VLOOKUP(特质表!D136,$C$2:$I$173,4,0),""))</f>
        <v/>
      </c>
      <c r="N135" s="106" t="str">
        <f>IFERROR(VLOOKUP(特质表!C136,$C$2:$I$173,6,0),IFERROR(VLOOKUP(特质表!D136,$C$2:$I$173,6,0),""))</f>
        <v/>
      </c>
    </row>
    <row r="136" ht="64.8" spans="3:14">
      <c r="C136" s="111" t="s">
        <v>1195</v>
      </c>
      <c r="D136" s="112" t="s">
        <v>2014</v>
      </c>
      <c r="E136" s="112" t="s">
        <v>1196</v>
      </c>
      <c r="F136" s="112" t="s">
        <v>2015</v>
      </c>
      <c r="G136" s="113" t="s">
        <v>1197</v>
      </c>
      <c r="H136" s="113" t="s">
        <v>2016</v>
      </c>
      <c r="I136" s="113">
        <v>-10</v>
      </c>
      <c r="L136" s="106" t="str">
        <f>IFERROR(VLOOKUP(特质表!C137,$C$2:$I$173,2,0),IFERROR(VLOOKUP(特质表!D137,$C$2:$I$173,2,0),""))</f>
        <v/>
      </c>
      <c r="M136" s="106" t="str">
        <f>IFERROR(VLOOKUP(特质表!C137,$C$2:$I$173,4,0),IFERROR(VLOOKUP(特质表!D137,$C$2:$I$173,4,0),""))</f>
        <v/>
      </c>
      <c r="N136" s="106" t="str">
        <f>IFERROR(VLOOKUP(特质表!C137,$C$2:$I$173,6,0),IFERROR(VLOOKUP(特质表!D137,$C$2:$I$173,6,0),""))</f>
        <v/>
      </c>
    </row>
    <row r="137" ht="64.8" spans="3:14">
      <c r="C137" s="111" t="s">
        <v>1198</v>
      </c>
      <c r="D137" s="112" t="s">
        <v>2017</v>
      </c>
      <c r="E137" s="112" t="s">
        <v>1199</v>
      </c>
      <c r="F137" s="112" t="s">
        <v>2018</v>
      </c>
      <c r="G137" s="113" t="s">
        <v>1200</v>
      </c>
      <c r="H137" s="113" t="s">
        <v>2019</v>
      </c>
      <c r="I137" s="113">
        <v>-10</v>
      </c>
      <c r="L137" s="106" t="str">
        <f>IFERROR(VLOOKUP(特质表!C138,$C$2:$I$173,2,0),IFERROR(VLOOKUP(特质表!D138,$C$2:$I$173,2,0),""))</f>
        <v/>
      </c>
      <c r="M137" s="106" t="str">
        <f>IFERROR(VLOOKUP(特质表!C138,$C$2:$I$173,4,0),IFERROR(VLOOKUP(特质表!D138,$C$2:$I$173,4,0),""))</f>
        <v/>
      </c>
      <c r="N137" s="106" t="str">
        <f>IFERROR(VLOOKUP(特质表!C138,$C$2:$I$173,6,0),IFERROR(VLOOKUP(特质表!D138,$C$2:$I$173,6,0),""))</f>
        <v/>
      </c>
    </row>
    <row r="138" ht="81" spans="3:14">
      <c r="C138" s="111" t="s">
        <v>1201</v>
      </c>
      <c r="D138" s="112" t="s">
        <v>2020</v>
      </c>
      <c r="E138" s="112" t="s">
        <v>1202</v>
      </c>
      <c r="F138" s="112" t="s">
        <v>2021</v>
      </c>
      <c r="G138" s="113" t="s">
        <v>1203</v>
      </c>
      <c r="H138" s="113" t="s">
        <v>2022</v>
      </c>
      <c r="I138" s="113">
        <v>-10</v>
      </c>
      <c r="L138" s="106" t="str">
        <f>IFERROR(VLOOKUP(特质表!C139,$C$2:$I$173,2,0),IFERROR(VLOOKUP(特质表!D139,$C$2:$I$173,2,0),""))</f>
        <v/>
      </c>
      <c r="M138" s="106" t="str">
        <f>IFERROR(VLOOKUP(特质表!C139,$C$2:$I$173,4,0),IFERROR(VLOOKUP(特质表!D139,$C$2:$I$173,4,0),""))</f>
        <v/>
      </c>
      <c r="N138" s="106" t="str">
        <f>IFERROR(VLOOKUP(特质表!C139,$C$2:$I$173,6,0),IFERROR(VLOOKUP(特质表!D139,$C$2:$I$173,6,0),""))</f>
        <v/>
      </c>
    </row>
    <row r="139" ht="48.6" spans="3:14">
      <c r="C139" s="111" t="s">
        <v>1204</v>
      </c>
      <c r="D139" s="112" t="s">
        <v>2023</v>
      </c>
      <c r="E139" s="112" t="s">
        <v>1205</v>
      </c>
      <c r="F139" s="112" t="s">
        <v>2024</v>
      </c>
      <c r="G139" s="113" t="s">
        <v>1206</v>
      </c>
      <c r="H139" s="113" t="s">
        <v>2025</v>
      </c>
      <c r="I139" s="113">
        <v>-15</v>
      </c>
      <c r="L139" s="106" t="str">
        <f>IFERROR(VLOOKUP(特质表!C140,$C$2:$I$173,2,0),IFERROR(VLOOKUP(特质表!D140,$C$2:$I$173,2,0),""))</f>
        <v/>
      </c>
      <c r="M139" s="106" t="str">
        <f>IFERROR(VLOOKUP(特质表!C140,$C$2:$I$173,4,0),IFERROR(VLOOKUP(特质表!D140,$C$2:$I$173,4,0),""))</f>
        <v/>
      </c>
      <c r="N139" s="106" t="str">
        <f>IFERROR(VLOOKUP(特质表!C140,$C$2:$I$173,6,0),IFERROR(VLOOKUP(特质表!D140,$C$2:$I$173,6,0),""))</f>
        <v/>
      </c>
    </row>
    <row r="140" ht="48.6" spans="3:14">
      <c r="C140" s="111" t="s">
        <v>1207</v>
      </c>
      <c r="D140" s="112" t="s">
        <v>2026</v>
      </c>
      <c r="E140" s="112" t="s">
        <v>1208</v>
      </c>
      <c r="F140" s="112" t="s">
        <v>2027</v>
      </c>
      <c r="G140" s="113" t="s">
        <v>1209</v>
      </c>
      <c r="H140" s="113" t="s">
        <v>2028</v>
      </c>
      <c r="I140" s="113">
        <v>-5</v>
      </c>
      <c r="L140" s="106" t="str">
        <f>IFERROR(VLOOKUP(特质表!C141,$C$2:$I$173,2,0),IFERROR(VLOOKUP(特质表!D141,$C$2:$I$173,2,0),""))</f>
        <v/>
      </c>
      <c r="M140" s="106" t="str">
        <f>IFERROR(VLOOKUP(特质表!C141,$C$2:$I$173,4,0),IFERROR(VLOOKUP(特质表!D141,$C$2:$I$173,4,0),""))</f>
        <v/>
      </c>
      <c r="N140" s="106" t="str">
        <f>IFERROR(VLOOKUP(特质表!C141,$C$2:$I$173,6,0),IFERROR(VLOOKUP(特质表!D141,$C$2:$I$173,6,0),""))</f>
        <v/>
      </c>
    </row>
    <row r="141" ht="64.8" spans="3:14">
      <c r="C141" s="111" t="s">
        <v>1210</v>
      </c>
      <c r="D141" s="112" t="s">
        <v>2029</v>
      </c>
      <c r="E141" s="112" t="s">
        <v>1211</v>
      </c>
      <c r="F141" s="112" t="s">
        <v>2030</v>
      </c>
      <c r="G141" s="113" t="s">
        <v>1212</v>
      </c>
      <c r="H141" s="113" t="s">
        <v>2031</v>
      </c>
      <c r="I141" s="113">
        <v>0</v>
      </c>
      <c r="L141" s="106" t="str">
        <f>IFERROR(VLOOKUP(特质表!C142,$C$2:$I$173,2,0),IFERROR(VLOOKUP(特质表!D142,$C$2:$I$173,2,0),""))</f>
        <v/>
      </c>
      <c r="M141" s="106" t="str">
        <f>IFERROR(VLOOKUP(特质表!C142,$C$2:$I$173,4,0),IFERROR(VLOOKUP(特质表!D142,$C$2:$I$173,4,0),""))</f>
        <v/>
      </c>
      <c r="N141" s="106" t="str">
        <f>IFERROR(VLOOKUP(特质表!C142,$C$2:$I$173,6,0),IFERROR(VLOOKUP(特质表!D142,$C$2:$I$173,6,0),""))</f>
        <v/>
      </c>
    </row>
    <row r="142" ht="129.6" spans="3:14">
      <c r="C142" s="111" t="s">
        <v>1213</v>
      </c>
      <c r="D142" s="112" t="s">
        <v>2032</v>
      </c>
      <c r="E142" s="112" t="s">
        <v>1214</v>
      </c>
      <c r="F142" s="112" t="s">
        <v>2033</v>
      </c>
      <c r="G142" s="113" t="s">
        <v>1215</v>
      </c>
      <c r="H142" s="113" t="s">
        <v>2034</v>
      </c>
      <c r="I142" s="113">
        <v>-15</v>
      </c>
      <c r="L142" s="106" t="str">
        <f>IFERROR(VLOOKUP(特质表!C143,$C$2:$I$173,2,0),IFERROR(VLOOKUP(特质表!D143,$C$2:$I$173,2,0),""))</f>
        <v/>
      </c>
      <c r="M142" s="106" t="str">
        <f>IFERROR(VLOOKUP(特质表!C143,$C$2:$I$173,4,0),IFERROR(VLOOKUP(特质表!D143,$C$2:$I$173,4,0),""))</f>
        <v/>
      </c>
      <c r="N142" s="106" t="str">
        <f>IFERROR(VLOOKUP(特质表!C143,$C$2:$I$173,6,0),IFERROR(VLOOKUP(特质表!D143,$C$2:$I$173,6,0),""))</f>
        <v/>
      </c>
    </row>
    <row r="143" ht="129.6" spans="3:14">
      <c r="C143" s="111" t="s">
        <v>1216</v>
      </c>
      <c r="D143" s="112" t="s">
        <v>2035</v>
      </c>
      <c r="E143" s="112" t="s">
        <v>1217</v>
      </c>
      <c r="F143" s="112" t="s">
        <v>2036</v>
      </c>
      <c r="G143" s="113" t="s">
        <v>1218</v>
      </c>
      <c r="H143" s="113" t="s">
        <v>2037</v>
      </c>
      <c r="I143" s="113">
        <v>-10</v>
      </c>
      <c r="L143" s="106" t="str">
        <f>IFERROR(VLOOKUP(特质表!C144,$C$2:$I$173,2,0),IFERROR(VLOOKUP(特质表!D144,$C$2:$I$173,2,0),""))</f>
        <v/>
      </c>
      <c r="M143" s="106" t="str">
        <f>IFERROR(VLOOKUP(特质表!C144,$C$2:$I$173,4,0),IFERROR(VLOOKUP(特质表!D144,$C$2:$I$173,4,0),""))</f>
        <v/>
      </c>
      <c r="N143" s="106" t="str">
        <f>IFERROR(VLOOKUP(特质表!C144,$C$2:$I$173,6,0),IFERROR(VLOOKUP(特质表!D144,$C$2:$I$173,6,0),""))</f>
        <v/>
      </c>
    </row>
    <row r="144" ht="97.2" spans="3:14">
      <c r="C144" s="111" t="s">
        <v>1219</v>
      </c>
      <c r="D144" s="112" t="s">
        <v>2038</v>
      </c>
      <c r="E144" s="112" t="s">
        <v>1220</v>
      </c>
      <c r="F144" s="112" t="s">
        <v>2039</v>
      </c>
      <c r="G144" s="113" t="s">
        <v>1221</v>
      </c>
      <c r="H144" s="113" t="s">
        <v>2040</v>
      </c>
      <c r="I144" s="113" t="s">
        <v>1065</v>
      </c>
      <c r="L144" s="106" t="str">
        <f>IFERROR(VLOOKUP(特质表!C145,$C$2:$I$173,2,0),IFERROR(VLOOKUP(特质表!D145,$C$2:$I$173,2,0),""))</f>
        <v/>
      </c>
      <c r="M144" s="106" t="str">
        <f>IFERROR(VLOOKUP(特质表!C145,$C$2:$I$173,4,0),IFERROR(VLOOKUP(特质表!D145,$C$2:$I$173,4,0),""))</f>
        <v/>
      </c>
      <c r="N144" s="106" t="str">
        <f>IFERROR(VLOOKUP(特质表!C145,$C$2:$I$173,6,0),IFERROR(VLOOKUP(特质表!D145,$C$2:$I$173,6,0),""))</f>
        <v/>
      </c>
    </row>
    <row r="145" ht="48.6" spans="3:14">
      <c r="C145" s="111" t="s">
        <v>1222</v>
      </c>
      <c r="D145" s="112" t="s">
        <v>2041</v>
      </c>
      <c r="E145" s="112" t="s">
        <v>1223</v>
      </c>
      <c r="F145" s="112" t="s">
        <v>2042</v>
      </c>
      <c r="G145" s="113" t="s">
        <v>1224</v>
      </c>
      <c r="H145" s="113" t="s">
        <v>2043</v>
      </c>
      <c r="I145" s="113">
        <v>-10</v>
      </c>
      <c r="L145" s="106" t="str">
        <f>IFERROR(VLOOKUP(特质表!C146,$C$2:$I$173,2,0),IFERROR(VLOOKUP(特质表!D146,$C$2:$I$173,2,0),""))</f>
        <v/>
      </c>
      <c r="M145" s="106" t="str">
        <f>IFERROR(VLOOKUP(特质表!C146,$C$2:$I$173,4,0),IFERROR(VLOOKUP(特质表!D146,$C$2:$I$173,4,0),""))</f>
        <v/>
      </c>
      <c r="N145" s="106" t="str">
        <f>IFERROR(VLOOKUP(特质表!C146,$C$2:$I$173,6,0),IFERROR(VLOOKUP(特质表!D146,$C$2:$I$173,6,0),""))</f>
        <v/>
      </c>
    </row>
    <row r="146" ht="113.4" spans="3:14">
      <c r="C146" s="111" t="s">
        <v>1225</v>
      </c>
      <c r="D146" s="112" t="s">
        <v>2044</v>
      </c>
      <c r="E146" s="112" t="s">
        <v>1226</v>
      </c>
      <c r="F146" s="112" t="s">
        <v>2045</v>
      </c>
      <c r="G146" s="113" t="s">
        <v>1227</v>
      </c>
      <c r="H146" s="113" t="s">
        <v>2046</v>
      </c>
      <c r="I146" s="113">
        <v>-10</v>
      </c>
      <c r="L146" s="106" t="str">
        <f>IFERROR(VLOOKUP(特质表!C147,$C$2:$I$173,2,0),IFERROR(VLOOKUP(特质表!D147,$C$2:$I$173,2,0),""))</f>
        <v/>
      </c>
      <c r="M146" s="106" t="str">
        <f>IFERROR(VLOOKUP(特质表!C147,$C$2:$I$173,4,0),IFERROR(VLOOKUP(特质表!D147,$C$2:$I$173,4,0),""))</f>
        <v/>
      </c>
      <c r="N146" s="106" t="str">
        <f>IFERROR(VLOOKUP(特质表!C147,$C$2:$I$173,6,0),IFERROR(VLOOKUP(特质表!D147,$C$2:$I$173,6,0),""))</f>
        <v/>
      </c>
    </row>
    <row r="147" ht="48.6" spans="3:14">
      <c r="C147" s="111" t="s">
        <v>1228</v>
      </c>
      <c r="D147" s="112" t="s">
        <v>2047</v>
      </c>
      <c r="E147" s="112" t="s">
        <v>1229</v>
      </c>
      <c r="F147" s="112" t="s">
        <v>2048</v>
      </c>
      <c r="G147" s="113" t="s">
        <v>1230</v>
      </c>
      <c r="H147" s="113" t="s">
        <v>2049</v>
      </c>
      <c r="I147" s="113" t="s">
        <v>1069</v>
      </c>
      <c r="L147" s="106" t="str">
        <f>IFERROR(VLOOKUP(特质表!C148,$C$2:$I$173,2,0),IFERROR(VLOOKUP(特质表!D148,$C$2:$I$173,2,0),""))</f>
        <v/>
      </c>
      <c r="M147" s="106" t="str">
        <f>IFERROR(VLOOKUP(特质表!C148,$C$2:$I$173,4,0),IFERROR(VLOOKUP(特质表!D148,$C$2:$I$173,4,0),""))</f>
        <v/>
      </c>
      <c r="N147" s="106" t="str">
        <f>IFERROR(VLOOKUP(特质表!C148,$C$2:$I$173,6,0),IFERROR(VLOOKUP(特质表!D148,$C$2:$I$173,6,0),""))</f>
        <v/>
      </c>
    </row>
    <row r="148" ht="81" spans="3:14">
      <c r="C148" s="111" t="s">
        <v>453</v>
      </c>
      <c r="D148" s="112" t="s">
        <v>2050</v>
      </c>
      <c r="E148" s="112" t="s">
        <v>1231</v>
      </c>
      <c r="F148" s="112" t="s">
        <v>2051</v>
      </c>
      <c r="G148" s="113" t="s">
        <v>1232</v>
      </c>
      <c r="H148" s="113" t="s">
        <v>2052</v>
      </c>
      <c r="I148" s="113" t="s">
        <v>1069</v>
      </c>
      <c r="L148" s="106" t="str">
        <f>IFERROR(VLOOKUP(特质表!C149,$C$2:$I$173,2,0),IFERROR(VLOOKUP(特质表!D149,$C$2:$I$173,2,0),""))</f>
        <v/>
      </c>
      <c r="M148" s="106" t="str">
        <f>IFERROR(VLOOKUP(特质表!C149,$C$2:$I$173,4,0),IFERROR(VLOOKUP(特质表!D149,$C$2:$I$173,4,0),""))</f>
        <v/>
      </c>
      <c r="N148" s="106" t="str">
        <f>IFERROR(VLOOKUP(特质表!C149,$C$2:$I$173,6,0),IFERROR(VLOOKUP(特质表!D149,$C$2:$I$173,6,0),""))</f>
        <v/>
      </c>
    </row>
    <row r="149" ht="81" spans="3:14">
      <c r="C149" s="111" t="s">
        <v>1233</v>
      </c>
      <c r="D149" s="112" t="s">
        <v>2053</v>
      </c>
      <c r="E149" s="112" t="s">
        <v>1234</v>
      </c>
      <c r="F149" s="112" t="s">
        <v>2054</v>
      </c>
      <c r="G149" s="113" t="s">
        <v>1235</v>
      </c>
      <c r="H149" s="113" t="s">
        <v>2055</v>
      </c>
      <c r="I149" s="113" t="s">
        <v>1069</v>
      </c>
      <c r="L149" s="106" t="str">
        <f>IFERROR(VLOOKUP(特质表!C150,$C$2:$I$173,2,0),IFERROR(VLOOKUP(特质表!D150,$C$2:$I$173,2,0),""))</f>
        <v/>
      </c>
      <c r="M149" s="106" t="str">
        <f>IFERROR(VLOOKUP(特质表!C150,$C$2:$I$173,4,0),IFERROR(VLOOKUP(特质表!D150,$C$2:$I$173,4,0),""))</f>
        <v/>
      </c>
      <c r="N149" s="106" t="str">
        <f>IFERROR(VLOOKUP(特质表!C150,$C$2:$I$173,6,0),IFERROR(VLOOKUP(特质表!D150,$C$2:$I$173,6,0),""))</f>
        <v/>
      </c>
    </row>
    <row r="150" ht="162" spans="3:14">
      <c r="C150" s="111" t="s">
        <v>1236</v>
      </c>
      <c r="D150" s="112" t="s">
        <v>2056</v>
      </c>
      <c r="E150" s="112" t="s">
        <v>1237</v>
      </c>
      <c r="F150" s="112" t="s">
        <v>2057</v>
      </c>
      <c r="G150" s="113" t="s">
        <v>1238</v>
      </c>
      <c r="H150" s="113" t="s">
        <v>2058</v>
      </c>
      <c r="I150" s="113">
        <v>-15</v>
      </c>
      <c r="L150" s="106" t="str">
        <f>IFERROR(VLOOKUP(特质表!C151,$C$2:$I$173,2,0),IFERROR(VLOOKUP(特质表!D151,$C$2:$I$173,2,0),""))</f>
        <v/>
      </c>
      <c r="M150" s="106" t="str">
        <f>IFERROR(VLOOKUP(特质表!C151,$C$2:$I$173,4,0),IFERROR(VLOOKUP(特质表!D151,$C$2:$I$173,4,0),""))</f>
        <v/>
      </c>
      <c r="N150" s="106" t="str">
        <f>IFERROR(VLOOKUP(特质表!C151,$C$2:$I$173,6,0),IFERROR(VLOOKUP(特质表!D151,$C$2:$I$173,6,0),""))</f>
        <v/>
      </c>
    </row>
    <row r="151" ht="97.2" spans="3:14">
      <c r="C151" s="111" t="s">
        <v>1239</v>
      </c>
      <c r="D151" s="112" t="s">
        <v>2059</v>
      </c>
      <c r="E151" s="112" t="s">
        <v>1240</v>
      </c>
      <c r="F151" s="112" t="s">
        <v>2060</v>
      </c>
      <c r="G151" s="113" t="s">
        <v>1241</v>
      </c>
      <c r="H151" s="113" t="s">
        <v>2061</v>
      </c>
      <c r="I151" s="113">
        <v>35</v>
      </c>
      <c r="L151" s="106" t="str">
        <f>IFERROR(VLOOKUP(特质表!C152,$C$2:$I$173,2,0),IFERROR(VLOOKUP(特质表!D152,$C$2:$I$173,2,0),""))</f>
        <v/>
      </c>
      <c r="M151" s="106" t="str">
        <f>IFERROR(VLOOKUP(特质表!C152,$C$2:$I$173,4,0),IFERROR(VLOOKUP(特质表!D152,$C$2:$I$173,4,0),""))</f>
        <v/>
      </c>
      <c r="N151" s="106" t="str">
        <f>IFERROR(VLOOKUP(特质表!C152,$C$2:$I$173,6,0),IFERROR(VLOOKUP(特质表!D152,$C$2:$I$173,6,0),""))</f>
        <v/>
      </c>
    </row>
    <row r="152" ht="81" spans="3:14">
      <c r="C152" s="111" t="s">
        <v>1242</v>
      </c>
      <c r="D152" s="112" t="s">
        <v>2062</v>
      </c>
      <c r="E152" s="112" t="s">
        <v>1243</v>
      </c>
      <c r="F152" s="112" t="s">
        <v>2063</v>
      </c>
      <c r="G152" s="113" t="s">
        <v>1244</v>
      </c>
      <c r="H152" s="113" t="s">
        <v>2064</v>
      </c>
      <c r="I152" s="113">
        <v>-15</v>
      </c>
      <c r="L152" s="106" t="str">
        <f>IFERROR(VLOOKUP(特质表!C153,$C$2:$I$173,2,0),IFERROR(VLOOKUP(特质表!D153,$C$2:$I$173,2,0),""))</f>
        <v/>
      </c>
      <c r="M152" s="106" t="str">
        <f>IFERROR(VLOOKUP(特质表!C153,$C$2:$I$173,4,0),IFERROR(VLOOKUP(特质表!D153,$C$2:$I$173,4,0),""))</f>
        <v/>
      </c>
      <c r="N152" s="106" t="str">
        <f>IFERROR(VLOOKUP(特质表!C153,$C$2:$I$173,6,0),IFERROR(VLOOKUP(特质表!D153,$C$2:$I$173,6,0),""))</f>
        <v/>
      </c>
    </row>
    <row r="153" ht="64.8" spans="3:14">
      <c r="C153" s="111" t="s">
        <v>1245</v>
      </c>
      <c r="D153" s="112" t="s">
        <v>2065</v>
      </c>
      <c r="E153" s="112" t="s">
        <v>1246</v>
      </c>
      <c r="F153" s="112" t="s">
        <v>2066</v>
      </c>
      <c r="G153" s="113" t="s">
        <v>1247</v>
      </c>
      <c r="H153" s="113" t="s">
        <v>2067</v>
      </c>
      <c r="I153" s="113">
        <v>0</v>
      </c>
      <c r="L153" s="106" t="str">
        <f>IFERROR(VLOOKUP(特质表!C154,$C$2:$I$173,2,0),IFERROR(VLOOKUP(特质表!D154,$C$2:$I$173,2,0),""))</f>
        <v/>
      </c>
      <c r="M153" s="106" t="str">
        <f>IFERROR(VLOOKUP(特质表!C154,$C$2:$I$173,4,0),IFERROR(VLOOKUP(特质表!D154,$C$2:$I$173,4,0),""))</f>
        <v/>
      </c>
      <c r="N153" s="106" t="str">
        <f>IFERROR(VLOOKUP(特质表!C154,$C$2:$I$173,6,0),IFERROR(VLOOKUP(特质表!D154,$C$2:$I$173,6,0),""))</f>
        <v/>
      </c>
    </row>
    <row r="154" ht="64.8" spans="3:14">
      <c r="C154" s="111" t="s">
        <v>1248</v>
      </c>
      <c r="D154" s="112" t="s">
        <v>2068</v>
      </c>
      <c r="E154" s="112" t="s">
        <v>1249</v>
      </c>
      <c r="F154" s="112" t="s">
        <v>2069</v>
      </c>
      <c r="G154" s="113" t="s">
        <v>1250</v>
      </c>
      <c r="H154" s="113" t="s">
        <v>2070</v>
      </c>
      <c r="I154" s="113">
        <v>-35</v>
      </c>
      <c r="L154" s="106" t="str">
        <f>IFERROR(VLOOKUP(特质表!C155,$C$2:$I$173,2,0),IFERROR(VLOOKUP(特质表!D155,$C$2:$I$173,2,0),""))</f>
        <v/>
      </c>
      <c r="M154" s="106" t="str">
        <f>IFERROR(VLOOKUP(特质表!C155,$C$2:$I$173,4,0),IFERROR(VLOOKUP(特质表!D155,$C$2:$I$173,4,0),""))</f>
        <v/>
      </c>
      <c r="N154" s="106" t="str">
        <f>IFERROR(VLOOKUP(特质表!C155,$C$2:$I$173,6,0),IFERROR(VLOOKUP(特质表!D155,$C$2:$I$173,6,0),""))</f>
        <v/>
      </c>
    </row>
    <row r="155" ht="32.4" spans="3:14">
      <c r="C155" s="111" t="s">
        <v>1251</v>
      </c>
      <c r="D155" s="112" t="s">
        <v>2071</v>
      </c>
      <c r="E155" s="112" t="s">
        <v>1252</v>
      </c>
      <c r="F155" s="112" t="s">
        <v>2072</v>
      </c>
      <c r="G155" s="113" t="s">
        <v>1253</v>
      </c>
      <c r="H155" s="113" t="s">
        <v>2073</v>
      </c>
      <c r="I155" s="113" t="s">
        <v>1254</v>
      </c>
      <c r="L155" s="106" t="str">
        <f>IFERROR(VLOOKUP(特质表!C156,$C$2:$I$173,2,0),IFERROR(VLOOKUP(特质表!D156,$C$2:$I$173,2,0),""))</f>
        <v/>
      </c>
      <c r="M155" s="106" t="str">
        <f>IFERROR(VLOOKUP(特质表!C156,$C$2:$I$173,4,0),IFERROR(VLOOKUP(特质表!D156,$C$2:$I$173,4,0),""))</f>
        <v/>
      </c>
      <c r="N155" s="106" t="str">
        <f>IFERROR(VLOOKUP(特质表!C156,$C$2:$I$173,6,0),IFERROR(VLOOKUP(特质表!D156,$C$2:$I$173,6,0),""))</f>
        <v/>
      </c>
    </row>
    <row r="156" ht="32.4" spans="3:14">
      <c r="C156" s="111" t="s">
        <v>1256</v>
      </c>
      <c r="D156" s="112" t="s">
        <v>2074</v>
      </c>
      <c r="E156" s="112" t="s">
        <v>1257</v>
      </c>
      <c r="F156" s="112" t="s">
        <v>2075</v>
      </c>
      <c r="G156" s="113" t="s">
        <v>1258</v>
      </c>
      <c r="H156" s="113" t="s">
        <v>2076</v>
      </c>
      <c r="I156" s="113">
        <v>5</v>
      </c>
      <c r="L156" s="106" t="str">
        <f>IFERROR(VLOOKUP(特质表!C157,$C$2:$I$173,2,0),IFERROR(VLOOKUP(特质表!D157,$C$2:$I$173,2,0),""))</f>
        <v/>
      </c>
      <c r="M156" s="106" t="str">
        <f>IFERROR(VLOOKUP(特质表!C157,$C$2:$I$173,4,0),IFERROR(VLOOKUP(特质表!D157,$C$2:$I$173,4,0),""))</f>
        <v/>
      </c>
      <c r="N156" s="106" t="str">
        <f>IFERROR(VLOOKUP(特质表!C157,$C$2:$I$173,6,0),IFERROR(VLOOKUP(特质表!D157,$C$2:$I$173,6,0),""))</f>
        <v/>
      </c>
    </row>
    <row r="157" spans="3:14">
      <c r="C157" s="111" t="s">
        <v>1259</v>
      </c>
      <c r="D157" s="112" t="s">
        <v>2077</v>
      </c>
      <c r="E157" s="112" t="s">
        <v>1260</v>
      </c>
      <c r="F157" s="112" t="s">
        <v>2078</v>
      </c>
      <c r="G157" s="113" t="s">
        <v>1261</v>
      </c>
      <c r="H157" s="113" t="s">
        <v>2079</v>
      </c>
      <c r="I157" s="113" t="s">
        <v>1262</v>
      </c>
      <c r="L157" s="106" t="str">
        <f>IFERROR(VLOOKUP(特质表!C158,$C$2:$I$173,2,0),IFERROR(VLOOKUP(特质表!D158,$C$2:$I$173,2,0),""))</f>
        <v/>
      </c>
      <c r="M157" s="106" t="str">
        <f>IFERROR(VLOOKUP(特质表!C158,$C$2:$I$173,4,0),IFERROR(VLOOKUP(特质表!D158,$C$2:$I$173,4,0),""))</f>
        <v/>
      </c>
      <c r="N157" s="106" t="str">
        <f>IFERROR(VLOOKUP(特质表!C158,$C$2:$I$173,6,0),IFERROR(VLOOKUP(特质表!D158,$C$2:$I$173,6,0),""))</f>
        <v/>
      </c>
    </row>
    <row r="158" ht="32.4" spans="3:14">
      <c r="C158" s="111" t="s">
        <v>1263</v>
      </c>
      <c r="D158" s="112" t="s">
        <v>2080</v>
      </c>
      <c r="E158" s="112" t="s">
        <v>1264</v>
      </c>
      <c r="F158" s="112" t="s">
        <v>2081</v>
      </c>
      <c r="G158" s="113" t="s">
        <v>1265</v>
      </c>
      <c r="H158" s="113" t="s">
        <v>2082</v>
      </c>
      <c r="I158" s="113">
        <v>-5</v>
      </c>
      <c r="L158" s="106" t="str">
        <f>IFERROR(VLOOKUP(特质表!C159,$C$2:$I$173,2,0),IFERROR(VLOOKUP(特质表!D159,$C$2:$I$173,2,0),""))</f>
        <v/>
      </c>
      <c r="M158" s="106" t="str">
        <f>IFERROR(VLOOKUP(特质表!C159,$C$2:$I$173,4,0),IFERROR(VLOOKUP(特质表!D159,$C$2:$I$173,4,0),""))</f>
        <v/>
      </c>
      <c r="N158" s="106" t="str">
        <f>IFERROR(VLOOKUP(特质表!C159,$C$2:$I$173,6,0),IFERROR(VLOOKUP(特质表!D159,$C$2:$I$173,6,0),""))</f>
        <v/>
      </c>
    </row>
    <row r="159" spans="3:14">
      <c r="C159" s="111" t="s">
        <v>1266</v>
      </c>
      <c r="D159" s="112" t="s">
        <v>2083</v>
      </c>
      <c r="E159" s="112" t="s">
        <v>1267</v>
      </c>
      <c r="F159" s="112" t="s">
        <v>2084</v>
      </c>
      <c r="G159" s="113" t="s">
        <v>1268</v>
      </c>
      <c r="H159" s="113" t="s">
        <v>2085</v>
      </c>
      <c r="I159" s="113" t="s">
        <v>1269</v>
      </c>
      <c r="L159" s="106" t="str">
        <f>IFERROR(VLOOKUP(特质表!C160,$C$2:$I$173,2,0),IFERROR(VLOOKUP(特质表!D160,$C$2:$I$173,2,0),""))</f>
        <v/>
      </c>
      <c r="M159" s="106" t="str">
        <f>IFERROR(VLOOKUP(特质表!C160,$C$2:$I$173,4,0),IFERROR(VLOOKUP(特质表!D160,$C$2:$I$173,4,0),""))</f>
        <v/>
      </c>
      <c r="N159" s="106" t="str">
        <f>IFERROR(VLOOKUP(特质表!C160,$C$2:$I$173,6,0),IFERROR(VLOOKUP(特质表!D160,$C$2:$I$173,6,0),""))</f>
        <v/>
      </c>
    </row>
    <row r="160" ht="64.8" spans="3:14">
      <c r="C160" s="111" t="s">
        <v>1270</v>
      </c>
      <c r="D160" s="112" t="s">
        <v>2086</v>
      </c>
      <c r="E160" s="112" t="s">
        <v>1271</v>
      </c>
      <c r="F160" s="112" t="s">
        <v>2087</v>
      </c>
      <c r="G160" s="113" t="s">
        <v>1272</v>
      </c>
      <c r="H160" s="113" t="s">
        <v>2088</v>
      </c>
      <c r="I160" s="113" t="s">
        <v>1273</v>
      </c>
      <c r="L160" s="106" t="str">
        <f>IFERROR(VLOOKUP(特质表!C161,$C$2:$I$173,2,0),IFERROR(VLOOKUP(特质表!D161,$C$2:$I$173,2,0),""))</f>
        <v/>
      </c>
      <c r="M160" s="106" t="str">
        <f>IFERROR(VLOOKUP(特质表!C161,$C$2:$I$173,4,0),IFERROR(VLOOKUP(特质表!D161,$C$2:$I$173,4,0),""))</f>
        <v/>
      </c>
      <c r="N160" s="106" t="str">
        <f>IFERROR(VLOOKUP(特质表!C161,$C$2:$I$173,6,0),IFERROR(VLOOKUP(特质表!D161,$C$2:$I$173,6,0),""))</f>
        <v/>
      </c>
    </row>
    <row r="161" ht="97.2" spans="3:14">
      <c r="C161" s="111" t="s">
        <v>1274</v>
      </c>
      <c r="D161" s="112" t="s">
        <v>2089</v>
      </c>
      <c r="E161" s="112" t="s">
        <v>1275</v>
      </c>
      <c r="F161" s="112" t="s">
        <v>2090</v>
      </c>
      <c r="G161" s="113" t="s">
        <v>1276</v>
      </c>
      <c r="H161" s="113" t="s">
        <v>2091</v>
      </c>
      <c r="I161" s="113">
        <v>5</v>
      </c>
      <c r="L161" s="106" t="str">
        <f>IFERROR(VLOOKUP(特质表!C162,$C$2:$I$173,2,0),IFERROR(VLOOKUP(特质表!D162,$C$2:$I$173,2,0),""))</f>
        <v/>
      </c>
      <c r="M161" s="106" t="str">
        <f>IFERROR(VLOOKUP(特质表!C162,$C$2:$I$173,4,0),IFERROR(VLOOKUP(特质表!D162,$C$2:$I$173,4,0),""))</f>
        <v/>
      </c>
      <c r="N161" s="106" t="str">
        <f>IFERROR(VLOOKUP(特质表!C162,$C$2:$I$173,6,0),IFERROR(VLOOKUP(特质表!D162,$C$2:$I$173,6,0),""))</f>
        <v/>
      </c>
    </row>
    <row r="162" ht="48.6" spans="3:14">
      <c r="C162" s="111" t="s">
        <v>1277</v>
      </c>
      <c r="D162" s="112" t="s">
        <v>2092</v>
      </c>
      <c r="E162" s="112" t="s">
        <v>1278</v>
      </c>
      <c r="F162" s="112" t="s">
        <v>2093</v>
      </c>
      <c r="G162" s="113" t="s">
        <v>1279</v>
      </c>
      <c r="H162" s="113" t="s">
        <v>2094</v>
      </c>
      <c r="I162" s="113">
        <v>15</v>
      </c>
      <c r="L162" s="106" t="str">
        <f>IFERROR(VLOOKUP(特质表!C163,$C$2:$I$173,2,0),IFERROR(VLOOKUP(特质表!D163,$C$2:$I$173,2,0),""))</f>
        <v/>
      </c>
      <c r="M162" s="106" t="str">
        <f>IFERROR(VLOOKUP(特质表!C163,$C$2:$I$173,4,0),IFERROR(VLOOKUP(特质表!D163,$C$2:$I$173,4,0),""))</f>
        <v/>
      </c>
      <c r="N162" s="106" t="str">
        <f>IFERROR(VLOOKUP(特质表!C163,$C$2:$I$173,6,0),IFERROR(VLOOKUP(特质表!D163,$C$2:$I$173,6,0),""))</f>
        <v/>
      </c>
    </row>
    <row r="163" ht="129.6" spans="3:14">
      <c r="C163" s="111" t="s">
        <v>1280</v>
      </c>
      <c r="D163" s="112" t="s">
        <v>2095</v>
      </c>
      <c r="E163" s="112" t="s">
        <v>1281</v>
      </c>
      <c r="F163" s="112" t="s">
        <v>2096</v>
      </c>
      <c r="G163" s="113" t="s">
        <v>1282</v>
      </c>
      <c r="H163" s="113" t="s">
        <v>2097</v>
      </c>
      <c r="I163" s="113">
        <v>10</v>
      </c>
      <c r="L163" s="106" t="str">
        <f>IFERROR(VLOOKUP(特质表!C164,$C$2:$I$173,2,0),IFERROR(VLOOKUP(特质表!D164,$C$2:$I$173,2,0),""))</f>
        <v/>
      </c>
      <c r="M163" s="106" t="str">
        <f>IFERROR(VLOOKUP(特质表!C164,$C$2:$I$173,4,0),IFERROR(VLOOKUP(特质表!D164,$C$2:$I$173,4,0),""))</f>
        <v/>
      </c>
      <c r="N163" s="106" t="str">
        <f>IFERROR(VLOOKUP(特质表!C164,$C$2:$I$173,6,0),IFERROR(VLOOKUP(特质表!D164,$C$2:$I$173,6,0),""))</f>
        <v/>
      </c>
    </row>
    <row r="164" ht="48.6" spans="3:14">
      <c r="C164" s="111" t="s">
        <v>1283</v>
      </c>
      <c r="D164" s="112" t="s">
        <v>2098</v>
      </c>
      <c r="E164" s="112" t="s">
        <v>1284</v>
      </c>
      <c r="F164" s="112" t="s">
        <v>2099</v>
      </c>
      <c r="G164" s="113" t="s">
        <v>1285</v>
      </c>
      <c r="H164" s="113" t="s">
        <v>2100</v>
      </c>
      <c r="I164" s="113">
        <v>10</v>
      </c>
      <c r="L164" s="106" t="str">
        <f>IFERROR(VLOOKUP(特质表!C165,$C$2:$I$173,2,0),IFERROR(VLOOKUP(特质表!D165,$C$2:$I$173,2,0),""))</f>
        <v/>
      </c>
      <c r="M164" s="106" t="str">
        <f>IFERROR(VLOOKUP(特质表!C165,$C$2:$I$173,4,0),IFERROR(VLOOKUP(特质表!D165,$C$2:$I$173,4,0),""))</f>
        <v/>
      </c>
      <c r="N164" s="106" t="str">
        <f>IFERROR(VLOOKUP(特质表!C165,$C$2:$I$173,6,0),IFERROR(VLOOKUP(特质表!D165,$C$2:$I$173,6,0),""))</f>
        <v/>
      </c>
    </row>
    <row r="165" ht="48.6" spans="3:14">
      <c r="C165" s="111" t="s">
        <v>1286</v>
      </c>
      <c r="D165" s="112" t="s">
        <v>2101</v>
      </c>
      <c r="E165" s="112" t="s">
        <v>1287</v>
      </c>
      <c r="F165" s="112" t="s">
        <v>2102</v>
      </c>
      <c r="G165" s="113" t="s">
        <v>1288</v>
      </c>
      <c r="H165" s="113" t="s">
        <v>2103</v>
      </c>
      <c r="I165" s="113">
        <v>10</v>
      </c>
      <c r="L165" s="106" t="str">
        <f>IFERROR(VLOOKUP(特质表!C166,$C$2:$I$173,2,0),IFERROR(VLOOKUP(特质表!D166,$C$2:$I$173,2,0),""))</f>
        <v/>
      </c>
      <c r="M165" s="106" t="str">
        <f>IFERROR(VLOOKUP(特质表!C166,$C$2:$I$173,4,0),IFERROR(VLOOKUP(特质表!D166,$C$2:$I$173,4,0),""))</f>
        <v/>
      </c>
      <c r="N165" s="106" t="str">
        <f>IFERROR(VLOOKUP(特质表!C166,$C$2:$I$173,6,0),IFERROR(VLOOKUP(特质表!D166,$C$2:$I$173,6,0),""))</f>
        <v/>
      </c>
    </row>
    <row r="166" ht="113.4" spans="3:14">
      <c r="C166" s="111" t="s">
        <v>1289</v>
      </c>
      <c r="D166" s="112" t="s">
        <v>2104</v>
      </c>
      <c r="E166" s="112" t="s">
        <v>1290</v>
      </c>
      <c r="F166" s="112" t="s">
        <v>2105</v>
      </c>
      <c r="G166" s="113" t="s">
        <v>1291</v>
      </c>
      <c r="H166" s="113" t="s">
        <v>2106</v>
      </c>
      <c r="I166" s="113" t="s">
        <v>1292</v>
      </c>
      <c r="L166" s="106" t="str">
        <f>IFERROR(VLOOKUP(特质表!C167,$C$2:$I$173,2,0),IFERROR(VLOOKUP(特质表!D167,$C$2:$I$173,2,0),""))</f>
        <v/>
      </c>
      <c r="M166" s="106" t="str">
        <f>IFERROR(VLOOKUP(特质表!C167,$C$2:$I$173,4,0),IFERROR(VLOOKUP(特质表!D167,$C$2:$I$173,4,0),""))</f>
        <v/>
      </c>
      <c r="N166" s="106" t="str">
        <f>IFERROR(VLOOKUP(特质表!C167,$C$2:$I$173,6,0),IFERROR(VLOOKUP(特质表!D167,$C$2:$I$173,6,0),""))</f>
        <v/>
      </c>
    </row>
    <row r="167" ht="64.8" spans="3:14">
      <c r="C167" s="111" t="s">
        <v>1293</v>
      </c>
      <c r="D167" s="112" t="s">
        <v>2107</v>
      </c>
      <c r="E167" s="112" t="s">
        <v>1294</v>
      </c>
      <c r="F167" s="112" t="s">
        <v>2108</v>
      </c>
      <c r="G167" s="113" t="s">
        <v>1295</v>
      </c>
      <c r="H167" s="113" t="s">
        <v>2109</v>
      </c>
      <c r="I167" s="113">
        <v>20</v>
      </c>
      <c r="L167" s="106" t="str">
        <f>IFERROR(VLOOKUP(特质表!C168,$C$2:$I$173,2,0),IFERROR(VLOOKUP(特质表!D168,$C$2:$I$173,2,0),""))</f>
        <v/>
      </c>
      <c r="M167" s="106" t="str">
        <f>IFERROR(VLOOKUP(特质表!C168,$C$2:$I$173,4,0),IFERROR(VLOOKUP(特质表!D168,$C$2:$I$173,4,0),""))</f>
        <v/>
      </c>
      <c r="N167" s="106" t="str">
        <f>IFERROR(VLOOKUP(特质表!C168,$C$2:$I$173,6,0),IFERROR(VLOOKUP(特质表!D168,$C$2:$I$173,6,0),""))</f>
        <v/>
      </c>
    </row>
    <row r="168" ht="48.6" spans="3:14">
      <c r="C168" s="111" t="s">
        <v>1296</v>
      </c>
      <c r="D168" s="112" t="s">
        <v>2110</v>
      </c>
      <c r="E168" s="112" t="s">
        <v>1297</v>
      </c>
      <c r="F168" s="112" t="s">
        <v>2111</v>
      </c>
      <c r="G168" s="113" t="s">
        <v>1298</v>
      </c>
      <c r="H168" s="113" t="s">
        <v>2112</v>
      </c>
      <c r="I168" s="113">
        <v>0</v>
      </c>
      <c r="L168" s="106" t="str">
        <f>IFERROR(VLOOKUP(特质表!C169,$C$2:$I$173,2,0),IFERROR(VLOOKUP(特质表!D169,$C$2:$I$173,2,0),""))</f>
        <v/>
      </c>
      <c r="M168" s="106" t="str">
        <f>IFERROR(VLOOKUP(特质表!C169,$C$2:$I$173,4,0),IFERROR(VLOOKUP(特质表!D169,$C$2:$I$173,4,0),""))</f>
        <v/>
      </c>
      <c r="N168" s="106" t="str">
        <f>IFERROR(VLOOKUP(特质表!C169,$C$2:$I$173,6,0),IFERROR(VLOOKUP(特质表!D169,$C$2:$I$173,6,0),""))</f>
        <v/>
      </c>
    </row>
    <row r="169" ht="32.4" spans="3:14">
      <c r="C169" s="111" t="s">
        <v>1299</v>
      </c>
      <c r="D169" s="112" t="s">
        <v>2113</v>
      </c>
      <c r="E169" s="112" t="s">
        <v>1300</v>
      </c>
      <c r="F169" s="112" t="s">
        <v>2114</v>
      </c>
      <c r="G169" s="112" t="s">
        <v>1300</v>
      </c>
      <c r="H169" s="113" t="s">
        <v>2115</v>
      </c>
      <c r="I169" s="113">
        <v>0</v>
      </c>
      <c r="L169" s="106" t="str">
        <f>IFERROR(VLOOKUP(特质表!C170,$C$2:$I$173,2,0),IFERROR(VLOOKUP(特质表!D170,$C$2:$I$173,2,0),""))</f>
        <v/>
      </c>
      <c r="M169" s="106" t="str">
        <f>IFERROR(VLOOKUP(特质表!C170,$C$2:$I$173,4,0),IFERROR(VLOOKUP(特质表!D170,$C$2:$I$173,4,0),""))</f>
        <v/>
      </c>
      <c r="N169" s="106" t="str">
        <f>IFERROR(VLOOKUP(特质表!C170,$C$2:$I$173,6,0),IFERROR(VLOOKUP(特质表!D170,$C$2:$I$173,6,0),""))</f>
        <v/>
      </c>
    </row>
    <row r="170" ht="97.2" spans="3:14">
      <c r="C170" s="111" t="s">
        <v>1301</v>
      </c>
      <c r="D170" s="112" t="s">
        <v>2116</v>
      </c>
      <c r="E170" s="112" t="s">
        <v>1302</v>
      </c>
      <c r="F170" s="112" t="s">
        <v>2117</v>
      </c>
      <c r="G170" s="113" t="s">
        <v>1303</v>
      </c>
      <c r="H170" s="113" t="s">
        <v>2118</v>
      </c>
      <c r="I170" s="113">
        <v>10</v>
      </c>
      <c r="L170" s="106" t="str">
        <f>IFERROR(VLOOKUP(特质表!C171,$C$2:$I$173,2,0),IFERROR(VLOOKUP(特质表!D171,$C$2:$I$173,2,0),""))</f>
        <v/>
      </c>
      <c r="M170" s="106" t="str">
        <f>IFERROR(VLOOKUP(特质表!C171,$C$2:$I$173,4,0),IFERROR(VLOOKUP(特质表!D171,$C$2:$I$173,4,0),""))</f>
        <v/>
      </c>
      <c r="N170" s="106" t="str">
        <f>IFERROR(VLOOKUP(特质表!C171,$C$2:$I$173,6,0),IFERROR(VLOOKUP(特质表!D171,$C$2:$I$173,6,0),""))</f>
        <v/>
      </c>
    </row>
    <row r="171" ht="64.8" spans="3:14">
      <c r="C171" s="111" t="s">
        <v>1304</v>
      </c>
      <c r="D171" s="112" t="s">
        <v>2119</v>
      </c>
      <c r="E171" s="112" t="s">
        <v>1305</v>
      </c>
      <c r="F171" s="112" t="s">
        <v>2120</v>
      </c>
      <c r="G171" s="113" t="s">
        <v>1306</v>
      </c>
      <c r="H171" s="113" t="s">
        <v>2121</v>
      </c>
      <c r="I171" s="113" t="s">
        <v>1307</v>
      </c>
      <c r="L171" s="106" t="str">
        <f>IFERROR(VLOOKUP(特质表!C172,$C$2:$I$173,2,0),IFERROR(VLOOKUP(特质表!D172,$C$2:$I$173,2,0),""))</f>
        <v/>
      </c>
      <c r="M171" s="106" t="str">
        <f>IFERROR(VLOOKUP(特质表!C172,$C$2:$I$173,4,0),IFERROR(VLOOKUP(特质表!D172,$C$2:$I$173,4,0),""))</f>
        <v/>
      </c>
      <c r="N171" s="106" t="str">
        <f>IFERROR(VLOOKUP(特质表!C172,$C$2:$I$173,6,0),IFERROR(VLOOKUP(特质表!D172,$C$2:$I$173,6,0),""))</f>
        <v/>
      </c>
    </row>
    <row r="172" ht="194.4" spans="3:14">
      <c r="C172" s="111" t="s">
        <v>1308</v>
      </c>
      <c r="D172" s="112" t="s">
        <v>2122</v>
      </c>
      <c r="E172" s="112" t="s">
        <v>1309</v>
      </c>
      <c r="F172" s="112" t="s">
        <v>2123</v>
      </c>
      <c r="G172" s="113" t="s">
        <v>1310</v>
      </c>
      <c r="H172" s="113" t="s">
        <v>2124</v>
      </c>
      <c r="I172" s="1678" t="s">
        <v>1311</v>
      </c>
      <c r="L172" s="106" t="str">
        <f>IFERROR(VLOOKUP(特质表!C173,$C$2:$I$173,2,0),IFERROR(VLOOKUP(特质表!D173,$C$2:$I$173,2,0),""))</f>
        <v/>
      </c>
      <c r="M172" s="106" t="str">
        <f>IFERROR(VLOOKUP(特质表!C173,$C$2:$I$173,4,0),IFERROR(VLOOKUP(特质表!D173,$C$2:$I$173,4,0),""))</f>
        <v/>
      </c>
      <c r="N172" s="106" t="str">
        <f>IFERROR(VLOOKUP(特质表!C173,$C$2:$I$173,6,0),IFERROR(VLOOKUP(特质表!D173,$C$2:$I$173,6,0),""))</f>
        <v/>
      </c>
    </row>
    <row r="173" ht="48.6" spans="3:14">
      <c r="C173" s="103" t="s">
        <v>1312</v>
      </c>
      <c r="D173" s="112" t="s">
        <v>2125</v>
      </c>
      <c r="E173" s="112" t="s">
        <v>1313</v>
      </c>
      <c r="F173" s="112" t="s">
        <v>2126</v>
      </c>
      <c r="G173" s="113" t="s">
        <v>1314</v>
      </c>
      <c r="H173" s="113" t="s">
        <v>2127</v>
      </c>
      <c r="I173" s="1679" t="s">
        <v>1315</v>
      </c>
      <c r="L173" s="106" t="str">
        <f>IFERROR(VLOOKUP(特质表!C174,$C$2:$I$173,2,0),IFERROR(VLOOKUP(特质表!D174,$C$2:$I$173,2,0),""))</f>
        <v/>
      </c>
      <c r="M173" s="106" t="str">
        <f>IFERROR(VLOOKUP(特质表!C174,$C$2:$I$173,4,0),IFERROR(VLOOKUP(特质表!D174,$C$2:$I$173,4,0),""))</f>
        <v/>
      </c>
      <c r="N173" s="106" t="str">
        <f>IFERROR(VLOOKUP(特质表!C174,$C$2:$I$173,6,0),IFERROR(VLOOKUP(特质表!D174,$C$2:$I$173,6,0),""))</f>
        <v/>
      </c>
    </row>
    <row r="174" spans="3:14">
      <c r="L174" s="106" t="str">
        <f>IFERROR(VLOOKUP(特质表!C175,$C$2:$I$173,2,0),IFERROR(VLOOKUP(特质表!D175,$C$2:$I$173,2,0),""))</f>
        <v/>
      </c>
      <c r="M174" s="106" t="str">
        <f>IFERROR(VLOOKUP(特质表!C175,$C$2:$I$173,4,0),IFERROR(VLOOKUP(特质表!D175,$C$2:$I$173,4,0),""))</f>
        <v/>
      </c>
      <c r="N174" s="106" t="str">
        <f>IFERROR(VLOOKUP(特质表!C175,$C$2:$I$173,6,0),IFERROR(VLOOKUP(特质表!D175,$C$2:$I$173,6,0),""))</f>
        <v/>
      </c>
    </row>
    <row r="175" spans="3:14">
      <c r="L175" s="106" t="str">
        <f>IFERROR(VLOOKUP(特质表!C176,$C$2:$I$173,2,0),IFERROR(VLOOKUP(特质表!D176,$C$2:$I$173,2,0),""))</f>
        <v/>
      </c>
      <c r="M175" s="106" t="str">
        <f>IFERROR(VLOOKUP(特质表!C176,$C$2:$I$173,4,0),IFERROR(VLOOKUP(特质表!D176,$C$2:$I$173,4,0),""))</f>
        <v/>
      </c>
      <c r="N175" s="106" t="str">
        <f>IFERROR(VLOOKUP(特质表!C176,$C$2:$I$173,6,0),IFERROR(VLOOKUP(特质表!D176,$C$2:$I$173,6,0),""))</f>
        <v/>
      </c>
    </row>
    <row r="176" spans="3:14">
      <c r="L176" s="106" t="str">
        <f>IFERROR(VLOOKUP(特质表!C177,$C$2:$I$173,2,0),IFERROR(VLOOKUP(特质表!D177,$C$2:$I$173,2,0),""))</f>
        <v/>
      </c>
      <c r="M176" s="106" t="str">
        <f>IFERROR(VLOOKUP(特质表!C177,$C$2:$I$173,4,0),IFERROR(VLOOKUP(特质表!D177,$C$2:$I$173,4,0),""))</f>
        <v/>
      </c>
      <c r="N176" s="106" t="str">
        <f>IFERROR(VLOOKUP(特质表!C177,$C$2:$I$173,6,0),IFERROR(VLOOKUP(特质表!D177,$C$2:$I$173,6,0),""))</f>
        <v/>
      </c>
    </row>
    <row r="177" spans="12:14">
      <c r="L177" s="106" t="str">
        <f>IFERROR(VLOOKUP(特质表!C178,$C$2:$I$173,2,0),IFERROR(VLOOKUP(特质表!D178,$C$2:$I$173,2,0),""))</f>
        <v/>
      </c>
      <c r="M177" s="106" t="str">
        <f>IFERROR(VLOOKUP(特质表!C178,$C$2:$I$173,4,0),IFERROR(VLOOKUP(特质表!D178,$C$2:$I$173,4,0),""))</f>
        <v/>
      </c>
      <c r="N177" s="106" t="str">
        <f>IFERROR(VLOOKUP(特质表!C178,$C$2:$I$173,6,0),IFERROR(VLOOKUP(特质表!D178,$C$2:$I$173,6,0),""))</f>
        <v/>
      </c>
    </row>
    <row r="178" spans="12:14">
      <c r="L178" s="106" t="str">
        <f>IFERROR(VLOOKUP(特质表!C179,$C$2:$I$173,2,0),IFERROR(VLOOKUP(特质表!D179,$C$2:$I$173,2,0),""))</f>
        <v/>
      </c>
      <c r="M178" s="106" t="str">
        <f>IFERROR(VLOOKUP(特质表!C179,$C$2:$I$173,4,0),IFERROR(VLOOKUP(特质表!D179,$C$2:$I$173,4,0),""))</f>
        <v/>
      </c>
      <c r="N178" s="106" t="str">
        <f>IFERROR(VLOOKUP(特质表!C179,$C$2:$I$173,6,0),IFERROR(VLOOKUP(特质表!D179,$C$2:$I$173,6,0),""))</f>
        <v/>
      </c>
    </row>
    <row r="179" spans="12:14">
      <c r="L179" s="106" t="str">
        <f>IFERROR(VLOOKUP(特质表!C180,$C$2:$I$173,2,0),IFERROR(VLOOKUP(特质表!D180,$C$2:$I$173,2,0),""))</f>
        <v/>
      </c>
      <c r="M179" s="106" t="str">
        <f>IFERROR(VLOOKUP(特质表!C180,$C$2:$I$173,4,0),IFERROR(VLOOKUP(特质表!D180,$C$2:$I$173,4,0),""))</f>
        <v/>
      </c>
      <c r="N179" s="106" t="str">
        <f>IFERROR(VLOOKUP(特质表!C180,$C$2:$I$173,6,0),IFERROR(VLOOKUP(特质表!D180,$C$2:$I$173,6,0),""))</f>
        <v/>
      </c>
    </row>
    <row r="180" spans="12:14">
      <c r="L180" s="106" t="str">
        <f>IFERROR(VLOOKUP(特质表!C181,$C$2:$I$173,2,0),IFERROR(VLOOKUP(特质表!D181,$C$2:$I$173,2,0),""))</f>
        <v/>
      </c>
      <c r="M180" s="106" t="str">
        <f>IFERROR(VLOOKUP(特质表!C181,$C$2:$I$173,4,0),IFERROR(VLOOKUP(特质表!D181,$C$2:$I$173,4,0),""))</f>
        <v/>
      </c>
      <c r="N180" s="106" t="str">
        <f>IFERROR(VLOOKUP(特质表!C181,$C$2:$I$173,6,0),IFERROR(VLOOKUP(特质表!D181,$C$2:$I$173,6,0),""))</f>
        <v/>
      </c>
    </row>
    <row r="181" spans="12:14">
      <c r="L181" s="106" t="str">
        <f>IFERROR(VLOOKUP(特质表!C182,$C$2:$I$173,2,0),IFERROR(VLOOKUP(特质表!D182,$C$2:$I$173,2,0),""))</f>
        <v/>
      </c>
      <c r="M181" s="106" t="str">
        <f>IFERROR(VLOOKUP(特质表!C182,$C$2:$I$173,4,0),IFERROR(VLOOKUP(特质表!D182,$C$2:$I$173,4,0),""))</f>
        <v/>
      </c>
      <c r="N181" s="106" t="str">
        <f>IFERROR(VLOOKUP(特质表!C182,$C$2:$I$173,6,0),IFERROR(VLOOKUP(特质表!D182,$C$2:$I$173,6,0),""))</f>
        <v/>
      </c>
    </row>
    <row r="182" spans="12:14">
      <c r="L182" s="106" t="str">
        <f>IFERROR(VLOOKUP(特质表!C183,$C$2:$I$173,2,0),IFERROR(VLOOKUP(特质表!D183,$C$2:$I$173,2,0),""))</f>
        <v/>
      </c>
      <c r="M182" s="106" t="str">
        <f>IFERROR(VLOOKUP(特质表!C183,$C$2:$I$173,4,0),IFERROR(VLOOKUP(特质表!D183,$C$2:$I$173,4,0),""))</f>
        <v/>
      </c>
      <c r="N182" s="106" t="str">
        <f>IFERROR(VLOOKUP(特质表!C183,$C$2:$I$173,6,0),IFERROR(VLOOKUP(特质表!D183,$C$2:$I$173,6,0),""))</f>
        <v/>
      </c>
    </row>
    <row r="183" spans="12:14">
      <c r="L183" s="106" t="str">
        <f>IFERROR(VLOOKUP(特质表!C184,$C$2:$I$173,2,0),IFERROR(VLOOKUP(特质表!D184,$C$2:$I$173,2,0),""))</f>
        <v/>
      </c>
      <c r="M183" s="106" t="str">
        <f>IFERROR(VLOOKUP(特质表!C184,$C$2:$I$173,4,0),IFERROR(VLOOKUP(特质表!D184,$C$2:$I$173,4,0),""))</f>
        <v/>
      </c>
      <c r="N183" s="106" t="str">
        <f>IFERROR(VLOOKUP(特质表!C184,$C$2:$I$173,6,0),IFERROR(VLOOKUP(特质表!D184,$C$2:$I$173,6,0),""))</f>
        <v/>
      </c>
    </row>
    <row r="184" spans="12:14">
      <c r="L184" s="106" t="str">
        <f>IFERROR(VLOOKUP(特质表!C185,$C$2:$I$173,2,0),IFERROR(VLOOKUP(特质表!D185,$C$2:$I$173,2,0),""))</f>
        <v/>
      </c>
      <c r="M184" s="106" t="str">
        <f>IFERROR(VLOOKUP(特质表!C185,$C$2:$I$173,4,0),IFERROR(VLOOKUP(特质表!D185,$C$2:$I$173,4,0),""))</f>
        <v/>
      </c>
      <c r="N184" s="106" t="str">
        <f>IFERROR(VLOOKUP(特质表!C185,$C$2:$I$173,6,0),IFERROR(VLOOKUP(特质表!D185,$C$2:$I$173,6,0),""))</f>
        <v/>
      </c>
    </row>
    <row r="185" spans="12:14">
      <c r="L185" s="106" t="str">
        <f>IFERROR(VLOOKUP(特质表!C186,$C$2:$I$173,2,0),IFERROR(VLOOKUP(特质表!D186,$C$2:$I$173,2,0),""))</f>
        <v/>
      </c>
      <c r="M185" s="106" t="str">
        <f>IFERROR(VLOOKUP(特质表!C186,$C$2:$I$173,4,0),IFERROR(VLOOKUP(特质表!D186,$C$2:$I$173,4,0),""))</f>
        <v/>
      </c>
      <c r="N185" s="106" t="str">
        <f>IFERROR(VLOOKUP(特质表!C186,$C$2:$I$173,6,0),IFERROR(VLOOKUP(特质表!D186,$C$2:$I$173,6,0),""))</f>
        <v/>
      </c>
    </row>
    <row r="186" spans="12:14">
      <c r="L186" s="106" t="str">
        <f>IFERROR(VLOOKUP(特质表!C187,$C$2:$I$173,2,0),IFERROR(VLOOKUP(特质表!D187,$C$2:$I$173,2,0),""))</f>
        <v/>
      </c>
      <c r="M186" s="106" t="str">
        <f>IFERROR(VLOOKUP(特质表!C187,$C$2:$I$173,4,0),IFERROR(VLOOKUP(特质表!D187,$C$2:$I$173,4,0),""))</f>
        <v/>
      </c>
      <c r="N186" s="106" t="str">
        <f>IFERROR(VLOOKUP(特质表!C187,$C$2:$I$173,6,0),IFERROR(VLOOKUP(特质表!D187,$C$2:$I$173,6,0),""))</f>
        <v/>
      </c>
    </row>
    <row r="187" spans="12:14">
      <c r="L187" s="106" t="str">
        <f>IFERROR(VLOOKUP(特质表!C188,$C$2:$I$173,2,0),IFERROR(VLOOKUP(特质表!D188,$C$2:$I$173,2,0),""))</f>
        <v/>
      </c>
      <c r="M187" s="106" t="str">
        <f>IFERROR(VLOOKUP(特质表!C188,$C$2:$I$173,4,0),IFERROR(VLOOKUP(特质表!D188,$C$2:$I$173,4,0),""))</f>
        <v/>
      </c>
      <c r="N187" s="106" t="str">
        <f>IFERROR(VLOOKUP(特质表!C188,$C$2:$I$173,6,0),IFERROR(VLOOKUP(特质表!D188,$C$2:$I$173,6,0),""))</f>
        <v/>
      </c>
    </row>
    <row r="188" spans="12:14">
      <c r="L188" s="106" t="str">
        <f>IFERROR(VLOOKUP(特质表!C189,$C$2:$I$173,2,0),IFERROR(VLOOKUP(特质表!D189,$C$2:$I$173,2,0),""))</f>
        <v/>
      </c>
      <c r="M188" s="106" t="str">
        <f>IFERROR(VLOOKUP(特质表!C189,$C$2:$I$173,4,0),IFERROR(VLOOKUP(特质表!D189,$C$2:$I$173,4,0),""))</f>
        <v/>
      </c>
      <c r="N188" s="106" t="str">
        <f>IFERROR(VLOOKUP(特质表!C189,$C$2:$I$173,6,0),IFERROR(VLOOKUP(特质表!D189,$C$2:$I$173,6,0),""))</f>
        <v/>
      </c>
    </row>
    <row r="189" spans="12:14">
      <c r="L189" s="106" t="str">
        <f>IFERROR(VLOOKUP(特质表!C190,$C$2:$I$173,2,0),IFERROR(VLOOKUP(特质表!D190,$C$2:$I$173,2,0),""))</f>
        <v/>
      </c>
      <c r="M189" s="106" t="str">
        <f>IFERROR(VLOOKUP(特质表!C190,$C$2:$I$173,4,0),IFERROR(VLOOKUP(特质表!D190,$C$2:$I$173,4,0),""))</f>
        <v/>
      </c>
      <c r="N189" s="106" t="str">
        <f>IFERROR(VLOOKUP(特质表!C190,$C$2:$I$173,6,0),IFERROR(VLOOKUP(特质表!D190,$C$2:$I$173,6,0),""))</f>
        <v/>
      </c>
    </row>
    <row r="190" spans="12:14">
      <c r="L190" s="106" t="str">
        <f>IFERROR(VLOOKUP(特质表!C191,$C$2:$I$173,2,0),IFERROR(VLOOKUP(特质表!D191,$C$2:$I$173,2,0),""))</f>
        <v/>
      </c>
      <c r="M190" s="106" t="str">
        <f>IFERROR(VLOOKUP(特质表!C191,$C$2:$I$173,4,0),IFERROR(VLOOKUP(特质表!D191,$C$2:$I$173,4,0),""))</f>
        <v/>
      </c>
      <c r="N190" s="106" t="str">
        <f>IFERROR(VLOOKUP(特质表!C191,$C$2:$I$173,6,0),IFERROR(VLOOKUP(特质表!D191,$C$2:$I$173,6,0),""))</f>
        <v/>
      </c>
    </row>
    <row r="191" spans="12:14">
      <c r="L191" s="106" t="str">
        <f>IFERROR(VLOOKUP(特质表!C192,$C$2:$I$173,2,0),IFERROR(VLOOKUP(特质表!D192,$C$2:$I$173,2,0),""))</f>
        <v/>
      </c>
      <c r="M191" s="106" t="str">
        <f>IFERROR(VLOOKUP(特质表!C192,$C$2:$I$173,4,0),IFERROR(VLOOKUP(特质表!D192,$C$2:$I$173,4,0),""))</f>
        <v/>
      </c>
      <c r="N191" s="106" t="str">
        <f>IFERROR(VLOOKUP(特质表!C192,$C$2:$I$173,6,0),IFERROR(VLOOKUP(特质表!D192,$C$2:$I$173,6,0),""))</f>
        <v/>
      </c>
    </row>
    <row r="192" spans="12:14">
      <c r="L192" s="106" t="str">
        <f>IFERROR(VLOOKUP(特质表!C193,$C$2:$I$173,2,0),IFERROR(VLOOKUP(特质表!D193,$C$2:$I$173,2,0),""))</f>
        <v/>
      </c>
      <c r="M192" s="106" t="str">
        <f>IFERROR(VLOOKUP(特质表!C193,$C$2:$I$173,4,0),IFERROR(VLOOKUP(特质表!D193,$C$2:$I$173,4,0),""))</f>
        <v/>
      </c>
      <c r="N192" s="106" t="str">
        <f>IFERROR(VLOOKUP(特质表!C193,$C$2:$I$173,6,0),IFERROR(VLOOKUP(特质表!D193,$C$2:$I$173,6,0),""))</f>
        <v/>
      </c>
    </row>
    <row r="193" spans="12:14">
      <c r="L193" s="106" t="str">
        <f>IFERROR(VLOOKUP(特质表!C194,$C$2:$I$173,2,0),IFERROR(VLOOKUP(特质表!D194,$C$2:$I$173,2,0),""))</f>
        <v/>
      </c>
      <c r="M193" s="106" t="str">
        <f>IFERROR(VLOOKUP(特质表!C194,$C$2:$I$173,4,0),IFERROR(VLOOKUP(特质表!D194,$C$2:$I$173,4,0),""))</f>
        <v/>
      </c>
      <c r="N193" s="106" t="str">
        <f>IFERROR(VLOOKUP(特质表!C194,$C$2:$I$173,6,0),IFERROR(VLOOKUP(特质表!D194,$C$2:$I$173,6,0),""))</f>
        <v/>
      </c>
    </row>
    <row r="194" spans="12:14">
      <c r="L194" s="106" t="str">
        <f>IFERROR(VLOOKUP(特质表!C195,$C$2:$I$173,2,0),IFERROR(VLOOKUP(特质表!D195,$C$2:$I$173,2,0),""))</f>
        <v/>
      </c>
      <c r="M194" s="106" t="str">
        <f>IFERROR(VLOOKUP(特质表!C195,$C$2:$I$173,4,0),IFERROR(VLOOKUP(特质表!D195,$C$2:$I$173,4,0),""))</f>
        <v/>
      </c>
      <c r="N194" s="106" t="str">
        <f>IFERROR(VLOOKUP(特质表!C195,$C$2:$I$173,6,0),IFERROR(VLOOKUP(特质表!D195,$C$2:$I$173,6,0),""))</f>
        <v/>
      </c>
    </row>
    <row r="195" spans="12:14">
      <c r="L195" s="106" t="str">
        <f>IFERROR(VLOOKUP(特质表!C196,$C$2:$I$173,2,0),IFERROR(VLOOKUP(特质表!D196,$C$2:$I$173,2,0),""))</f>
        <v/>
      </c>
      <c r="M195" s="106" t="str">
        <f>IFERROR(VLOOKUP(特质表!C196,$C$2:$I$173,4,0),IFERROR(VLOOKUP(特质表!D196,$C$2:$I$173,4,0),""))</f>
        <v/>
      </c>
      <c r="N195" s="106" t="str">
        <f>IFERROR(VLOOKUP(特质表!C196,$C$2:$I$173,6,0),IFERROR(VLOOKUP(特质表!D196,$C$2:$I$173,6,0),""))</f>
        <v/>
      </c>
    </row>
    <row r="196" spans="12:14">
      <c r="L196" s="106" t="str">
        <f>IFERROR(VLOOKUP(特质表!C197,$C$2:$I$173,2,0),IFERROR(VLOOKUP(特质表!D197,$C$2:$I$173,2,0),""))</f>
        <v/>
      </c>
      <c r="M196" s="106" t="str">
        <f>IFERROR(VLOOKUP(特质表!C197,$C$2:$I$173,4,0),IFERROR(VLOOKUP(特质表!D197,$C$2:$I$173,4,0),""))</f>
        <v/>
      </c>
      <c r="N196" s="106" t="str">
        <f>IFERROR(VLOOKUP(特质表!C197,$C$2:$I$173,6,0),IFERROR(VLOOKUP(特质表!D197,$C$2:$I$173,6,0),""))</f>
        <v/>
      </c>
    </row>
    <row r="197" spans="12:14">
      <c r="L197" s="106" t="str">
        <f>IFERROR(VLOOKUP(特质表!C198,$C$2:$I$173,2,0),IFERROR(VLOOKUP(特质表!D198,$C$2:$I$173,2,0),""))</f>
        <v/>
      </c>
      <c r="M197" s="106" t="str">
        <f>IFERROR(VLOOKUP(特质表!C198,$C$2:$I$173,4,0),IFERROR(VLOOKUP(特质表!D198,$C$2:$I$173,4,0),""))</f>
        <v/>
      </c>
      <c r="N197" s="106" t="str">
        <f>IFERROR(VLOOKUP(特质表!C198,$C$2:$I$173,6,0),IFERROR(VLOOKUP(特质表!D198,$C$2:$I$173,6,0),""))</f>
        <v/>
      </c>
    </row>
    <row r="198" spans="12:14">
      <c r="L198" s="106" t="str">
        <f>IFERROR(VLOOKUP(特质表!C199,$C$2:$I$173,2,0),IFERROR(VLOOKUP(特质表!D199,$C$2:$I$173,2,0),""))</f>
        <v/>
      </c>
      <c r="M198" s="106" t="str">
        <f>IFERROR(VLOOKUP(特质表!C199,$C$2:$I$173,4,0),IFERROR(VLOOKUP(特质表!D199,$C$2:$I$173,4,0),""))</f>
        <v/>
      </c>
      <c r="N198" s="106" t="str">
        <f>IFERROR(VLOOKUP(特质表!C199,$C$2:$I$173,6,0),IFERROR(VLOOKUP(特质表!D199,$C$2:$I$173,6,0),""))</f>
        <v/>
      </c>
    </row>
    <row r="199" spans="12:14">
      <c r="L199" s="106" t="str">
        <f>IFERROR(VLOOKUP(特质表!C200,$C$2:$I$173,2,0),IFERROR(VLOOKUP(特质表!D200,$C$2:$I$173,2,0),""))</f>
        <v/>
      </c>
      <c r="M199" s="106" t="str">
        <f>IFERROR(VLOOKUP(特质表!C200,$C$2:$I$173,4,0),IFERROR(VLOOKUP(特质表!D200,$C$2:$I$173,4,0),""))</f>
        <v/>
      </c>
      <c r="N199" s="106" t="str">
        <f>IFERROR(VLOOKUP(特质表!C200,$C$2:$I$173,6,0),IFERROR(VLOOKUP(特质表!D200,$C$2:$I$173,6,0),""))</f>
        <v/>
      </c>
    </row>
    <row r="200" spans="12:14">
      <c r="L200" s="106" t="str">
        <f>IFERROR(VLOOKUP(特质表!C201,$C$2:$I$173,2,0),IFERROR(VLOOKUP(特质表!D201,$C$2:$I$173,2,0),""))</f>
        <v/>
      </c>
      <c r="M200" s="106" t="str">
        <f>IFERROR(VLOOKUP(特质表!C201,$C$2:$I$173,4,0),IFERROR(VLOOKUP(特质表!D201,$C$2:$I$173,4,0),""))</f>
        <v/>
      </c>
      <c r="N200" s="106" t="str">
        <f>IFERROR(VLOOKUP(特质表!C201,$C$2:$I$173,6,0),IFERROR(VLOOKUP(特质表!D201,$C$2:$I$173,6,0),""))</f>
        <v/>
      </c>
    </row>
    <row r="201" spans="12:14">
      <c r="L201" s="106" t="str">
        <f>IFERROR(VLOOKUP(特质表!C202,$C$2:$I$173,2,0),IFERROR(VLOOKUP(特质表!D202,$C$2:$I$173,2,0),""))</f>
        <v/>
      </c>
      <c r="M201" s="106" t="str">
        <f>IFERROR(VLOOKUP(特质表!C202,$C$2:$I$173,4,0),IFERROR(VLOOKUP(特质表!D202,$C$2:$I$173,4,0),""))</f>
        <v/>
      </c>
      <c r="N201" s="106" t="str">
        <f>IFERROR(VLOOKUP(特质表!C202,$C$2:$I$173,6,0),IFERROR(VLOOKUP(特质表!D202,$C$2:$I$173,6,0),""))</f>
        <v/>
      </c>
    </row>
    <row r="202" spans="12:14">
      <c r="L202" s="106" t="str">
        <f>IFERROR(VLOOKUP(特质表!C203,$C$2:$I$173,2,0),IFERROR(VLOOKUP(特质表!D203,$C$2:$I$173,2,0),""))</f>
        <v/>
      </c>
      <c r="M202" s="106" t="str">
        <f>IFERROR(VLOOKUP(特质表!C203,$C$2:$I$173,4,0),IFERROR(VLOOKUP(特质表!D203,$C$2:$I$173,4,0),""))</f>
        <v/>
      </c>
      <c r="N202" s="106" t="str">
        <f>IFERROR(VLOOKUP(特质表!C203,$C$2:$I$173,6,0),IFERROR(VLOOKUP(特质表!D203,$C$2:$I$173,6,0),""))</f>
        <v/>
      </c>
    </row>
    <row r="203" spans="12:14">
      <c r="L203" s="106" t="str">
        <f>IFERROR(VLOOKUP(特质表!C204,$C$2:$I$173,2,0),IFERROR(VLOOKUP(特质表!D204,$C$2:$I$173,2,0),""))</f>
        <v/>
      </c>
      <c r="M203" s="106" t="str">
        <f>IFERROR(VLOOKUP(特质表!C204,$C$2:$I$173,4,0),IFERROR(VLOOKUP(特质表!D204,$C$2:$I$173,4,0),""))</f>
        <v/>
      </c>
      <c r="N203" s="106" t="str">
        <f>IFERROR(VLOOKUP(特质表!C204,$C$2:$I$173,6,0),IFERROR(VLOOKUP(特质表!D204,$C$2:$I$173,6,0),""))</f>
        <v/>
      </c>
    </row>
    <row r="204" spans="12:14">
      <c r="L204" s="106" t="str">
        <f>IFERROR(VLOOKUP(特质表!C205,$C$2:$I$173,2,0),IFERROR(VLOOKUP(特质表!D205,$C$2:$I$173,2,0),""))</f>
        <v/>
      </c>
      <c r="M204" s="106" t="str">
        <f>IFERROR(VLOOKUP(特质表!C205,$C$2:$I$173,4,0),IFERROR(VLOOKUP(特质表!D205,$C$2:$I$173,4,0),""))</f>
        <v/>
      </c>
      <c r="N204" s="106" t="str">
        <f>IFERROR(VLOOKUP(特质表!C205,$C$2:$I$173,6,0),IFERROR(VLOOKUP(特质表!D205,$C$2:$I$173,6,0),""))</f>
        <v/>
      </c>
    </row>
    <row r="205" spans="12:14">
      <c r="L205" s="106" t="str">
        <f>IFERROR(VLOOKUP(特质表!C206,$C$2:$I$173,2,0),IFERROR(VLOOKUP(特质表!D206,$C$2:$I$173,2,0),""))</f>
        <v/>
      </c>
      <c r="M205" s="106" t="str">
        <f>IFERROR(VLOOKUP(特质表!C206,$C$2:$I$173,4,0),IFERROR(VLOOKUP(特质表!D206,$C$2:$I$173,4,0),""))</f>
        <v/>
      </c>
      <c r="N205" s="106" t="str">
        <f>IFERROR(VLOOKUP(特质表!C206,$C$2:$I$173,6,0),IFERROR(VLOOKUP(特质表!D206,$C$2:$I$173,6,0),""))</f>
        <v/>
      </c>
    </row>
    <row r="206" spans="12:14">
      <c r="L206" s="106" t="str">
        <f>IFERROR(VLOOKUP(特质表!C207,$C$2:$I$173,2,0),IFERROR(VLOOKUP(特质表!D207,$C$2:$I$173,2,0),""))</f>
        <v/>
      </c>
      <c r="M206" s="106" t="str">
        <f>IFERROR(VLOOKUP(特质表!C207,$C$2:$I$173,4,0),IFERROR(VLOOKUP(特质表!D207,$C$2:$I$173,4,0),""))</f>
        <v/>
      </c>
      <c r="N206" s="106" t="str">
        <f>IFERROR(VLOOKUP(特质表!C207,$C$2:$I$173,6,0),IFERROR(VLOOKUP(特质表!D207,$C$2:$I$173,6,0),""))</f>
        <v/>
      </c>
    </row>
    <row r="207" spans="12:14">
      <c r="L207" s="106" t="str">
        <f>IFERROR(VLOOKUP(特质表!C208,$C$2:$I$173,2,0),IFERROR(VLOOKUP(特质表!D208,$C$2:$I$173,2,0),""))</f>
        <v/>
      </c>
      <c r="M207" s="106" t="str">
        <f>IFERROR(VLOOKUP(特质表!C208,$C$2:$I$173,4,0),IFERROR(VLOOKUP(特质表!D208,$C$2:$I$173,4,0),""))</f>
        <v/>
      </c>
      <c r="N207" s="106" t="str">
        <f>IFERROR(VLOOKUP(特质表!C208,$C$2:$I$173,6,0),IFERROR(VLOOKUP(特质表!D208,$C$2:$I$173,6,0),""))</f>
        <v/>
      </c>
    </row>
    <row r="208" spans="12:14">
      <c r="L208" s="106" t="str">
        <f>IFERROR(VLOOKUP(特质表!C209,$C$2:$I$173,2,0),IFERROR(VLOOKUP(特质表!D209,$C$2:$I$173,2,0),""))</f>
        <v/>
      </c>
      <c r="M208" s="106" t="str">
        <f>IFERROR(VLOOKUP(特质表!C209,$C$2:$I$173,4,0),IFERROR(VLOOKUP(特质表!D209,$C$2:$I$173,4,0),""))</f>
        <v/>
      </c>
      <c r="N208" s="106" t="str">
        <f>IFERROR(VLOOKUP(特质表!C209,$C$2:$I$173,6,0),IFERROR(VLOOKUP(特质表!D209,$C$2:$I$173,6,0),""))</f>
        <v/>
      </c>
    </row>
    <row r="209" spans="12:14">
      <c r="L209" s="106" t="str">
        <f>IFERROR(VLOOKUP(特质表!C210,$C$2:$I$173,2,0),IFERROR(VLOOKUP(特质表!D210,$C$2:$I$173,2,0),""))</f>
        <v/>
      </c>
      <c r="M209" s="106" t="str">
        <f>IFERROR(VLOOKUP(特质表!C210,$C$2:$I$173,4,0),IFERROR(VLOOKUP(特质表!D210,$C$2:$I$173,4,0),""))</f>
        <v/>
      </c>
      <c r="N209" s="106" t="str">
        <f>IFERROR(VLOOKUP(特质表!C210,$C$2:$I$173,6,0),IFERROR(VLOOKUP(特质表!D210,$C$2:$I$173,6,0),""))</f>
        <v/>
      </c>
    </row>
    <row r="210" spans="12:14">
      <c r="L210" s="106" t="str">
        <f>IFERROR(VLOOKUP(特质表!C211,$C$2:$I$173,2,0),IFERROR(VLOOKUP(特质表!D211,$C$2:$I$173,2,0),""))</f>
        <v/>
      </c>
      <c r="M210" s="106" t="str">
        <f>IFERROR(VLOOKUP(特质表!C211,$C$2:$I$173,4,0),IFERROR(VLOOKUP(特质表!D211,$C$2:$I$173,4,0),""))</f>
        <v/>
      </c>
      <c r="N210" s="106" t="str">
        <f>IFERROR(VLOOKUP(特质表!C211,$C$2:$I$173,6,0),IFERROR(VLOOKUP(特质表!D211,$C$2:$I$173,6,0),""))</f>
        <v/>
      </c>
    </row>
    <row r="211" spans="12:14">
      <c r="L211" s="106" t="str">
        <f>IFERROR(VLOOKUP(特质表!C212,$C$2:$I$173,2,0),IFERROR(VLOOKUP(特质表!D212,$C$2:$I$173,2,0),""))</f>
        <v/>
      </c>
      <c r="M211" s="106" t="str">
        <f>IFERROR(VLOOKUP(特质表!C212,$C$2:$I$173,4,0),IFERROR(VLOOKUP(特质表!D212,$C$2:$I$173,4,0),""))</f>
        <v/>
      </c>
      <c r="N211" s="106" t="str">
        <f>IFERROR(VLOOKUP(特质表!C212,$C$2:$I$173,6,0),IFERROR(VLOOKUP(特质表!D212,$C$2:$I$173,6,0),""))</f>
        <v/>
      </c>
    </row>
    <row r="212" spans="12:14">
      <c r="L212" s="106" t="str">
        <f>IFERROR(VLOOKUP(特质表!C213,$C$2:$I$173,2,0),IFERROR(VLOOKUP(特质表!D213,$C$2:$I$173,2,0),""))</f>
        <v/>
      </c>
      <c r="M212" s="106" t="str">
        <f>IFERROR(VLOOKUP(特质表!C213,$C$2:$I$173,4,0),IFERROR(VLOOKUP(特质表!D213,$C$2:$I$173,4,0),""))</f>
        <v/>
      </c>
      <c r="N212" s="106" t="str">
        <f>IFERROR(VLOOKUP(特质表!C213,$C$2:$I$173,6,0),IFERROR(VLOOKUP(特质表!D213,$C$2:$I$173,6,0),""))</f>
        <v/>
      </c>
    </row>
    <row r="213" spans="12:14">
      <c r="L213" s="106" t="str">
        <f>IFERROR(VLOOKUP(特质表!C214,$C$2:$I$173,2,0),IFERROR(VLOOKUP(特质表!D214,$C$2:$I$173,2,0),""))</f>
        <v/>
      </c>
      <c r="M213" s="106" t="str">
        <f>IFERROR(VLOOKUP(特质表!C214,$C$2:$I$173,4,0),IFERROR(VLOOKUP(特质表!D214,$C$2:$I$173,4,0),""))</f>
        <v/>
      </c>
      <c r="N213" s="106" t="str">
        <f>IFERROR(VLOOKUP(特质表!C214,$C$2:$I$173,6,0),IFERROR(VLOOKUP(特质表!D214,$C$2:$I$173,6,0),""))</f>
        <v/>
      </c>
    </row>
    <row r="214" spans="12:14">
      <c r="L214" s="106" t="str">
        <f>IFERROR(VLOOKUP(特质表!C215,$C$2:$I$173,2,0),IFERROR(VLOOKUP(特质表!D215,$C$2:$I$173,2,0),""))</f>
        <v/>
      </c>
      <c r="M214" s="106" t="str">
        <f>IFERROR(VLOOKUP(特质表!C215,$C$2:$I$173,4,0),IFERROR(VLOOKUP(特质表!D215,$C$2:$I$173,4,0),""))</f>
        <v/>
      </c>
      <c r="N214" s="106" t="str">
        <f>IFERROR(VLOOKUP(特质表!C215,$C$2:$I$173,6,0),IFERROR(VLOOKUP(特质表!D215,$C$2:$I$173,6,0),""))</f>
        <v/>
      </c>
    </row>
    <row r="215" spans="12:14">
      <c r="L215" s="106" t="str">
        <f>IFERROR(VLOOKUP(特质表!C216,$C$2:$I$173,2,0),IFERROR(VLOOKUP(特质表!D216,$C$2:$I$173,2,0),""))</f>
        <v/>
      </c>
      <c r="M215" s="106" t="str">
        <f>IFERROR(VLOOKUP(特质表!C216,$C$2:$I$173,4,0),IFERROR(VLOOKUP(特质表!D216,$C$2:$I$173,4,0),""))</f>
        <v/>
      </c>
      <c r="N215" s="106" t="str">
        <f>IFERROR(VLOOKUP(特质表!C216,$C$2:$I$173,6,0),IFERROR(VLOOKUP(特质表!D216,$C$2:$I$173,6,0),""))</f>
        <v/>
      </c>
    </row>
    <row r="216" spans="12:14">
      <c r="L216" s="106" t="str">
        <f>IFERROR(VLOOKUP(特质表!C217,$C$2:$I$173,2,0),IFERROR(VLOOKUP(特质表!D217,$C$2:$I$173,2,0),""))</f>
        <v/>
      </c>
      <c r="M216" s="106" t="str">
        <f>IFERROR(VLOOKUP(特质表!C217,$C$2:$I$173,4,0),IFERROR(VLOOKUP(特质表!D217,$C$2:$I$173,4,0),""))</f>
        <v/>
      </c>
      <c r="N216" s="106" t="str">
        <f>IFERROR(VLOOKUP(特质表!C217,$C$2:$I$173,6,0),IFERROR(VLOOKUP(特质表!D217,$C$2:$I$173,6,0),""))</f>
        <v/>
      </c>
    </row>
    <row r="217" spans="12:14">
      <c r="L217" s="106" t="str">
        <f>IFERROR(VLOOKUP(特质表!C218,$C$2:$I$173,2,0),IFERROR(VLOOKUP(特质表!D218,$C$2:$I$173,2,0),""))</f>
        <v/>
      </c>
      <c r="M217" s="106" t="str">
        <f>IFERROR(VLOOKUP(特质表!C218,$C$2:$I$173,4,0),IFERROR(VLOOKUP(特质表!D218,$C$2:$I$173,4,0),""))</f>
        <v/>
      </c>
      <c r="N217" s="106" t="str">
        <f>IFERROR(VLOOKUP(特质表!C218,$C$2:$I$173,6,0),IFERROR(VLOOKUP(特质表!D218,$C$2:$I$173,6,0),""))</f>
        <v/>
      </c>
    </row>
    <row r="218" spans="12:14">
      <c r="L218" s="106" t="str">
        <f>IFERROR(VLOOKUP(特质表!C219,$C$2:$I$173,2,0),IFERROR(VLOOKUP(特质表!D219,$C$2:$I$173,2,0),""))</f>
        <v/>
      </c>
      <c r="M218" s="106" t="str">
        <f>IFERROR(VLOOKUP(特质表!C219,$C$2:$I$173,4,0),IFERROR(VLOOKUP(特质表!D219,$C$2:$I$173,4,0),""))</f>
        <v/>
      </c>
      <c r="N218" s="106" t="str">
        <f>IFERROR(VLOOKUP(特质表!C219,$C$2:$I$173,6,0),IFERROR(VLOOKUP(特质表!D219,$C$2:$I$173,6,0),""))</f>
        <v/>
      </c>
    </row>
    <row r="219" spans="12:14">
      <c r="L219" s="106" t="str">
        <f>IFERROR(VLOOKUP(特质表!C220,$C$2:$I$173,2,0),IFERROR(VLOOKUP(特质表!D220,$C$2:$I$173,2,0),""))</f>
        <v/>
      </c>
      <c r="M219" s="106" t="str">
        <f>IFERROR(VLOOKUP(特质表!C220,$C$2:$I$173,4,0),IFERROR(VLOOKUP(特质表!D220,$C$2:$I$173,4,0),""))</f>
        <v/>
      </c>
      <c r="N219" s="106" t="str">
        <f>IFERROR(VLOOKUP(特质表!C220,$C$2:$I$173,6,0),IFERROR(VLOOKUP(特质表!D220,$C$2:$I$173,6,0),""))</f>
        <v/>
      </c>
    </row>
    <row r="220" spans="12:14">
      <c r="L220" s="106" t="str">
        <f>IFERROR(VLOOKUP(特质表!C221,$C$2:$I$173,2,0),IFERROR(VLOOKUP(特质表!D221,$C$2:$I$173,2,0),""))</f>
        <v/>
      </c>
      <c r="M220" s="106" t="str">
        <f>IFERROR(VLOOKUP(特质表!C221,$C$2:$I$173,4,0),IFERROR(VLOOKUP(特质表!D221,$C$2:$I$173,4,0),""))</f>
        <v/>
      </c>
      <c r="N220" s="106" t="str">
        <f>IFERROR(VLOOKUP(特质表!C221,$C$2:$I$173,6,0),IFERROR(VLOOKUP(特质表!D221,$C$2:$I$173,6,0),""))</f>
        <v/>
      </c>
    </row>
    <row r="221" spans="12:14">
      <c r="L221" s="106" t="str">
        <f>IFERROR(VLOOKUP(特质表!C222,$C$2:$I$173,2,0),IFERROR(VLOOKUP(特质表!D222,$C$2:$I$173,2,0),""))</f>
        <v/>
      </c>
      <c r="M221" s="106" t="str">
        <f>IFERROR(VLOOKUP(特质表!C222,$C$2:$I$173,4,0),IFERROR(VLOOKUP(特质表!D222,$C$2:$I$173,4,0),""))</f>
        <v/>
      </c>
      <c r="N221" s="106" t="str">
        <f>IFERROR(VLOOKUP(特质表!C222,$C$2:$I$173,6,0),IFERROR(VLOOKUP(特质表!D222,$C$2:$I$173,6,0),""))</f>
        <v/>
      </c>
    </row>
    <row r="222" spans="12:14">
      <c r="L222" s="106" t="str">
        <f>IFERROR(VLOOKUP(特质表!C223,$C$2:$I$173,2,0),IFERROR(VLOOKUP(特质表!D223,$C$2:$I$173,2,0),""))</f>
        <v/>
      </c>
      <c r="M222" s="106" t="str">
        <f>IFERROR(VLOOKUP(特质表!C223,$C$2:$I$173,4,0),IFERROR(VLOOKUP(特质表!D223,$C$2:$I$173,4,0),""))</f>
        <v/>
      </c>
      <c r="N222" s="106" t="str">
        <f>IFERROR(VLOOKUP(特质表!C223,$C$2:$I$173,6,0),IFERROR(VLOOKUP(特质表!D223,$C$2:$I$173,6,0),""))</f>
        <v/>
      </c>
    </row>
    <row r="223" spans="12:14">
      <c r="L223" s="106" t="str">
        <f>IFERROR(VLOOKUP(特质表!C224,$C$2:$I$173,2,0),IFERROR(VLOOKUP(特质表!D224,$C$2:$I$173,2,0),""))</f>
        <v/>
      </c>
      <c r="M223" s="106" t="str">
        <f>IFERROR(VLOOKUP(特质表!C224,$C$2:$I$173,4,0),IFERROR(VLOOKUP(特质表!D224,$C$2:$I$173,4,0),""))</f>
        <v/>
      </c>
      <c r="N223" s="106" t="str">
        <f>IFERROR(VLOOKUP(特质表!C224,$C$2:$I$173,6,0),IFERROR(VLOOKUP(特质表!D224,$C$2:$I$173,6,0),""))</f>
        <v/>
      </c>
    </row>
    <row r="224" spans="12:14">
      <c r="L224" s="106" t="str">
        <f>IFERROR(VLOOKUP(特质表!C225,$C$2:$I$173,2,0),IFERROR(VLOOKUP(特质表!D225,$C$2:$I$173,2,0),""))</f>
        <v/>
      </c>
      <c r="M224" s="106" t="str">
        <f>IFERROR(VLOOKUP(特质表!C225,$C$2:$I$173,4,0),IFERROR(VLOOKUP(特质表!D225,$C$2:$I$173,4,0),""))</f>
        <v/>
      </c>
      <c r="N224" s="106" t="str">
        <f>IFERROR(VLOOKUP(特质表!C225,$C$2:$I$173,6,0),IFERROR(VLOOKUP(特质表!D225,$C$2:$I$173,6,0),""))</f>
        <v/>
      </c>
    </row>
    <row r="225" spans="12:14">
      <c r="L225" s="106" t="str">
        <f>IFERROR(VLOOKUP(特质表!C226,$C$2:$I$173,2,0),IFERROR(VLOOKUP(特质表!D226,$C$2:$I$173,2,0),""))</f>
        <v/>
      </c>
      <c r="M225" s="106" t="str">
        <f>IFERROR(VLOOKUP(特质表!C226,$C$2:$I$173,4,0),IFERROR(VLOOKUP(特质表!D226,$C$2:$I$173,4,0),""))</f>
        <v/>
      </c>
      <c r="N225" s="106" t="str">
        <f>IFERROR(VLOOKUP(特质表!C226,$C$2:$I$173,6,0),IFERROR(VLOOKUP(特质表!D226,$C$2:$I$173,6,0),""))</f>
        <v/>
      </c>
    </row>
    <row r="226" spans="12:14">
      <c r="L226" s="106" t="str">
        <f>IFERROR(VLOOKUP(特质表!C227,$C$2:$I$173,2,0),IFERROR(VLOOKUP(特质表!D227,$C$2:$I$173,2,0),""))</f>
        <v/>
      </c>
      <c r="M226" s="106" t="str">
        <f>IFERROR(VLOOKUP(特质表!C227,$C$2:$I$173,4,0),IFERROR(VLOOKUP(特质表!D227,$C$2:$I$173,4,0),""))</f>
        <v/>
      </c>
      <c r="N226" s="106" t="str">
        <f>IFERROR(VLOOKUP(特质表!C227,$C$2:$I$173,6,0),IFERROR(VLOOKUP(特质表!D227,$C$2:$I$173,6,0),""))</f>
        <v/>
      </c>
    </row>
    <row r="227" spans="12:14">
      <c r="L227" s="106" t="str">
        <f>IFERROR(VLOOKUP(特质表!C228,$C$2:$I$173,2,0),IFERROR(VLOOKUP(特质表!D228,$C$2:$I$173,2,0),""))</f>
        <v/>
      </c>
      <c r="M227" s="106" t="str">
        <f>IFERROR(VLOOKUP(特质表!C228,$C$2:$I$173,4,0),IFERROR(VLOOKUP(特质表!D228,$C$2:$I$173,4,0),""))</f>
        <v/>
      </c>
      <c r="N227" s="106" t="str">
        <f>IFERROR(VLOOKUP(特质表!C228,$C$2:$I$173,6,0),IFERROR(VLOOKUP(特质表!D228,$C$2:$I$173,6,0),""))</f>
        <v/>
      </c>
    </row>
    <row r="228" spans="12:14">
      <c r="L228" s="106" t="str">
        <f>IFERROR(VLOOKUP(特质表!C229,$C$2:$I$173,2,0),IFERROR(VLOOKUP(特质表!D229,$C$2:$I$173,2,0),""))</f>
        <v/>
      </c>
      <c r="M228" s="106" t="str">
        <f>IFERROR(VLOOKUP(特质表!C229,$C$2:$I$173,4,0),IFERROR(VLOOKUP(特质表!D229,$C$2:$I$173,4,0),""))</f>
        <v/>
      </c>
      <c r="N228" s="106" t="str">
        <f>IFERROR(VLOOKUP(特质表!C229,$C$2:$I$173,6,0),IFERROR(VLOOKUP(特质表!D229,$C$2:$I$173,6,0),""))</f>
        <v/>
      </c>
    </row>
    <row r="229" spans="12:14">
      <c r="L229" s="106" t="str">
        <f>IFERROR(VLOOKUP(特质表!C230,$C$2:$I$173,2,0),IFERROR(VLOOKUP(特质表!D230,$C$2:$I$173,2,0),""))</f>
        <v/>
      </c>
      <c r="M229" s="106" t="str">
        <f>IFERROR(VLOOKUP(特质表!C230,$C$2:$I$173,4,0),IFERROR(VLOOKUP(特质表!D230,$C$2:$I$173,4,0),""))</f>
        <v/>
      </c>
      <c r="N229" s="106" t="str">
        <f>IFERROR(VLOOKUP(特质表!C230,$C$2:$I$173,6,0),IFERROR(VLOOKUP(特质表!D230,$C$2:$I$173,6,0),""))</f>
        <v/>
      </c>
    </row>
    <row r="230" spans="12:14">
      <c r="L230" s="106" t="str">
        <f>IFERROR(VLOOKUP(特质表!C231,$C$2:$I$173,2,0),IFERROR(VLOOKUP(特质表!D231,$C$2:$I$173,2,0),""))</f>
        <v/>
      </c>
      <c r="M230" s="106" t="str">
        <f>IFERROR(VLOOKUP(特质表!C231,$C$2:$I$173,4,0),IFERROR(VLOOKUP(特质表!D231,$C$2:$I$173,4,0),""))</f>
        <v/>
      </c>
      <c r="N230" s="106" t="str">
        <f>IFERROR(VLOOKUP(特质表!C231,$C$2:$I$173,6,0),IFERROR(VLOOKUP(特质表!D231,$C$2:$I$173,6,0),""))</f>
        <v/>
      </c>
    </row>
    <row r="231" spans="12:14">
      <c r="L231" s="106" t="str">
        <f>IFERROR(VLOOKUP(特质表!C232,$C$2:$I$173,2,0),IFERROR(VLOOKUP(特质表!D232,$C$2:$I$173,2,0),""))</f>
        <v/>
      </c>
      <c r="M231" s="106" t="str">
        <f>IFERROR(VLOOKUP(特质表!C232,$C$2:$I$173,4,0),IFERROR(VLOOKUP(特质表!D232,$C$2:$I$173,4,0),""))</f>
        <v/>
      </c>
      <c r="N231" s="106" t="str">
        <f>IFERROR(VLOOKUP(特质表!C232,$C$2:$I$173,6,0),IFERROR(VLOOKUP(特质表!D232,$C$2:$I$173,6,0),""))</f>
        <v/>
      </c>
    </row>
    <row r="232" spans="12:14">
      <c r="L232" s="106" t="str">
        <f>IFERROR(VLOOKUP(特质表!C233,$C$2:$I$173,2,0),IFERROR(VLOOKUP(特质表!D233,$C$2:$I$173,2,0),""))</f>
        <v/>
      </c>
      <c r="M232" s="106" t="str">
        <f>IFERROR(VLOOKUP(特质表!C233,$C$2:$I$173,4,0),IFERROR(VLOOKUP(特质表!D233,$C$2:$I$173,4,0),""))</f>
        <v/>
      </c>
      <c r="N232" s="106" t="str">
        <f>IFERROR(VLOOKUP(特质表!C233,$C$2:$I$173,6,0),IFERROR(VLOOKUP(特质表!D233,$C$2:$I$173,6,0),""))</f>
        <v/>
      </c>
    </row>
    <row r="233" spans="12:14">
      <c r="L233" s="106" t="str">
        <f>IFERROR(VLOOKUP(特质表!C234,$C$2:$I$173,2,0),IFERROR(VLOOKUP(特质表!D234,$C$2:$I$173,2,0),""))</f>
        <v/>
      </c>
      <c r="M233" s="106" t="str">
        <f>IFERROR(VLOOKUP(特质表!C234,$C$2:$I$173,4,0),IFERROR(VLOOKUP(特质表!D234,$C$2:$I$173,4,0),""))</f>
        <v/>
      </c>
      <c r="N233" s="106" t="str">
        <f>IFERROR(VLOOKUP(特质表!C234,$C$2:$I$173,6,0),IFERROR(VLOOKUP(特质表!D234,$C$2:$I$173,6,0),""))</f>
        <v/>
      </c>
    </row>
    <row r="234" spans="12:14">
      <c r="L234" s="106" t="str">
        <f>IFERROR(VLOOKUP(特质表!C235,$C$2:$I$173,2,0),IFERROR(VLOOKUP(特质表!D235,$C$2:$I$173,2,0),""))</f>
        <v/>
      </c>
      <c r="M234" s="106" t="str">
        <f>IFERROR(VLOOKUP(特质表!C235,$C$2:$I$173,4,0),IFERROR(VLOOKUP(特质表!D235,$C$2:$I$173,4,0),""))</f>
        <v/>
      </c>
      <c r="N234" s="106" t="str">
        <f>IFERROR(VLOOKUP(特质表!C235,$C$2:$I$173,6,0),IFERROR(VLOOKUP(特质表!D235,$C$2:$I$173,6,0),""))</f>
        <v/>
      </c>
    </row>
    <row r="235" spans="12:14">
      <c r="L235" s="106" t="str">
        <f>IFERROR(VLOOKUP(特质表!C236,$C$2:$I$173,2,0),IFERROR(VLOOKUP(特质表!D236,$C$2:$I$173,2,0),""))</f>
        <v/>
      </c>
      <c r="M235" s="106" t="str">
        <f>IFERROR(VLOOKUP(特质表!C236,$C$2:$I$173,4,0),IFERROR(VLOOKUP(特质表!D236,$C$2:$I$173,4,0),""))</f>
        <v/>
      </c>
      <c r="N235" s="106" t="str">
        <f>IFERROR(VLOOKUP(特质表!C236,$C$2:$I$173,6,0),IFERROR(VLOOKUP(特质表!D236,$C$2:$I$173,6,0),""))</f>
        <v/>
      </c>
    </row>
    <row r="236" spans="12:14">
      <c r="L236" s="106" t="str">
        <f>IFERROR(VLOOKUP(特质表!C237,$C$2:$I$173,2,0),IFERROR(VLOOKUP(特质表!D237,$C$2:$I$173,2,0),""))</f>
        <v/>
      </c>
      <c r="M236" s="106" t="str">
        <f>IFERROR(VLOOKUP(特质表!C237,$C$2:$I$173,4,0),IFERROR(VLOOKUP(特质表!D237,$C$2:$I$173,4,0),""))</f>
        <v/>
      </c>
      <c r="N236" s="106" t="str">
        <f>IFERROR(VLOOKUP(特质表!C237,$C$2:$I$173,6,0),IFERROR(VLOOKUP(特质表!D237,$C$2:$I$173,6,0),""))</f>
        <v/>
      </c>
    </row>
    <row r="237" spans="12:14">
      <c r="L237" s="106" t="str">
        <f>IFERROR(VLOOKUP(特质表!C238,$C$2:$I$173,2,0),IFERROR(VLOOKUP(特质表!D238,$C$2:$I$173,2,0),""))</f>
        <v/>
      </c>
      <c r="M237" s="106" t="str">
        <f>IFERROR(VLOOKUP(特质表!C238,$C$2:$I$173,4,0),IFERROR(VLOOKUP(特质表!D238,$C$2:$I$173,4,0),""))</f>
        <v/>
      </c>
      <c r="N237" s="106" t="str">
        <f>IFERROR(VLOOKUP(特质表!C238,$C$2:$I$173,6,0),IFERROR(VLOOKUP(特质表!D238,$C$2:$I$173,6,0),""))</f>
        <v/>
      </c>
    </row>
    <row r="238" spans="12:14">
      <c r="L238" s="106" t="str">
        <f>IFERROR(VLOOKUP(特质表!C239,$C$2:$I$173,2,0),IFERROR(VLOOKUP(特质表!D239,$C$2:$I$173,2,0),""))</f>
        <v/>
      </c>
      <c r="M238" s="106" t="str">
        <f>IFERROR(VLOOKUP(特质表!C239,$C$2:$I$173,4,0),IFERROR(VLOOKUP(特质表!D239,$C$2:$I$173,4,0),""))</f>
        <v/>
      </c>
      <c r="N238" s="106" t="str">
        <f>IFERROR(VLOOKUP(特质表!C239,$C$2:$I$173,6,0),IFERROR(VLOOKUP(特质表!D239,$C$2:$I$173,6,0),""))</f>
        <v/>
      </c>
    </row>
    <row r="239" spans="12:14">
      <c r="L239" s="106" t="str">
        <f>IFERROR(VLOOKUP(特质表!C240,$C$2:$I$173,2,0),IFERROR(VLOOKUP(特质表!D240,$C$2:$I$173,2,0),""))</f>
        <v/>
      </c>
      <c r="M239" s="106" t="str">
        <f>IFERROR(VLOOKUP(特质表!C240,$C$2:$I$173,4,0),IFERROR(VLOOKUP(特质表!D240,$C$2:$I$173,4,0),""))</f>
        <v/>
      </c>
      <c r="N239" s="106" t="str">
        <f>IFERROR(VLOOKUP(特质表!C240,$C$2:$I$173,6,0),IFERROR(VLOOKUP(特质表!D240,$C$2:$I$173,6,0),""))</f>
        <v/>
      </c>
    </row>
    <row r="240" spans="12:14">
      <c r="L240" s="106" t="str">
        <f>IFERROR(VLOOKUP(特质表!C241,$C$2:$I$173,2,0),IFERROR(VLOOKUP(特质表!D241,$C$2:$I$173,2,0),""))</f>
        <v/>
      </c>
      <c r="M240" s="106" t="str">
        <f>IFERROR(VLOOKUP(特质表!C241,$C$2:$I$173,4,0),IFERROR(VLOOKUP(特质表!D241,$C$2:$I$173,4,0),""))</f>
        <v/>
      </c>
      <c r="N240" s="106" t="str">
        <f>IFERROR(VLOOKUP(特质表!C241,$C$2:$I$173,6,0),IFERROR(VLOOKUP(特质表!D241,$C$2:$I$173,6,0),""))</f>
        <v/>
      </c>
    </row>
    <row r="241" spans="12:14">
      <c r="L241" s="106" t="str">
        <f>IFERROR(VLOOKUP(特质表!C242,$C$2:$I$173,2,0),IFERROR(VLOOKUP(特质表!D242,$C$2:$I$173,2,0),""))</f>
        <v/>
      </c>
      <c r="M241" s="106" t="str">
        <f>IFERROR(VLOOKUP(特质表!C242,$C$2:$I$173,4,0),IFERROR(VLOOKUP(特质表!D242,$C$2:$I$173,4,0),""))</f>
        <v/>
      </c>
      <c r="N241" s="106" t="str">
        <f>IFERROR(VLOOKUP(特质表!C242,$C$2:$I$173,6,0),IFERROR(VLOOKUP(特质表!D242,$C$2:$I$173,6,0),""))</f>
        <v/>
      </c>
    </row>
    <row r="242" spans="12:14">
      <c r="L242" s="106" t="str">
        <f>IFERROR(VLOOKUP(特质表!C243,$C$2:$I$173,2,0),IFERROR(VLOOKUP(特质表!D243,$C$2:$I$173,2,0),""))</f>
        <v/>
      </c>
      <c r="M242" s="106" t="str">
        <f>IFERROR(VLOOKUP(特质表!C243,$C$2:$I$173,4,0),IFERROR(VLOOKUP(特质表!D243,$C$2:$I$173,4,0),""))</f>
        <v/>
      </c>
      <c r="N242" s="106" t="str">
        <f>IFERROR(VLOOKUP(特质表!C243,$C$2:$I$173,6,0),IFERROR(VLOOKUP(特质表!D243,$C$2:$I$173,6,0),""))</f>
        <v/>
      </c>
    </row>
    <row r="243" spans="12:14">
      <c r="L243" s="106" t="str">
        <f>IFERROR(VLOOKUP(特质表!C244,$C$2:$I$173,2,0),IFERROR(VLOOKUP(特质表!D244,$C$2:$I$173,2,0),""))</f>
        <v/>
      </c>
      <c r="M243" s="106" t="str">
        <f>IFERROR(VLOOKUP(特质表!C244,$C$2:$I$173,4,0),IFERROR(VLOOKUP(特质表!D244,$C$2:$I$173,4,0),""))</f>
        <v/>
      </c>
      <c r="N243" s="106" t="str">
        <f>IFERROR(VLOOKUP(特质表!C244,$C$2:$I$173,6,0),IFERROR(VLOOKUP(特质表!D244,$C$2:$I$173,6,0),""))</f>
        <v/>
      </c>
    </row>
    <row r="244" spans="12:14">
      <c r="L244" s="106" t="str">
        <f>IFERROR(VLOOKUP(特质表!C245,$C$2:$I$173,2,0),IFERROR(VLOOKUP(特质表!D245,$C$2:$I$173,2,0),""))</f>
        <v/>
      </c>
      <c r="M244" s="106" t="str">
        <f>IFERROR(VLOOKUP(特质表!C245,$C$2:$I$173,4,0),IFERROR(VLOOKUP(特质表!D245,$C$2:$I$173,4,0),""))</f>
        <v/>
      </c>
      <c r="N244" s="106" t="str">
        <f>IFERROR(VLOOKUP(特质表!C245,$C$2:$I$173,6,0),IFERROR(VLOOKUP(特质表!D245,$C$2:$I$173,6,0),""))</f>
        <v/>
      </c>
    </row>
    <row r="245" spans="12:14">
      <c r="L245" s="106" t="str">
        <f>IFERROR(VLOOKUP(特质表!C246,$C$2:$I$173,2,0),IFERROR(VLOOKUP(特质表!D246,$C$2:$I$173,2,0),""))</f>
        <v/>
      </c>
      <c r="M245" s="106" t="str">
        <f>IFERROR(VLOOKUP(特质表!C246,$C$2:$I$173,4,0),IFERROR(VLOOKUP(特质表!D246,$C$2:$I$173,4,0),""))</f>
        <v/>
      </c>
      <c r="N245" s="106" t="str">
        <f>IFERROR(VLOOKUP(特质表!C246,$C$2:$I$173,6,0),IFERROR(VLOOKUP(特质表!D246,$C$2:$I$173,6,0),""))</f>
        <v/>
      </c>
    </row>
    <row r="246" spans="12:14">
      <c r="L246" s="106" t="str">
        <f>IFERROR(VLOOKUP(特质表!C247,$C$2:$I$173,2,0),IFERROR(VLOOKUP(特质表!D247,$C$2:$I$173,2,0),""))</f>
        <v/>
      </c>
      <c r="M246" s="106" t="str">
        <f>IFERROR(VLOOKUP(特质表!C247,$C$2:$I$173,4,0),IFERROR(VLOOKUP(特质表!D247,$C$2:$I$173,4,0),""))</f>
        <v/>
      </c>
      <c r="N246" s="106" t="str">
        <f>IFERROR(VLOOKUP(特质表!C247,$C$2:$I$173,6,0),IFERROR(VLOOKUP(特质表!D247,$C$2:$I$173,6,0),""))</f>
        <v/>
      </c>
    </row>
    <row r="247" spans="12:14">
      <c r="L247" s="106" t="str">
        <f>IFERROR(VLOOKUP(特质表!C248,$C$2:$I$173,2,0),IFERROR(VLOOKUP(特质表!D248,$C$2:$I$173,2,0),""))</f>
        <v/>
      </c>
      <c r="M247" s="106" t="str">
        <f>IFERROR(VLOOKUP(特质表!C248,$C$2:$I$173,4,0),IFERROR(VLOOKUP(特质表!D248,$C$2:$I$173,4,0),""))</f>
        <v/>
      </c>
      <c r="N247" s="106" t="str">
        <f>IFERROR(VLOOKUP(特质表!C248,$C$2:$I$173,6,0),IFERROR(VLOOKUP(特质表!D248,$C$2:$I$173,6,0),""))</f>
        <v/>
      </c>
    </row>
    <row r="248" spans="12:14">
      <c r="L248" s="106" t="str">
        <f>IFERROR(VLOOKUP(特质表!C249,$C$2:$I$173,2,0),IFERROR(VLOOKUP(特质表!D249,$C$2:$I$173,2,0),""))</f>
        <v/>
      </c>
      <c r="M248" s="106" t="str">
        <f>IFERROR(VLOOKUP(特质表!C249,$C$2:$I$173,4,0),IFERROR(VLOOKUP(特质表!D249,$C$2:$I$173,4,0),""))</f>
        <v/>
      </c>
      <c r="N248" s="106" t="str">
        <f>IFERROR(VLOOKUP(特质表!C249,$C$2:$I$173,6,0),IFERROR(VLOOKUP(特质表!D249,$C$2:$I$173,6,0),""))</f>
        <v/>
      </c>
    </row>
    <row r="249" spans="12:14">
      <c r="L249" s="106" t="str">
        <f>IFERROR(VLOOKUP(特质表!C250,$C$2:$I$173,2,0),IFERROR(VLOOKUP(特质表!D250,$C$2:$I$173,2,0),""))</f>
        <v/>
      </c>
      <c r="M249" s="106" t="str">
        <f>IFERROR(VLOOKUP(特质表!C250,$C$2:$I$173,4,0),IFERROR(VLOOKUP(特质表!D250,$C$2:$I$173,4,0),""))</f>
        <v/>
      </c>
      <c r="N249" s="106" t="str">
        <f>IFERROR(VLOOKUP(特质表!C250,$C$2:$I$173,6,0),IFERROR(VLOOKUP(特质表!D250,$C$2:$I$173,6,0),""))</f>
        <v/>
      </c>
    </row>
    <row r="250" spans="12:14">
      <c r="L250" s="106" t="str">
        <f>IFERROR(VLOOKUP(特质表!C251,$C$2:$I$173,2,0),IFERROR(VLOOKUP(特质表!D251,$C$2:$I$173,2,0),""))</f>
        <v/>
      </c>
      <c r="M250" s="106" t="str">
        <f>IFERROR(VLOOKUP(特质表!C251,$C$2:$I$173,4,0),IFERROR(VLOOKUP(特质表!D251,$C$2:$I$173,4,0),""))</f>
        <v/>
      </c>
      <c r="N250" s="106" t="str">
        <f>IFERROR(VLOOKUP(特质表!C251,$C$2:$I$173,6,0),IFERROR(VLOOKUP(特质表!D251,$C$2:$I$173,6,0),""))</f>
        <v/>
      </c>
    </row>
    <row r="251" spans="12:14">
      <c r="L251" s="106" t="str">
        <f>IFERROR(VLOOKUP(特质表!C252,$C$2:$I$173,2,0),IFERROR(VLOOKUP(特质表!D252,$C$2:$I$173,2,0),""))</f>
        <v/>
      </c>
      <c r="M251" s="106" t="str">
        <f>IFERROR(VLOOKUP(特质表!C252,$C$2:$I$173,4,0),IFERROR(VLOOKUP(特质表!D252,$C$2:$I$173,4,0),""))</f>
        <v/>
      </c>
      <c r="N251" s="106" t="str">
        <f>IFERROR(VLOOKUP(特质表!C252,$C$2:$I$173,6,0),IFERROR(VLOOKUP(特质表!D252,$C$2:$I$173,6,0),""))</f>
        <v/>
      </c>
    </row>
    <row r="252" spans="12:14">
      <c r="L252" s="106" t="str">
        <f>IFERROR(VLOOKUP(特质表!C253,$C$2:$I$173,2,0),IFERROR(VLOOKUP(特质表!D253,$C$2:$I$173,2,0),""))</f>
        <v/>
      </c>
      <c r="M252" s="106" t="str">
        <f>IFERROR(VLOOKUP(特质表!C253,$C$2:$I$173,4,0),IFERROR(VLOOKUP(特质表!D253,$C$2:$I$173,4,0),""))</f>
        <v/>
      </c>
      <c r="N252" s="106" t="str">
        <f>IFERROR(VLOOKUP(特质表!C253,$C$2:$I$173,6,0),IFERROR(VLOOKUP(特质表!D253,$C$2:$I$173,6,0),""))</f>
        <v/>
      </c>
    </row>
    <row r="253" spans="12:14">
      <c r="L253" s="106" t="str">
        <f>IFERROR(VLOOKUP(特质表!C254,$C$2:$I$173,2,0),IFERROR(VLOOKUP(特质表!D254,$C$2:$I$173,2,0),""))</f>
        <v/>
      </c>
      <c r="M253" s="106" t="str">
        <f>IFERROR(VLOOKUP(特质表!C254,$C$2:$I$173,4,0),IFERROR(VLOOKUP(特质表!D254,$C$2:$I$173,4,0),""))</f>
        <v/>
      </c>
      <c r="N253" s="106" t="str">
        <f>IFERROR(VLOOKUP(特质表!C254,$C$2:$I$173,6,0),IFERROR(VLOOKUP(特质表!D254,$C$2:$I$173,6,0),""))</f>
        <v/>
      </c>
    </row>
    <row r="254" spans="12:14">
      <c r="L254" s="106" t="str">
        <f>IFERROR(VLOOKUP(特质表!C255,$C$2:$I$173,2,0),IFERROR(VLOOKUP(特质表!D255,$C$2:$I$173,2,0),""))</f>
        <v/>
      </c>
      <c r="M254" s="106" t="str">
        <f>IFERROR(VLOOKUP(特质表!C255,$C$2:$I$173,4,0),IFERROR(VLOOKUP(特质表!D255,$C$2:$I$173,4,0),""))</f>
        <v/>
      </c>
      <c r="N254" s="106" t="str">
        <f>IFERROR(VLOOKUP(特质表!C255,$C$2:$I$173,6,0),IFERROR(VLOOKUP(特质表!D255,$C$2:$I$173,6,0),""))</f>
        <v/>
      </c>
    </row>
    <row r="255" spans="12:14">
      <c r="L255" s="106" t="str">
        <f>IFERROR(VLOOKUP(特质表!C256,$C$2:$I$173,2,0),IFERROR(VLOOKUP(特质表!D256,$C$2:$I$173,2,0),""))</f>
        <v/>
      </c>
      <c r="M255" s="106" t="str">
        <f>IFERROR(VLOOKUP(特质表!C256,$C$2:$I$173,4,0),IFERROR(VLOOKUP(特质表!D256,$C$2:$I$173,4,0),""))</f>
        <v/>
      </c>
      <c r="N255" s="106" t="str">
        <f>IFERROR(VLOOKUP(特质表!C256,$C$2:$I$173,6,0),IFERROR(VLOOKUP(特质表!D256,$C$2:$I$173,6,0),""))</f>
        <v/>
      </c>
    </row>
    <row r="256" spans="12:14">
      <c r="L256" s="106" t="str">
        <f>IFERROR(VLOOKUP(特质表!C257,$C$2:$I$173,2,0),IFERROR(VLOOKUP(特质表!D257,$C$2:$I$173,2,0),""))</f>
        <v/>
      </c>
      <c r="M256" s="106" t="str">
        <f>IFERROR(VLOOKUP(特质表!C257,$C$2:$I$173,4,0),IFERROR(VLOOKUP(特质表!D257,$C$2:$I$173,4,0),""))</f>
        <v/>
      </c>
      <c r="N256" s="106" t="str">
        <f>IFERROR(VLOOKUP(特质表!C257,$C$2:$I$173,6,0),IFERROR(VLOOKUP(特质表!D257,$C$2:$I$173,6,0),""))</f>
        <v/>
      </c>
    </row>
    <row r="257" spans="12:14">
      <c r="L257" s="106" t="str">
        <f>IFERROR(VLOOKUP(特质表!C258,$C$2:$I$173,2,0),IFERROR(VLOOKUP(特质表!D258,$C$2:$I$173,2,0),""))</f>
        <v/>
      </c>
      <c r="M257" s="106" t="str">
        <f>IFERROR(VLOOKUP(特质表!C258,$C$2:$I$173,4,0),IFERROR(VLOOKUP(特质表!D258,$C$2:$I$173,4,0),""))</f>
        <v/>
      </c>
      <c r="N257" s="106" t="str">
        <f>IFERROR(VLOOKUP(特质表!C258,$C$2:$I$173,6,0),IFERROR(VLOOKUP(特质表!D258,$C$2:$I$173,6,0),""))</f>
        <v/>
      </c>
    </row>
    <row r="258" spans="12:14">
      <c r="L258" s="106" t="str">
        <f>IFERROR(VLOOKUP(特质表!C259,$C$2:$I$173,2,0),IFERROR(VLOOKUP(特质表!D259,$C$2:$I$173,2,0),""))</f>
        <v/>
      </c>
      <c r="M258" s="106" t="str">
        <f>IFERROR(VLOOKUP(特质表!C259,$C$2:$I$173,4,0),IFERROR(VLOOKUP(特质表!D259,$C$2:$I$173,4,0),""))</f>
        <v/>
      </c>
      <c r="N258" s="106" t="str">
        <f>IFERROR(VLOOKUP(特质表!C259,$C$2:$I$173,6,0),IFERROR(VLOOKUP(特质表!D259,$C$2:$I$173,6,0),""))</f>
        <v/>
      </c>
    </row>
    <row r="259" spans="12:14">
      <c r="L259" s="106" t="str">
        <f>IFERROR(VLOOKUP(特质表!C260,$C$2:$I$173,2,0),IFERROR(VLOOKUP(特质表!D260,$C$2:$I$173,2,0),""))</f>
        <v/>
      </c>
      <c r="M259" s="106" t="str">
        <f>IFERROR(VLOOKUP(特质表!C260,$C$2:$I$173,4,0),IFERROR(VLOOKUP(特质表!D260,$C$2:$I$173,4,0),""))</f>
        <v/>
      </c>
      <c r="N259" s="106" t="str">
        <f>IFERROR(VLOOKUP(特质表!C260,$C$2:$I$173,6,0),IFERROR(VLOOKUP(特质表!D260,$C$2:$I$173,6,0),""))</f>
        <v/>
      </c>
    </row>
    <row r="260" spans="12:14">
      <c r="L260" s="106" t="str">
        <f>IFERROR(VLOOKUP(特质表!C261,$C$2:$I$173,2,0),IFERROR(VLOOKUP(特质表!D261,$C$2:$I$173,2,0),""))</f>
        <v/>
      </c>
      <c r="M260" s="106" t="str">
        <f>IFERROR(VLOOKUP(特质表!C261,$C$2:$I$173,4,0),IFERROR(VLOOKUP(特质表!D261,$C$2:$I$173,4,0),""))</f>
        <v/>
      </c>
      <c r="N260" s="106" t="str">
        <f>IFERROR(VLOOKUP(特质表!C261,$C$2:$I$173,6,0),IFERROR(VLOOKUP(特质表!D261,$C$2:$I$173,6,0),""))</f>
        <v/>
      </c>
    </row>
    <row r="261" spans="12:14">
      <c r="L261" s="106" t="str">
        <f>IFERROR(VLOOKUP(特质表!C262,$C$2:$I$173,2,0),IFERROR(VLOOKUP(特质表!D262,$C$2:$I$173,2,0),""))</f>
        <v/>
      </c>
      <c r="M261" s="106" t="str">
        <f>IFERROR(VLOOKUP(特质表!C262,$C$2:$I$173,4,0),IFERROR(VLOOKUP(特质表!D262,$C$2:$I$173,4,0),""))</f>
        <v/>
      </c>
      <c r="N261" s="106" t="str">
        <f>IFERROR(VLOOKUP(特质表!C262,$C$2:$I$173,6,0),IFERROR(VLOOKUP(特质表!D262,$C$2:$I$173,6,0),""))</f>
        <v/>
      </c>
    </row>
    <row r="262" spans="12:14">
      <c r="L262" s="106" t="str">
        <f>IFERROR(VLOOKUP(特质表!C263,$C$2:$I$173,2,0),IFERROR(VLOOKUP(特质表!D263,$C$2:$I$173,2,0),""))</f>
        <v/>
      </c>
      <c r="M262" s="106" t="str">
        <f>IFERROR(VLOOKUP(特质表!C263,$C$2:$I$173,4,0),IFERROR(VLOOKUP(特质表!D263,$C$2:$I$173,4,0),""))</f>
        <v/>
      </c>
      <c r="N262" s="106" t="str">
        <f>IFERROR(VLOOKUP(特质表!C263,$C$2:$I$173,6,0),IFERROR(VLOOKUP(特质表!D263,$C$2:$I$173,6,0),""))</f>
        <v/>
      </c>
    </row>
    <row r="263" spans="12:14">
      <c r="L263" s="106" t="str">
        <f>IFERROR(VLOOKUP(特质表!C264,$C$2:$I$173,2,0),IFERROR(VLOOKUP(特质表!D264,$C$2:$I$173,2,0),""))</f>
        <v/>
      </c>
      <c r="M263" s="106" t="str">
        <f>IFERROR(VLOOKUP(特质表!C264,$C$2:$I$173,4,0),IFERROR(VLOOKUP(特质表!D264,$C$2:$I$173,4,0),""))</f>
        <v/>
      </c>
      <c r="N263" s="106" t="str">
        <f>IFERROR(VLOOKUP(特质表!C264,$C$2:$I$173,6,0),IFERROR(VLOOKUP(特质表!D264,$C$2:$I$173,6,0),""))</f>
        <v/>
      </c>
    </row>
    <row r="264" spans="12:14">
      <c r="L264" s="106" t="str">
        <f>IFERROR(VLOOKUP(特质表!C265,$C$2:$I$173,2,0),IFERROR(VLOOKUP(特质表!D265,$C$2:$I$173,2,0),""))</f>
        <v/>
      </c>
      <c r="M264" s="106" t="str">
        <f>IFERROR(VLOOKUP(特质表!C265,$C$2:$I$173,4,0),IFERROR(VLOOKUP(特质表!D265,$C$2:$I$173,4,0),""))</f>
        <v/>
      </c>
      <c r="N264" s="106" t="str">
        <f>IFERROR(VLOOKUP(特质表!C265,$C$2:$I$173,6,0),IFERROR(VLOOKUP(特质表!D265,$C$2:$I$173,6,0),""))</f>
        <v/>
      </c>
    </row>
    <row r="265" spans="12:14">
      <c r="L265" s="106" t="str">
        <f>IFERROR(VLOOKUP(特质表!C266,$C$2:$I$173,2,0),IFERROR(VLOOKUP(特质表!D266,$C$2:$I$173,2,0),""))</f>
        <v/>
      </c>
      <c r="M265" s="106" t="str">
        <f>IFERROR(VLOOKUP(特质表!C266,$C$2:$I$173,4,0),IFERROR(VLOOKUP(特质表!D266,$C$2:$I$173,4,0),""))</f>
        <v/>
      </c>
      <c r="N265" s="106" t="str">
        <f>IFERROR(VLOOKUP(特质表!C266,$C$2:$I$173,6,0),IFERROR(VLOOKUP(特质表!D266,$C$2:$I$173,6,0),""))</f>
        <v/>
      </c>
    </row>
    <row r="266" spans="12:14">
      <c r="L266" s="106" t="str">
        <f>IFERROR(VLOOKUP(特质表!C267,$C$2:$I$173,2,0),IFERROR(VLOOKUP(特质表!D267,$C$2:$I$173,2,0),""))</f>
        <v/>
      </c>
      <c r="M266" s="106" t="str">
        <f>IFERROR(VLOOKUP(特质表!C267,$C$2:$I$173,4,0),IFERROR(VLOOKUP(特质表!D267,$C$2:$I$173,4,0),""))</f>
        <v/>
      </c>
      <c r="N266" s="106" t="str">
        <f>IFERROR(VLOOKUP(特质表!C267,$C$2:$I$173,6,0),IFERROR(VLOOKUP(特质表!D267,$C$2:$I$173,6,0),""))</f>
        <v/>
      </c>
    </row>
    <row r="267" spans="12:14">
      <c r="L267" s="106" t="str">
        <f>IFERROR(VLOOKUP(特质表!C268,$C$2:$I$173,2,0),IFERROR(VLOOKUP(特质表!D268,$C$2:$I$173,2,0),""))</f>
        <v/>
      </c>
      <c r="M267" s="106" t="str">
        <f>IFERROR(VLOOKUP(特质表!C268,$C$2:$I$173,4,0),IFERROR(VLOOKUP(特质表!D268,$C$2:$I$173,4,0),""))</f>
        <v/>
      </c>
      <c r="N267" s="106" t="str">
        <f>IFERROR(VLOOKUP(特质表!C268,$C$2:$I$173,6,0),IFERROR(VLOOKUP(特质表!D268,$C$2:$I$173,6,0),""))</f>
        <v/>
      </c>
    </row>
    <row r="268" spans="12:14">
      <c r="L268" s="106" t="str">
        <f>IFERROR(VLOOKUP(特质表!C269,$C$2:$I$173,2,0),IFERROR(VLOOKUP(特质表!D269,$C$2:$I$173,2,0),""))</f>
        <v/>
      </c>
      <c r="M268" s="106" t="str">
        <f>IFERROR(VLOOKUP(特质表!C269,$C$2:$I$173,4,0),IFERROR(VLOOKUP(特质表!D269,$C$2:$I$173,4,0),""))</f>
        <v/>
      </c>
      <c r="N268" s="106" t="str">
        <f>IFERROR(VLOOKUP(特质表!C269,$C$2:$I$173,6,0),IFERROR(VLOOKUP(特质表!D269,$C$2:$I$173,6,0),""))</f>
        <v/>
      </c>
    </row>
    <row r="269" spans="12:14">
      <c r="L269" s="106" t="str">
        <f>IFERROR(VLOOKUP(特质表!C270,$C$2:$I$173,2,0),IFERROR(VLOOKUP(特质表!D270,$C$2:$I$173,2,0),""))</f>
        <v/>
      </c>
      <c r="M269" s="106" t="str">
        <f>IFERROR(VLOOKUP(特质表!C270,$C$2:$I$173,4,0),IFERROR(VLOOKUP(特质表!D270,$C$2:$I$173,4,0),""))</f>
        <v/>
      </c>
      <c r="N269" s="106" t="str">
        <f>IFERROR(VLOOKUP(特质表!C270,$C$2:$I$173,6,0),IFERROR(VLOOKUP(特质表!D270,$C$2:$I$173,6,0),""))</f>
        <v/>
      </c>
    </row>
    <row r="270" spans="12:14">
      <c r="L270" s="106" t="str">
        <f>IFERROR(VLOOKUP(特质表!C271,$C$2:$I$173,2,0),IFERROR(VLOOKUP(特质表!D271,$C$2:$I$173,2,0),""))</f>
        <v/>
      </c>
      <c r="M270" s="106" t="str">
        <f>IFERROR(VLOOKUP(特质表!C271,$C$2:$I$173,4,0),IFERROR(VLOOKUP(特质表!D271,$C$2:$I$173,4,0),""))</f>
        <v/>
      </c>
      <c r="N270" s="106" t="str">
        <f>IFERROR(VLOOKUP(特质表!C271,$C$2:$I$173,6,0),IFERROR(VLOOKUP(特质表!D271,$C$2:$I$173,6,0),""))</f>
        <v/>
      </c>
    </row>
    <row r="271" spans="12:14">
      <c r="L271" s="106" t="str">
        <f>IFERROR(VLOOKUP(特质表!C272,$C$2:$I$173,2,0),IFERROR(VLOOKUP(特质表!D272,$C$2:$I$173,2,0),""))</f>
        <v/>
      </c>
      <c r="M271" s="106" t="str">
        <f>IFERROR(VLOOKUP(特质表!C272,$C$2:$I$173,4,0),IFERROR(VLOOKUP(特质表!D272,$C$2:$I$173,4,0),""))</f>
        <v/>
      </c>
      <c r="N271" s="106" t="str">
        <f>IFERROR(VLOOKUP(特质表!C272,$C$2:$I$173,6,0),IFERROR(VLOOKUP(特质表!D272,$C$2:$I$173,6,0),""))</f>
        <v/>
      </c>
    </row>
    <row r="272" spans="12:14">
      <c r="L272" s="106" t="str">
        <f>IFERROR(VLOOKUP(特质表!C273,$C$2:$I$173,2,0),IFERROR(VLOOKUP(特质表!D273,$C$2:$I$173,2,0),""))</f>
        <v/>
      </c>
      <c r="M272" s="106" t="str">
        <f>IFERROR(VLOOKUP(特质表!C273,$C$2:$I$173,4,0),IFERROR(VLOOKUP(特质表!D273,$C$2:$I$173,4,0),""))</f>
        <v/>
      </c>
      <c r="N272" s="106" t="str">
        <f>IFERROR(VLOOKUP(特质表!C273,$C$2:$I$173,6,0),IFERROR(VLOOKUP(特质表!D273,$C$2:$I$173,6,0),""))</f>
        <v/>
      </c>
    </row>
    <row r="273" spans="12:14">
      <c r="L273" s="106" t="str">
        <f>IFERROR(VLOOKUP(特质表!C274,$C$2:$I$173,2,0),IFERROR(VLOOKUP(特质表!D274,$C$2:$I$173,2,0),""))</f>
        <v/>
      </c>
      <c r="M273" s="106" t="str">
        <f>IFERROR(VLOOKUP(特质表!C274,$C$2:$I$173,4,0),IFERROR(VLOOKUP(特质表!D274,$C$2:$I$173,4,0),""))</f>
        <v/>
      </c>
      <c r="N273" s="106" t="str">
        <f>IFERROR(VLOOKUP(特质表!C274,$C$2:$I$173,6,0),IFERROR(VLOOKUP(特质表!D274,$C$2:$I$173,6,0),""))</f>
        <v/>
      </c>
    </row>
    <row r="274" spans="12:14">
      <c r="L274" s="106" t="str">
        <f>IFERROR(VLOOKUP(特质表!C275,$C$2:$I$173,2,0),IFERROR(VLOOKUP(特质表!D275,$C$2:$I$173,2,0),""))</f>
        <v/>
      </c>
      <c r="M274" s="106" t="str">
        <f>IFERROR(VLOOKUP(特质表!C275,$C$2:$I$173,4,0),IFERROR(VLOOKUP(特质表!D275,$C$2:$I$173,4,0),""))</f>
        <v/>
      </c>
      <c r="N274" s="106" t="str">
        <f>IFERROR(VLOOKUP(特质表!C275,$C$2:$I$173,6,0),IFERROR(VLOOKUP(特质表!D275,$C$2:$I$173,6,0),""))</f>
        <v/>
      </c>
    </row>
    <row r="275" spans="12:14">
      <c r="L275" s="106" t="str">
        <f>IFERROR(VLOOKUP(特质表!C276,$C$2:$I$173,2,0),IFERROR(VLOOKUP(特质表!D276,$C$2:$I$173,2,0),""))</f>
        <v/>
      </c>
      <c r="M275" s="106" t="str">
        <f>IFERROR(VLOOKUP(特质表!C276,$C$2:$I$173,4,0),IFERROR(VLOOKUP(特质表!D276,$C$2:$I$173,4,0),""))</f>
        <v/>
      </c>
      <c r="N275" s="106" t="str">
        <f>IFERROR(VLOOKUP(特质表!C276,$C$2:$I$173,6,0),IFERROR(VLOOKUP(特质表!D276,$C$2:$I$173,6,0),""))</f>
        <v/>
      </c>
    </row>
    <row r="276" spans="12:14">
      <c r="L276" s="106" t="str">
        <f>IFERROR(VLOOKUP(特质表!C277,$C$2:$I$173,2,0),IFERROR(VLOOKUP(特质表!D277,$C$2:$I$173,2,0),""))</f>
        <v/>
      </c>
      <c r="M276" s="106" t="str">
        <f>IFERROR(VLOOKUP(特质表!C277,$C$2:$I$173,4,0),IFERROR(VLOOKUP(特质表!D277,$C$2:$I$173,4,0),""))</f>
        <v/>
      </c>
      <c r="N276" s="106" t="str">
        <f>IFERROR(VLOOKUP(特质表!C277,$C$2:$I$173,6,0),IFERROR(VLOOKUP(特质表!D277,$C$2:$I$173,6,0),""))</f>
        <v/>
      </c>
    </row>
    <row r="277" spans="12:14">
      <c r="L277" s="106" t="str">
        <f>IFERROR(VLOOKUP(特质表!C278,$C$2:$I$173,2,0),IFERROR(VLOOKUP(特质表!D278,$C$2:$I$173,2,0),""))</f>
        <v/>
      </c>
      <c r="M277" s="106" t="str">
        <f>IFERROR(VLOOKUP(特质表!C278,$C$2:$I$173,4,0),IFERROR(VLOOKUP(特质表!D278,$C$2:$I$173,4,0),""))</f>
        <v/>
      </c>
      <c r="N277" s="106" t="str">
        <f>IFERROR(VLOOKUP(特质表!C278,$C$2:$I$173,6,0),IFERROR(VLOOKUP(特质表!D278,$C$2:$I$173,6,0),""))</f>
        <v/>
      </c>
    </row>
    <row r="278" spans="12:14">
      <c r="L278" s="106" t="str">
        <f>IFERROR(VLOOKUP(特质表!C279,$C$2:$I$173,2,0),IFERROR(VLOOKUP(特质表!D279,$C$2:$I$173,2,0),""))</f>
        <v/>
      </c>
      <c r="M278" s="106" t="str">
        <f>IFERROR(VLOOKUP(特质表!C279,$C$2:$I$173,4,0),IFERROR(VLOOKUP(特质表!D279,$C$2:$I$173,4,0),""))</f>
        <v/>
      </c>
      <c r="N278" s="106" t="str">
        <f>IFERROR(VLOOKUP(特质表!C279,$C$2:$I$173,6,0),IFERROR(VLOOKUP(特质表!D279,$C$2:$I$173,6,0),""))</f>
        <v/>
      </c>
    </row>
    <row r="279" spans="12:14">
      <c r="L279" s="106" t="str">
        <f>IFERROR(VLOOKUP(特质表!C280,$C$2:$I$173,2,0),IFERROR(VLOOKUP(特质表!D280,$C$2:$I$173,2,0),""))</f>
        <v/>
      </c>
      <c r="M279" s="106" t="str">
        <f>IFERROR(VLOOKUP(特质表!C280,$C$2:$I$173,4,0),IFERROR(VLOOKUP(特质表!D280,$C$2:$I$173,4,0),""))</f>
        <v/>
      </c>
      <c r="N279" s="106" t="str">
        <f>IFERROR(VLOOKUP(特质表!C280,$C$2:$I$173,6,0),IFERROR(VLOOKUP(特质表!D280,$C$2:$I$173,6,0),""))</f>
        <v/>
      </c>
    </row>
    <row r="280" spans="12:14">
      <c r="L280" s="106" t="str">
        <f>IFERROR(VLOOKUP(特质表!C281,$C$2:$I$173,2,0),IFERROR(VLOOKUP(特质表!D281,$C$2:$I$173,2,0),""))</f>
        <v/>
      </c>
      <c r="M280" s="106" t="str">
        <f>IFERROR(VLOOKUP(特质表!C281,$C$2:$I$173,4,0),IFERROR(VLOOKUP(特质表!D281,$C$2:$I$173,4,0),""))</f>
        <v/>
      </c>
      <c r="N280" s="106" t="str">
        <f>IFERROR(VLOOKUP(特质表!C281,$C$2:$I$173,6,0),IFERROR(VLOOKUP(特质表!D281,$C$2:$I$173,6,0),""))</f>
        <v/>
      </c>
    </row>
    <row r="281" spans="12:14">
      <c r="L281" s="106" t="str">
        <f>IFERROR(VLOOKUP(特质表!C282,$C$2:$I$173,2,0),IFERROR(VLOOKUP(特质表!D282,$C$2:$I$173,2,0),""))</f>
        <v/>
      </c>
      <c r="M281" s="106" t="str">
        <f>IFERROR(VLOOKUP(特质表!C282,$C$2:$I$173,4,0),IFERROR(VLOOKUP(特质表!D282,$C$2:$I$173,4,0),""))</f>
        <v/>
      </c>
      <c r="N281" s="106" t="str">
        <f>IFERROR(VLOOKUP(特质表!C282,$C$2:$I$173,6,0),IFERROR(VLOOKUP(特质表!D282,$C$2:$I$173,6,0),""))</f>
        <v/>
      </c>
    </row>
    <row r="282" spans="12:14">
      <c r="L282" s="106" t="str">
        <f>IFERROR(VLOOKUP(特质表!C283,$C$2:$I$173,2,0),IFERROR(VLOOKUP(特质表!D283,$C$2:$I$173,2,0),""))</f>
        <v/>
      </c>
      <c r="M282" s="106" t="str">
        <f>IFERROR(VLOOKUP(特质表!C283,$C$2:$I$173,4,0),IFERROR(VLOOKUP(特质表!D283,$C$2:$I$173,4,0),""))</f>
        <v/>
      </c>
      <c r="N282" s="106" t="str">
        <f>IFERROR(VLOOKUP(特质表!C283,$C$2:$I$173,6,0),IFERROR(VLOOKUP(特质表!D283,$C$2:$I$173,6,0),""))</f>
        <v/>
      </c>
    </row>
    <row r="283" spans="12:14">
      <c r="L283" s="106" t="str">
        <f>IFERROR(VLOOKUP(特质表!C284,$C$2:$I$173,2,0),IFERROR(VLOOKUP(特质表!D284,$C$2:$I$173,2,0),""))</f>
        <v/>
      </c>
      <c r="M283" s="106" t="str">
        <f>IFERROR(VLOOKUP(特质表!C284,$C$2:$I$173,4,0),IFERROR(VLOOKUP(特质表!D284,$C$2:$I$173,4,0),""))</f>
        <v/>
      </c>
      <c r="N283" s="106" t="str">
        <f>IFERROR(VLOOKUP(特质表!C284,$C$2:$I$173,6,0),IFERROR(VLOOKUP(特质表!D284,$C$2:$I$173,6,0),""))</f>
        <v/>
      </c>
    </row>
    <row r="284" spans="12:14">
      <c r="L284" s="106" t="str">
        <f>IFERROR(VLOOKUP(特质表!C285,$C$2:$I$173,2,0),IFERROR(VLOOKUP(特质表!D285,$C$2:$I$173,2,0),""))</f>
        <v/>
      </c>
      <c r="M284" s="106" t="str">
        <f>IFERROR(VLOOKUP(特质表!C285,$C$2:$I$173,4,0),IFERROR(VLOOKUP(特质表!D285,$C$2:$I$173,4,0),""))</f>
        <v/>
      </c>
      <c r="N284" s="106" t="str">
        <f>IFERROR(VLOOKUP(特质表!C285,$C$2:$I$173,6,0),IFERROR(VLOOKUP(特质表!D285,$C$2:$I$173,6,0),""))</f>
        <v/>
      </c>
    </row>
    <row r="285" spans="12:14">
      <c r="L285" s="106" t="str">
        <f>IFERROR(VLOOKUP(特质表!C286,$C$2:$I$173,2,0),IFERROR(VLOOKUP(特质表!D286,$C$2:$I$173,2,0),""))</f>
        <v/>
      </c>
      <c r="M285" s="106" t="str">
        <f>IFERROR(VLOOKUP(特质表!C286,$C$2:$I$173,4,0),IFERROR(VLOOKUP(特质表!D286,$C$2:$I$173,4,0),""))</f>
        <v/>
      </c>
      <c r="N285" s="106" t="str">
        <f>IFERROR(VLOOKUP(特质表!C286,$C$2:$I$173,6,0),IFERROR(VLOOKUP(特质表!D286,$C$2:$I$173,6,0),""))</f>
        <v/>
      </c>
    </row>
    <row r="286" spans="12:14">
      <c r="L286" s="106" t="str">
        <f>IFERROR(VLOOKUP(特质表!C287,$C$2:$I$173,2,0),IFERROR(VLOOKUP(特质表!D287,$C$2:$I$173,2,0),""))</f>
        <v/>
      </c>
      <c r="M286" s="106" t="str">
        <f>IFERROR(VLOOKUP(特质表!C287,$C$2:$I$173,4,0),IFERROR(VLOOKUP(特质表!D287,$C$2:$I$173,4,0),""))</f>
        <v/>
      </c>
      <c r="N286" s="106" t="str">
        <f>IFERROR(VLOOKUP(特质表!C287,$C$2:$I$173,6,0),IFERROR(VLOOKUP(特质表!D287,$C$2:$I$173,6,0),""))</f>
        <v/>
      </c>
    </row>
    <row r="287" spans="12:14">
      <c r="L287" s="106" t="str">
        <f>IFERROR(VLOOKUP(特质表!C288,$C$2:$I$173,2,0),IFERROR(VLOOKUP(特质表!D288,$C$2:$I$173,2,0),""))</f>
        <v/>
      </c>
      <c r="M287" s="106" t="str">
        <f>IFERROR(VLOOKUP(特质表!C288,$C$2:$I$173,4,0),IFERROR(VLOOKUP(特质表!D288,$C$2:$I$173,4,0),""))</f>
        <v/>
      </c>
      <c r="N287" s="106" t="str">
        <f>IFERROR(VLOOKUP(特质表!C288,$C$2:$I$173,6,0),IFERROR(VLOOKUP(特质表!D288,$C$2:$I$173,6,0),""))</f>
        <v/>
      </c>
    </row>
    <row r="288" spans="12:14">
      <c r="L288" s="106" t="str">
        <f>IFERROR(VLOOKUP(特质表!C289,$C$2:$I$173,2,0),IFERROR(VLOOKUP(特质表!D289,$C$2:$I$173,2,0),""))</f>
        <v/>
      </c>
      <c r="M288" s="106" t="str">
        <f>IFERROR(VLOOKUP(特质表!C289,$C$2:$I$173,4,0),IFERROR(VLOOKUP(特质表!D289,$C$2:$I$173,4,0),""))</f>
        <v/>
      </c>
      <c r="N288" s="106" t="str">
        <f>IFERROR(VLOOKUP(特质表!C289,$C$2:$I$173,6,0),IFERROR(VLOOKUP(特质表!D289,$C$2:$I$173,6,0),""))</f>
        <v/>
      </c>
    </row>
    <row r="289" spans="12:14">
      <c r="L289" s="106" t="str">
        <f>IFERROR(VLOOKUP(特质表!C290,$C$2:$I$173,2,0),IFERROR(VLOOKUP(特质表!D290,$C$2:$I$173,2,0),""))</f>
        <v/>
      </c>
      <c r="M289" s="106" t="str">
        <f>IFERROR(VLOOKUP(特质表!C290,$C$2:$I$173,4,0),IFERROR(VLOOKUP(特质表!D290,$C$2:$I$173,4,0),""))</f>
        <v/>
      </c>
      <c r="N289" s="106" t="str">
        <f>IFERROR(VLOOKUP(特质表!C290,$C$2:$I$173,6,0),IFERROR(VLOOKUP(特质表!D290,$C$2:$I$173,6,0),""))</f>
        <v/>
      </c>
    </row>
    <row r="290" spans="12:14">
      <c r="L290" s="106" t="str">
        <f>IFERROR(VLOOKUP(特质表!C291,$C$2:$I$173,2,0),IFERROR(VLOOKUP(特质表!D291,$C$2:$I$173,2,0),""))</f>
        <v/>
      </c>
      <c r="M290" s="106" t="str">
        <f>IFERROR(VLOOKUP(特质表!C291,$C$2:$I$173,4,0),IFERROR(VLOOKUP(特质表!D291,$C$2:$I$173,4,0),""))</f>
        <v/>
      </c>
      <c r="N290" s="106" t="str">
        <f>IFERROR(VLOOKUP(特质表!C291,$C$2:$I$173,6,0),IFERROR(VLOOKUP(特质表!D291,$C$2:$I$173,6,0),""))</f>
        <v/>
      </c>
    </row>
    <row r="291" spans="12:14">
      <c r="L291" s="106" t="str">
        <f>IFERROR(VLOOKUP(特质表!C292,$C$2:$I$173,2,0),IFERROR(VLOOKUP(特质表!D292,$C$2:$I$173,2,0),""))</f>
        <v/>
      </c>
      <c r="M291" s="106" t="str">
        <f>IFERROR(VLOOKUP(特质表!C292,$C$2:$I$173,4,0),IFERROR(VLOOKUP(特质表!D292,$C$2:$I$173,4,0),""))</f>
        <v/>
      </c>
      <c r="N291" s="106" t="str">
        <f>IFERROR(VLOOKUP(特质表!C292,$C$2:$I$173,6,0),IFERROR(VLOOKUP(特质表!D292,$C$2:$I$173,6,0),""))</f>
        <v/>
      </c>
    </row>
    <row r="292" spans="12:14">
      <c r="L292" s="106" t="str">
        <f>IFERROR(VLOOKUP(特质表!C293,$C$2:$I$173,2,0),IFERROR(VLOOKUP(特质表!D293,$C$2:$I$173,2,0),""))</f>
        <v/>
      </c>
      <c r="M292" s="106" t="str">
        <f>IFERROR(VLOOKUP(特质表!C293,$C$2:$I$173,4,0),IFERROR(VLOOKUP(特质表!D293,$C$2:$I$173,4,0),""))</f>
        <v/>
      </c>
      <c r="N292" s="106" t="str">
        <f>IFERROR(VLOOKUP(特质表!C293,$C$2:$I$173,6,0),IFERROR(VLOOKUP(特质表!D293,$C$2:$I$173,6,0),""))</f>
        <v/>
      </c>
    </row>
    <row r="293" spans="12:14">
      <c r="L293" s="106" t="str">
        <f>IFERROR(VLOOKUP(特质表!C294,$C$2:$I$173,2,0),IFERROR(VLOOKUP(特质表!D294,$C$2:$I$173,2,0),""))</f>
        <v/>
      </c>
      <c r="M293" s="106" t="str">
        <f>IFERROR(VLOOKUP(特质表!C294,$C$2:$I$173,4,0),IFERROR(VLOOKUP(特质表!D294,$C$2:$I$173,4,0),""))</f>
        <v/>
      </c>
      <c r="N293" s="106" t="str">
        <f>IFERROR(VLOOKUP(特质表!C294,$C$2:$I$173,6,0),IFERROR(VLOOKUP(特质表!D294,$C$2:$I$173,6,0),""))</f>
        <v/>
      </c>
    </row>
    <row r="294" spans="12:14">
      <c r="L294" s="106" t="str">
        <f>IFERROR(VLOOKUP(特质表!C295,$C$2:$I$173,2,0),IFERROR(VLOOKUP(特质表!D295,$C$2:$I$173,2,0),""))</f>
        <v/>
      </c>
      <c r="M294" s="106" t="str">
        <f>IFERROR(VLOOKUP(特质表!C295,$C$2:$I$173,4,0),IFERROR(VLOOKUP(特质表!D295,$C$2:$I$173,4,0),""))</f>
        <v/>
      </c>
      <c r="N294" s="106" t="str">
        <f>IFERROR(VLOOKUP(特质表!C295,$C$2:$I$173,6,0),IFERROR(VLOOKUP(特质表!D295,$C$2:$I$173,6,0),""))</f>
        <v/>
      </c>
    </row>
    <row r="295" spans="12:14">
      <c r="L295" s="106" t="str">
        <f>IFERROR(VLOOKUP(特质表!C296,$C$2:$I$173,2,0),IFERROR(VLOOKUP(特质表!D296,$C$2:$I$173,2,0),""))</f>
        <v/>
      </c>
      <c r="M295" s="106" t="str">
        <f>IFERROR(VLOOKUP(特质表!C296,$C$2:$I$173,4,0),IFERROR(VLOOKUP(特质表!D296,$C$2:$I$173,4,0),""))</f>
        <v/>
      </c>
      <c r="N295" s="106" t="str">
        <f>IFERROR(VLOOKUP(特质表!C296,$C$2:$I$173,6,0),IFERROR(VLOOKUP(特质表!D296,$C$2:$I$173,6,0),""))</f>
        <v/>
      </c>
    </row>
    <row r="296" spans="12:14">
      <c r="L296" s="106" t="str">
        <f>IFERROR(VLOOKUP(特质表!C297,$C$2:$I$173,2,0),IFERROR(VLOOKUP(特质表!D297,$C$2:$I$173,2,0),""))</f>
        <v/>
      </c>
      <c r="M296" s="106" t="str">
        <f>IFERROR(VLOOKUP(特质表!C297,$C$2:$I$173,4,0),IFERROR(VLOOKUP(特质表!D297,$C$2:$I$173,4,0),""))</f>
        <v/>
      </c>
      <c r="N296" s="106" t="str">
        <f>IFERROR(VLOOKUP(特质表!C297,$C$2:$I$173,6,0),IFERROR(VLOOKUP(特质表!D297,$C$2:$I$173,6,0),""))</f>
        <v/>
      </c>
    </row>
    <row r="297" spans="12:14">
      <c r="L297" s="106" t="str">
        <f>IFERROR(VLOOKUP(特质表!C298,$C$2:$I$173,2,0),IFERROR(VLOOKUP(特质表!D298,$C$2:$I$173,2,0),""))</f>
        <v/>
      </c>
      <c r="M297" s="106" t="str">
        <f>IFERROR(VLOOKUP(特质表!C298,$C$2:$I$173,4,0),IFERROR(VLOOKUP(特质表!D298,$C$2:$I$173,4,0),""))</f>
        <v/>
      </c>
      <c r="N297" s="106" t="str">
        <f>IFERROR(VLOOKUP(特质表!C298,$C$2:$I$173,6,0),IFERROR(VLOOKUP(特质表!D298,$C$2:$I$173,6,0),""))</f>
        <v/>
      </c>
    </row>
    <row r="298" spans="12:14">
      <c r="L298" s="106" t="str">
        <f>IFERROR(VLOOKUP(特质表!C299,$C$2:$I$173,2,0),IFERROR(VLOOKUP(特质表!D299,$C$2:$I$173,2,0),""))</f>
        <v/>
      </c>
      <c r="M298" s="106" t="str">
        <f>IFERROR(VLOOKUP(特质表!C299,$C$2:$I$173,4,0),IFERROR(VLOOKUP(特质表!D299,$C$2:$I$173,4,0),""))</f>
        <v/>
      </c>
      <c r="N298" s="106" t="str">
        <f>IFERROR(VLOOKUP(特质表!C299,$C$2:$I$173,6,0),IFERROR(VLOOKUP(特质表!D299,$C$2:$I$173,6,0),""))</f>
        <v/>
      </c>
    </row>
    <row r="299" spans="12:14">
      <c r="L299" s="106" t="str">
        <f>IFERROR(VLOOKUP(特质表!C300,$C$2:$I$173,2,0),IFERROR(VLOOKUP(特质表!D300,$C$2:$I$173,2,0),""))</f>
        <v/>
      </c>
      <c r="M299" s="106" t="str">
        <f>IFERROR(VLOOKUP(特质表!C300,$C$2:$I$173,4,0),IFERROR(VLOOKUP(特质表!D300,$C$2:$I$173,4,0),""))</f>
        <v/>
      </c>
      <c r="N299" s="106" t="str">
        <f>IFERROR(VLOOKUP(特质表!C300,$C$2:$I$173,6,0),IFERROR(VLOOKUP(特质表!D300,$C$2:$I$173,6,0),""))</f>
        <v/>
      </c>
    </row>
    <row r="300" spans="12:14">
      <c r="L300" s="106" t="str">
        <f>IFERROR(VLOOKUP(特质表!C301,$C$2:$I$173,2,0),IFERROR(VLOOKUP(特质表!D301,$C$2:$I$173,2,0),""))</f>
        <v/>
      </c>
      <c r="M300" s="106" t="str">
        <f>IFERROR(VLOOKUP(特质表!C301,$C$2:$I$173,4,0),IFERROR(VLOOKUP(特质表!D301,$C$2:$I$173,4,0),""))</f>
        <v/>
      </c>
      <c r="N300" s="106" t="str">
        <f>IFERROR(VLOOKUP(特质表!C301,$C$2:$I$173,6,0),IFERROR(VLOOKUP(特质表!D301,$C$2:$I$173,6,0),""))</f>
        <v/>
      </c>
    </row>
    <row r="301" spans="12:14">
      <c r="L301" s="106" t="str">
        <f>IFERROR(VLOOKUP(特质表!C302,$C$2:$I$173,2,0),IFERROR(VLOOKUP(特质表!D302,$C$2:$I$173,2,0),""))</f>
        <v/>
      </c>
      <c r="M301" s="106" t="str">
        <f>IFERROR(VLOOKUP(特质表!C302,$C$2:$I$173,4,0),IFERROR(VLOOKUP(特质表!D302,$C$2:$I$173,4,0),""))</f>
        <v/>
      </c>
      <c r="N301" s="106" t="str">
        <f>IFERROR(VLOOKUP(特质表!C302,$C$2:$I$173,6,0),IFERROR(VLOOKUP(特质表!D302,$C$2:$I$173,6,0),""))</f>
        <v/>
      </c>
    </row>
    <row r="302" spans="12:14">
      <c r="L302" s="106" t="str">
        <f>IFERROR(VLOOKUP(特质表!C303,$C$2:$I$173,2,0),IFERROR(VLOOKUP(特质表!D303,$C$2:$I$173,2,0),""))</f>
        <v/>
      </c>
      <c r="M302" s="106" t="str">
        <f>IFERROR(VLOOKUP(特质表!C303,$C$2:$I$173,4,0),IFERROR(VLOOKUP(特质表!D303,$C$2:$I$173,4,0),""))</f>
        <v/>
      </c>
      <c r="N302" s="106" t="str">
        <f>IFERROR(VLOOKUP(特质表!C303,$C$2:$I$173,6,0),IFERROR(VLOOKUP(特质表!D303,$C$2:$I$173,6,0),""))</f>
        <v/>
      </c>
    </row>
    <row r="303" spans="12:14">
      <c r="L303" s="106" t="str">
        <f>IFERROR(VLOOKUP(特质表!C304,$C$2:$I$173,2,0),IFERROR(VLOOKUP(特质表!D304,$C$2:$I$173,2,0),""))</f>
        <v/>
      </c>
      <c r="M303" s="106" t="str">
        <f>IFERROR(VLOOKUP(特质表!C304,$C$2:$I$173,4,0),IFERROR(VLOOKUP(特质表!D304,$C$2:$I$173,4,0),""))</f>
        <v/>
      </c>
      <c r="N303" s="106" t="str">
        <f>IFERROR(VLOOKUP(特质表!C304,$C$2:$I$173,6,0),IFERROR(VLOOKUP(特质表!D304,$C$2:$I$173,6,0),""))</f>
        <v/>
      </c>
    </row>
    <row r="304" spans="12:14">
      <c r="L304" s="106" t="str">
        <f>IFERROR(VLOOKUP(特质表!C305,$C$2:$I$173,2,0),IFERROR(VLOOKUP(特质表!D305,$C$2:$I$173,2,0),""))</f>
        <v/>
      </c>
      <c r="M304" s="106" t="str">
        <f>IFERROR(VLOOKUP(特质表!C305,$C$2:$I$173,4,0),IFERROR(VLOOKUP(特质表!D305,$C$2:$I$173,4,0),""))</f>
        <v/>
      </c>
      <c r="N304" s="106" t="str">
        <f>IFERROR(VLOOKUP(特质表!C305,$C$2:$I$173,6,0),IFERROR(VLOOKUP(特质表!D305,$C$2:$I$173,6,0),""))</f>
        <v/>
      </c>
    </row>
    <row r="305" spans="12:14">
      <c r="L305" s="106" t="str">
        <f>IFERROR(VLOOKUP(特质表!C306,$C$2:$I$173,2,0),IFERROR(VLOOKUP(特质表!D306,$C$2:$I$173,2,0),""))</f>
        <v/>
      </c>
      <c r="M305" s="106" t="str">
        <f>IFERROR(VLOOKUP(特质表!C306,$C$2:$I$173,4,0),IFERROR(VLOOKUP(特质表!D306,$C$2:$I$173,4,0),""))</f>
        <v/>
      </c>
      <c r="N305" s="106" t="str">
        <f>IFERROR(VLOOKUP(特质表!C306,$C$2:$I$173,6,0),IFERROR(VLOOKUP(特质表!D306,$C$2:$I$173,6,0),""))</f>
        <v/>
      </c>
    </row>
    <row r="306" spans="12:14">
      <c r="L306" s="106" t="str">
        <f>IFERROR(VLOOKUP(特质表!C307,$C$2:$I$173,2,0),IFERROR(VLOOKUP(特质表!D307,$C$2:$I$173,2,0),""))</f>
        <v/>
      </c>
      <c r="M306" s="106" t="str">
        <f>IFERROR(VLOOKUP(特质表!C307,$C$2:$I$173,4,0),IFERROR(VLOOKUP(特质表!D307,$C$2:$I$173,4,0),""))</f>
        <v/>
      </c>
      <c r="N306" s="106" t="str">
        <f>IFERROR(VLOOKUP(特质表!C307,$C$2:$I$173,6,0),IFERROR(VLOOKUP(特质表!D307,$C$2:$I$173,6,0),""))</f>
        <v/>
      </c>
    </row>
    <row r="307" spans="12:14">
      <c r="L307" s="106" t="str">
        <f>IFERROR(VLOOKUP(特质表!C308,$C$2:$I$173,2,0),IFERROR(VLOOKUP(特质表!D308,$C$2:$I$173,2,0),""))</f>
        <v/>
      </c>
      <c r="M307" s="106" t="str">
        <f>IFERROR(VLOOKUP(特质表!C308,$C$2:$I$173,4,0),IFERROR(VLOOKUP(特质表!D308,$C$2:$I$173,4,0),""))</f>
        <v/>
      </c>
      <c r="N307" s="106" t="str">
        <f>IFERROR(VLOOKUP(特质表!C308,$C$2:$I$173,6,0),IFERROR(VLOOKUP(特质表!D308,$C$2:$I$173,6,0),""))</f>
        <v/>
      </c>
    </row>
    <row r="308" spans="12:14">
      <c r="L308" s="106" t="str">
        <f>IFERROR(VLOOKUP(特质表!C309,$C$2:$I$173,2,0),IFERROR(VLOOKUP(特质表!D309,$C$2:$I$173,2,0),""))</f>
        <v/>
      </c>
      <c r="M308" s="106" t="str">
        <f>IFERROR(VLOOKUP(特质表!C309,$C$2:$I$173,4,0),IFERROR(VLOOKUP(特质表!D309,$C$2:$I$173,4,0),""))</f>
        <v/>
      </c>
      <c r="N308" s="106" t="str">
        <f>IFERROR(VLOOKUP(特质表!C309,$C$2:$I$173,6,0),IFERROR(VLOOKUP(特质表!D309,$C$2:$I$173,6,0),""))</f>
        <v/>
      </c>
    </row>
    <row r="309" spans="12:14">
      <c r="L309" s="106" t="str">
        <f>IFERROR(VLOOKUP(特质表!C310,$C$2:$I$173,2,0),IFERROR(VLOOKUP(特质表!D310,$C$2:$I$173,2,0),""))</f>
        <v/>
      </c>
      <c r="M309" s="106" t="str">
        <f>IFERROR(VLOOKUP(特质表!C310,$C$2:$I$173,4,0),IFERROR(VLOOKUP(特质表!D310,$C$2:$I$173,4,0),""))</f>
        <v/>
      </c>
      <c r="N309" s="106" t="str">
        <f>IFERROR(VLOOKUP(特质表!C310,$C$2:$I$173,6,0),IFERROR(VLOOKUP(特质表!D310,$C$2:$I$173,6,0),""))</f>
        <v/>
      </c>
    </row>
    <row r="310" spans="12:14">
      <c r="L310" s="106" t="str">
        <f>IFERROR(VLOOKUP(特质表!C311,$C$2:$I$173,2,0),IFERROR(VLOOKUP(特质表!D311,$C$2:$I$173,2,0),""))</f>
        <v/>
      </c>
      <c r="M310" s="106" t="str">
        <f>IFERROR(VLOOKUP(特质表!C311,$C$2:$I$173,4,0),IFERROR(VLOOKUP(特质表!D311,$C$2:$I$173,4,0),""))</f>
        <v/>
      </c>
      <c r="N310" s="106" t="str">
        <f>IFERROR(VLOOKUP(特质表!C311,$C$2:$I$173,6,0),IFERROR(VLOOKUP(特质表!D311,$C$2:$I$173,6,0),""))</f>
        <v/>
      </c>
    </row>
    <row r="311" spans="12:14">
      <c r="L311" s="106" t="str">
        <f>IFERROR(VLOOKUP(特质表!C312,$C$2:$I$173,2,0),IFERROR(VLOOKUP(特质表!D312,$C$2:$I$173,2,0),""))</f>
        <v/>
      </c>
      <c r="M311" s="106" t="str">
        <f>IFERROR(VLOOKUP(特质表!C312,$C$2:$I$173,4,0),IFERROR(VLOOKUP(特质表!D312,$C$2:$I$173,4,0),""))</f>
        <v/>
      </c>
      <c r="N311" s="106" t="str">
        <f>IFERROR(VLOOKUP(特质表!C312,$C$2:$I$173,6,0),IFERROR(VLOOKUP(特质表!D312,$C$2:$I$173,6,0),""))</f>
        <v/>
      </c>
    </row>
    <row r="312" spans="12:14">
      <c r="L312" s="106" t="str">
        <f>IFERROR(VLOOKUP(特质表!C313,$C$2:$I$173,2,0),IFERROR(VLOOKUP(特质表!D313,$C$2:$I$173,2,0),""))</f>
        <v/>
      </c>
      <c r="M312" s="106" t="str">
        <f>IFERROR(VLOOKUP(特质表!C313,$C$2:$I$173,4,0),IFERROR(VLOOKUP(特质表!D313,$C$2:$I$173,4,0),""))</f>
        <v/>
      </c>
      <c r="N312" s="106" t="str">
        <f>IFERROR(VLOOKUP(特质表!C313,$C$2:$I$173,6,0),IFERROR(VLOOKUP(特质表!D313,$C$2:$I$173,6,0),""))</f>
        <v/>
      </c>
    </row>
    <row r="313" spans="12:14">
      <c r="L313" s="106" t="str">
        <f>IFERROR(VLOOKUP(特质表!C314,$C$2:$I$173,2,0),IFERROR(VLOOKUP(特质表!D314,$C$2:$I$173,2,0),""))</f>
        <v/>
      </c>
      <c r="M313" s="106" t="str">
        <f>IFERROR(VLOOKUP(特质表!C314,$C$2:$I$173,4,0),IFERROR(VLOOKUP(特质表!D314,$C$2:$I$173,4,0),""))</f>
        <v/>
      </c>
      <c r="N313" s="106" t="str">
        <f>IFERROR(VLOOKUP(特质表!C314,$C$2:$I$173,6,0),IFERROR(VLOOKUP(特质表!D314,$C$2:$I$173,6,0),""))</f>
        <v/>
      </c>
    </row>
    <row r="314" spans="12:14">
      <c r="L314" s="106" t="str">
        <f>IFERROR(VLOOKUP(特质表!C315,$C$2:$I$173,2,0),IFERROR(VLOOKUP(特质表!D315,$C$2:$I$173,2,0),""))</f>
        <v/>
      </c>
      <c r="M314" s="106" t="str">
        <f>IFERROR(VLOOKUP(特质表!C315,$C$2:$I$173,4,0),IFERROR(VLOOKUP(特质表!D315,$C$2:$I$173,4,0),""))</f>
        <v/>
      </c>
      <c r="N314" s="106" t="str">
        <f>IFERROR(VLOOKUP(特质表!C315,$C$2:$I$173,6,0),IFERROR(VLOOKUP(特质表!D315,$C$2:$I$173,6,0),""))</f>
        <v/>
      </c>
    </row>
    <row r="315" spans="12:14">
      <c r="L315" s="106" t="str">
        <f>IFERROR(VLOOKUP(特质表!C316,$C$2:$I$173,2,0),IFERROR(VLOOKUP(特质表!D316,$C$2:$I$173,2,0),""))</f>
        <v/>
      </c>
      <c r="M315" s="106" t="str">
        <f>IFERROR(VLOOKUP(特质表!C316,$C$2:$I$173,4,0),IFERROR(VLOOKUP(特质表!D316,$C$2:$I$173,4,0),""))</f>
        <v/>
      </c>
      <c r="N315" s="106" t="str">
        <f>IFERROR(VLOOKUP(特质表!C316,$C$2:$I$173,6,0),IFERROR(VLOOKUP(特质表!D316,$C$2:$I$173,6,0),""))</f>
        <v/>
      </c>
    </row>
    <row r="316" spans="12:14">
      <c r="L316" s="106" t="str">
        <f>IFERROR(VLOOKUP(特质表!C317,$C$2:$I$173,2,0),IFERROR(VLOOKUP(特质表!D317,$C$2:$I$173,2,0),""))</f>
        <v/>
      </c>
      <c r="M316" s="106" t="str">
        <f>IFERROR(VLOOKUP(特质表!C317,$C$2:$I$173,4,0),IFERROR(VLOOKUP(特质表!D317,$C$2:$I$173,4,0),""))</f>
        <v/>
      </c>
      <c r="N316" s="106" t="str">
        <f>IFERROR(VLOOKUP(特质表!C317,$C$2:$I$173,6,0),IFERROR(VLOOKUP(特质表!D317,$C$2:$I$173,6,0),""))</f>
        <v/>
      </c>
    </row>
    <row r="317" spans="12:14">
      <c r="L317" s="106" t="str">
        <f>IFERROR(VLOOKUP(特质表!C318,$C$2:$I$173,2,0),IFERROR(VLOOKUP(特质表!D318,$C$2:$I$173,2,0),""))</f>
        <v/>
      </c>
      <c r="M317" s="106" t="str">
        <f>IFERROR(VLOOKUP(特质表!C318,$C$2:$I$173,4,0),IFERROR(VLOOKUP(特质表!D318,$C$2:$I$173,4,0),""))</f>
        <v/>
      </c>
      <c r="N317" s="106" t="str">
        <f>IFERROR(VLOOKUP(特质表!C318,$C$2:$I$173,6,0),IFERROR(VLOOKUP(特质表!D318,$C$2:$I$173,6,0),""))</f>
        <v/>
      </c>
    </row>
    <row r="318" spans="12:14">
      <c r="L318" s="106" t="str">
        <f>IFERROR(VLOOKUP(特质表!C319,$C$2:$I$173,2,0),IFERROR(VLOOKUP(特质表!D319,$C$2:$I$173,2,0),""))</f>
        <v/>
      </c>
      <c r="M318" s="106" t="str">
        <f>IFERROR(VLOOKUP(特质表!C319,$C$2:$I$173,4,0),IFERROR(VLOOKUP(特质表!D319,$C$2:$I$173,4,0),""))</f>
        <v/>
      </c>
      <c r="N318" s="106" t="str">
        <f>IFERROR(VLOOKUP(特质表!C319,$C$2:$I$173,6,0),IFERROR(VLOOKUP(特质表!D319,$C$2:$I$173,6,0),""))</f>
        <v/>
      </c>
    </row>
    <row r="319" spans="12:14">
      <c r="L319" s="106" t="str">
        <f>IFERROR(VLOOKUP(特质表!C320,$C$2:$I$173,2,0),IFERROR(VLOOKUP(特质表!D320,$C$2:$I$173,2,0),""))</f>
        <v/>
      </c>
      <c r="M319" s="106" t="str">
        <f>IFERROR(VLOOKUP(特质表!C320,$C$2:$I$173,4,0),IFERROR(VLOOKUP(特质表!D320,$C$2:$I$173,4,0),""))</f>
        <v/>
      </c>
      <c r="N319" s="106" t="str">
        <f>IFERROR(VLOOKUP(特质表!C320,$C$2:$I$173,6,0),IFERROR(VLOOKUP(特质表!D320,$C$2:$I$173,6,0),""))</f>
        <v/>
      </c>
    </row>
    <row r="320" spans="12:14">
      <c r="L320" s="106" t="str">
        <f>IFERROR(VLOOKUP(特质表!C321,$C$2:$I$173,2,0),IFERROR(VLOOKUP(特质表!D321,$C$2:$I$173,2,0),""))</f>
        <v/>
      </c>
      <c r="M320" s="106" t="str">
        <f>IFERROR(VLOOKUP(特质表!C321,$C$2:$I$173,4,0),IFERROR(VLOOKUP(特质表!D321,$C$2:$I$173,4,0),""))</f>
        <v/>
      </c>
      <c r="N320" s="106" t="str">
        <f>IFERROR(VLOOKUP(特质表!C321,$C$2:$I$173,6,0),IFERROR(VLOOKUP(特质表!D321,$C$2:$I$173,6,0),""))</f>
        <v/>
      </c>
    </row>
    <row r="321" spans="12:14">
      <c r="L321" s="106" t="str">
        <f>IFERROR(VLOOKUP(特质表!C322,$C$2:$I$173,2,0),IFERROR(VLOOKUP(特质表!D322,$C$2:$I$173,2,0),""))</f>
        <v/>
      </c>
      <c r="M321" s="106" t="str">
        <f>IFERROR(VLOOKUP(特质表!C322,$C$2:$I$173,4,0),IFERROR(VLOOKUP(特质表!D322,$C$2:$I$173,4,0),""))</f>
        <v/>
      </c>
      <c r="N321" s="106" t="str">
        <f>IFERROR(VLOOKUP(特质表!C322,$C$2:$I$173,6,0),IFERROR(VLOOKUP(特质表!D322,$C$2:$I$173,6,0),""))</f>
        <v/>
      </c>
    </row>
    <row r="322" spans="12:14">
      <c r="L322" s="106" t="str">
        <f>IFERROR(VLOOKUP(特质表!C323,$C$2:$I$173,2,0),IFERROR(VLOOKUP(特质表!D323,$C$2:$I$173,2,0),""))</f>
        <v/>
      </c>
      <c r="M322" s="106" t="str">
        <f>IFERROR(VLOOKUP(特质表!C323,$C$2:$I$173,4,0),IFERROR(VLOOKUP(特质表!D323,$C$2:$I$173,4,0),""))</f>
        <v/>
      </c>
      <c r="N322" s="106" t="str">
        <f>IFERROR(VLOOKUP(特质表!C323,$C$2:$I$173,6,0),IFERROR(VLOOKUP(特质表!D323,$C$2:$I$173,6,0),""))</f>
        <v/>
      </c>
    </row>
    <row r="323" spans="12:14">
      <c r="L323" s="106" t="str">
        <f>IFERROR(VLOOKUP(特质表!C324,$C$2:$I$173,2,0),IFERROR(VLOOKUP(特质表!D324,$C$2:$I$173,2,0),""))</f>
        <v/>
      </c>
      <c r="M323" s="106" t="str">
        <f>IFERROR(VLOOKUP(特质表!C324,$C$2:$I$173,4,0),IFERROR(VLOOKUP(特质表!D324,$C$2:$I$173,4,0),""))</f>
        <v/>
      </c>
      <c r="N323" s="106" t="str">
        <f>IFERROR(VLOOKUP(特质表!C324,$C$2:$I$173,6,0),IFERROR(VLOOKUP(特质表!D324,$C$2:$I$173,6,0),""))</f>
        <v/>
      </c>
    </row>
    <row r="324" spans="12:14">
      <c r="L324" s="106" t="str">
        <f>IFERROR(VLOOKUP(特质表!C325,$C$2:$I$173,2,0),IFERROR(VLOOKUP(特质表!D325,$C$2:$I$173,2,0),""))</f>
        <v/>
      </c>
      <c r="M324" s="106" t="str">
        <f>IFERROR(VLOOKUP(特质表!C325,$C$2:$I$173,4,0),IFERROR(VLOOKUP(特质表!D325,$C$2:$I$173,4,0),""))</f>
        <v/>
      </c>
      <c r="N324" s="106" t="str">
        <f>IFERROR(VLOOKUP(特质表!C325,$C$2:$I$173,6,0),IFERROR(VLOOKUP(特质表!D325,$C$2:$I$173,6,0),""))</f>
        <v/>
      </c>
    </row>
    <row r="325" spans="12:14">
      <c r="L325" s="106" t="str">
        <f>IFERROR(VLOOKUP(特质表!C326,$C$2:$I$173,2,0),IFERROR(VLOOKUP(特质表!D326,$C$2:$I$173,2,0),""))</f>
        <v/>
      </c>
      <c r="M325" s="106" t="str">
        <f>IFERROR(VLOOKUP(特质表!C326,$C$2:$I$173,4,0),IFERROR(VLOOKUP(特质表!D326,$C$2:$I$173,4,0),""))</f>
        <v/>
      </c>
      <c r="N325" s="106" t="str">
        <f>IFERROR(VLOOKUP(特质表!C326,$C$2:$I$173,6,0),IFERROR(VLOOKUP(特质表!D326,$C$2:$I$173,6,0),""))</f>
        <v/>
      </c>
    </row>
    <row r="326" spans="12:14">
      <c r="L326" s="106" t="str">
        <f>IFERROR(VLOOKUP(特质表!C327,$C$2:$I$173,2,0),IFERROR(VLOOKUP(特质表!D327,$C$2:$I$173,2,0),""))</f>
        <v/>
      </c>
      <c r="M326" s="106" t="str">
        <f>IFERROR(VLOOKUP(特质表!C327,$C$2:$I$173,4,0),IFERROR(VLOOKUP(特质表!D327,$C$2:$I$173,4,0),""))</f>
        <v/>
      </c>
      <c r="N326" s="106" t="str">
        <f>IFERROR(VLOOKUP(特质表!C327,$C$2:$I$173,6,0),IFERROR(VLOOKUP(特质表!D327,$C$2:$I$173,6,0),""))</f>
        <v/>
      </c>
    </row>
    <row r="327" spans="12:14">
      <c r="L327" s="106" t="str">
        <f>IFERROR(VLOOKUP(特质表!C328,$C$2:$I$173,2,0),IFERROR(VLOOKUP(特质表!D328,$C$2:$I$173,2,0),""))</f>
        <v/>
      </c>
      <c r="M327" s="106" t="str">
        <f>IFERROR(VLOOKUP(特质表!C328,$C$2:$I$173,4,0),IFERROR(VLOOKUP(特质表!D328,$C$2:$I$173,4,0),""))</f>
        <v/>
      </c>
      <c r="N327" s="106" t="str">
        <f>IFERROR(VLOOKUP(特质表!C328,$C$2:$I$173,6,0),IFERROR(VLOOKUP(特质表!D328,$C$2:$I$173,6,0),""))</f>
        <v/>
      </c>
    </row>
    <row r="328" spans="12:14">
      <c r="L328" s="106" t="str">
        <f>IFERROR(VLOOKUP(特质表!C329,$C$2:$I$173,2,0),IFERROR(VLOOKUP(特质表!D329,$C$2:$I$173,2,0),""))</f>
        <v/>
      </c>
      <c r="M328" s="106" t="str">
        <f>IFERROR(VLOOKUP(特质表!C329,$C$2:$I$173,4,0),IFERROR(VLOOKUP(特质表!D329,$C$2:$I$173,4,0),""))</f>
        <v/>
      </c>
      <c r="N328" s="106" t="str">
        <f>IFERROR(VLOOKUP(特质表!C329,$C$2:$I$173,6,0),IFERROR(VLOOKUP(特质表!D329,$C$2:$I$173,6,0),""))</f>
        <v/>
      </c>
    </row>
    <row r="329" spans="12:14">
      <c r="L329" s="106" t="str">
        <f>IFERROR(VLOOKUP(特质表!C330,$C$2:$I$173,2,0),IFERROR(VLOOKUP(特质表!D330,$C$2:$I$173,2,0),""))</f>
        <v/>
      </c>
      <c r="M329" s="106" t="str">
        <f>IFERROR(VLOOKUP(特质表!C330,$C$2:$I$173,4,0),IFERROR(VLOOKUP(特质表!D330,$C$2:$I$173,4,0),""))</f>
        <v/>
      </c>
      <c r="N329" s="106" t="str">
        <f>IFERROR(VLOOKUP(特质表!C330,$C$2:$I$173,6,0),IFERROR(VLOOKUP(特质表!D330,$C$2:$I$173,6,0),""))</f>
        <v/>
      </c>
    </row>
    <row r="330" spans="12:14">
      <c r="L330" s="106" t="str">
        <f>IFERROR(VLOOKUP(特质表!C331,$C$2:$I$173,2,0),IFERROR(VLOOKUP(特质表!D331,$C$2:$I$173,2,0),""))</f>
        <v/>
      </c>
      <c r="M330" s="106" t="str">
        <f>IFERROR(VLOOKUP(特质表!C331,$C$2:$I$173,4,0),IFERROR(VLOOKUP(特质表!D331,$C$2:$I$173,4,0),""))</f>
        <v/>
      </c>
      <c r="N330" s="106" t="str">
        <f>IFERROR(VLOOKUP(特质表!C331,$C$2:$I$173,6,0),IFERROR(VLOOKUP(特质表!D331,$C$2:$I$173,6,0),""))</f>
        <v/>
      </c>
    </row>
    <row r="331" spans="12:14">
      <c r="L331" s="106" t="str">
        <f>IFERROR(VLOOKUP(特质表!C332,$C$2:$I$173,2,0),IFERROR(VLOOKUP(特质表!D332,$C$2:$I$173,2,0),""))</f>
        <v/>
      </c>
      <c r="M331" s="106" t="str">
        <f>IFERROR(VLOOKUP(特质表!C332,$C$2:$I$173,4,0),IFERROR(VLOOKUP(特质表!D332,$C$2:$I$173,4,0),""))</f>
        <v/>
      </c>
      <c r="N331" s="106" t="str">
        <f>IFERROR(VLOOKUP(特质表!C332,$C$2:$I$173,6,0),IFERROR(VLOOKUP(特质表!D332,$C$2:$I$173,6,0),""))</f>
        <v/>
      </c>
    </row>
    <row r="332" spans="12:14">
      <c r="L332" s="106" t="str">
        <f>IFERROR(VLOOKUP(特质表!C333,$C$2:$I$173,2,0),IFERROR(VLOOKUP(特质表!D333,$C$2:$I$173,2,0),""))</f>
        <v/>
      </c>
      <c r="M332" s="106" t="str">
        <f>IFERROR(VLOOKUP(特质表!C333,$C$2:$I$173,4,0),IFERROR(VLOOKUP(特质表!D333,$C$2:$I$173,4,0),""))</f>
        <v/>
      </c>
      <c r="N332" s="106" t="str">
        <f>IFERROR(VLOOKUP(特质表!C333,$C$2:$I$173,6,0),IFERROR(VLOOKUP(特质表!D333,$C$2:$I$173,6,0),""))</f>
        <v/>
      </c>
    </row>
    <row r="333" spans="12:14">
      <c r="L333" s="106" t="str">
        <f>IFERROR(VLOOKUP(特质表!C334,$C$2:$I$173,2,0),IFERROR(VLOOKUP(特质表!D334,$C$2:$I$173,2,0),""))</f>
        <v/>
      </c>
      <c r="M333" s="106" t="str">
        <f>IFERROR(VLOOKUP(特质表!C334,$C$2:$I$173,4,0),IFERROR(VLOOKUP(特质表!D334,$C$2:$I$173,4,0),""))</f>
        <v/>
      </c>
      <c r="N333" s="106" t="str">
        <f>IFERROR(VLOOKUP(特质表!C334,$C$2:$I$173,6,0),IFERROR(VLOOKUP(特质表!D334,$C$2:$I$173,6,0),""))</f>
        <v/>
      </c>
    </row>
    <row r="334" spans="12:14">
      <c r="L334" s="106" t="str">
        <f>IFERROR(VLOOKUP(特质表!C335,$C$2:$I$173,2,0),IFERROR(VLOOKUP(特质表!D335,$C$2:$I$173,2,0),""))</f>
        <v/>
      </c>
      <c r="M334" s="106" t="str">
        <f>IFERROR(VLOOKUP(特质表!C335,$C$2:$I$173,4,0),IFERROR(VLOOKUP(特质表!D335,$C$2:$I$173,4,0),""))</f>
        <v/>
      </c>
      <c r="N334" s="106" t="str">
        <f>IFERROR(VLOOKUP(特质表!C335,$C$2:$I$173,6,0),IFERROR(VLOOKUP(特质表!D335,$C$2:$I$173,6,0),""))</f>
        <v/>
      </c>
    </row>
    <row r="335" spans="12:14">
      <c r="L335" s="106" t="str">
        <f>IFERROR(VLOOKUP(特质表!C336,$C$2:$I$173,2,0),IFERROR(VLOOKUP(特质表!D336,$C$2:$I$173,2,0),""))</f>
        <v/>
      </c>
      <c r="M335" s="106" t="str">
        <f>IFERROR(VLOOKUP(特质表!C336,$C$2:$I$173,4,0),IFERROR(VLOOKUP(特质表!D336,$C$2:$I$173,4,0),""))</f>
        <v/>
      </c>
      <c r="N335" s="106" t="str">
        <f>IFERROR(VLOOKUP(特质表!C336,$C$2:$I$173,6,0),IFERROR(VLOOKUP(特质表!D336,$C$2:$I$173,6,0),""))</f>
        <v/>
      </c>
    </row>
    <row r="336" spans="12:14">
      <c r="L336" s="106" t="str">
        <f>IFERROR(VLOOKUP(特质表!C337,$C$2:$I$173,2,0),IFERROR(VLOOKUP(特质表!D337,$C$2:$I$173,2,0),""))</f>
        <v/>
      </c>
      <c r="M336" s="106" t="str">
        <f>IFERROR(VLOOKUP(特质表!C337,$C$2:$I$173,4,0),IFERROR(VLOOKUP(特质表!D337,$C$2:$I$173,4,0),""))</f>
        <v/>
      </c>
      <c r="N336" s="106" t="str">
        <f>IFERROR(VLOOKUP(特质表!C337,$C$2:$I$173,6,0),IFERROR(VLOOKUP(特质表!D337,$C$2:$I$173,6,0),""))</f>
        <v/>
      </c>
    </row>
    <row r="337" spans="12:14">
      <c r="L337" s="106" t="str">
        <f>IFERROR(VLOOKUP(特质表!C338,$C$2:$I$173,2,0),IFERROR(VLOOKUP(特质表!D338,$C$2:$I$173,2,0),""))</f>
        <v/>
      </c>
      <c r="M337" s="106" t="str">
        <f>IFERROR(VLOOKUP(特质表!C338,$C$2:$I$173,4,0),IFERROR(VLOOKUP(特质表!D338,$C$2:$I$173,4,0),""))</f>
        <v/>
      </c>
      <c r="N337" s="106" t="str">
        <f>IFERROR(VLOOKUP(特质表!C338,$C$2:$I$173,6,0),IFERROR(VLOOKUP(特质表!D338,$C$2:$I$173,6,0),""))</f>
        <v/>
      </c>
    </row>
    <row r="338" spans="12:14">
      <c r="L338" s="106" t="str">
        <f>IFERROR(VLOOKUP(特质表!C339,$C$2:$I$173,2,0),IFERROR(VLOOKUP(特质表!D339,$C$2:$I$173,2,0),""))</f>
        <v/>
      </c>
      <c r="M338" s="106" t="str">
        <f>IFERROR(VLOOKUP(特质表!C339,$C$2:$I$173,4,0),IFERROR(VLOOKUP(特质表!D339,$C$2:$I$173,4,0),""))</f>
        <v/>
      </c>
      <c r="N338" s="106" t="str">
        <f>IFERROR(VLOOKUP(特质表!C339,$C$2:$I$173,6,0),IFERROR(VLOOKUP(特质表!D339,$C$2:$I$173,6,0),""))</f>
        <v/>
      </c>
    </row>
    <row r="339" spans="12:14">
      <c r="L339" s="106" t="str">
        <f>IFERROR(VLOOKUP(特质表!C340,$C$2:$I$173,2,0),IFERROR(VLOOKUP(特质表!D340,$C$2:$I$173,2,0),""))</f>
        <v/>
      </c>
      <c r="M339" s="106" t="str">
        <f>IFERROR(VLOOKUP(特质表!C340,$C$2:$I$173,4,0),IFERROR(VLOOKUP(特质表!D340,$C$2:$I$173,4,0),""))</f>
        <v/>
      </c>
      <c r="N339" s="106" t="str">
        <f>IFERROR(VLOOKUP(特质表!C340,$C$2:$I$173,6,0),IFERROR(VLOOKUP(特质表!D340,$C$2:$I$173,6,0),""))</f>
        <v/>
      </c>
    </row>
    <row r="340" spans="12:14">
      <c r="L340" s="106" t="str">
        <f>IFERROR(VLOOKUP(特质表!C341,$C$2:$I$173,2,0),IFERROR(VLOOKUP(特质表!D341,$C$2:$I$173,2,0),""))</f>
        <v/>
      </c>
      <c r="M340" s="106" t="str">
        <f>IFERROR(VLOOKUP(特质表!C341,$C$2:$I$173,4,0),IFERROR(VLOOKUP(特质表!D341,$C$2:$I$173,4,0),""))</f>
        <v/>
      </c>
      <c r="N340" s="106" t="str">
        <f>IFERROR(VLOOKUP(特质表!C341,$C$2:$I$173,6,0),IFERROR(VLOOKUP(特质表!D341,$C$2:$I$173,6,0),""))</f>
        <v/>
      </c>
    </row>
    <row r="341" spans="12:14">
      <c r="L341" s="106" t="str">
        <f>IFERROR(VLOOKUP(特质表!C342,$C$2:$I$173,2,0),IFERROR(VLOOKUP(特质表!D342,$C$2:$I$173,2,0),""))</f>
        <v/>
      </c>
      <c r="M341" s="106" t="str">
        <f>IFERROR(VLOOKUP(特质表!C342,$C$2:$I$173,4,0),IFERROR(VLOOKUP(特质表!D342,$C$2:$I$173,4,0),""))</f>
        <v/>
      </c>
      <c r="N341" s="106" t="str">
        <f>IFERROR(VLOOKUP(特质表!C342,$C$2:$I$173,6,0),IFERROR(VLOOKUP(特质表!D342,$C$2:$I$173,6,0),""))</f>
        <v/>
      </c>
    </row>
    <row r="342" spans="12:14">
      <c r="L342" s="106" t="str">
        <f>IFERROR(VLOOKUP(特质表!C343,$C$2:$I$173,2,0),IFERROR(VLOOKUP(特质表!D343,$C$2:$I$173,2,0),""))</f>
        <v/>
      </c>
      <c r="M342" s="106" t="str">
        <f>IFERROR(VLOOKUP(特质表!C343,$C$2:$I$173,4,0),IFERROR(VLOOKUP(特质表!D343,$C$2:$I$173,4,0),""))</f>
        <v/>
      </c>
      <c r="N342" s="106" t="str">
        <f>IFERROR(VLOOKUP(特质表!C343,$C$2:$I$173,6,0),IFERROR(VLOOKUP(特质表!D343,$C$2:$I$173,6,0),""))</f>
        <v/>
      </c>
    </row>
    <row r="343" spans="12:14">
      <c r="L343" s="106" t="str">
        <f>IFERROR(VLOOKUP(特质表!C344,$C$2:$I$173,2,0),IFERROR(VLOOKUP(特质表!D344,$C$2:$I$173,2,0),""))</f>
        <v/>
      </c>
      <c r="M343" s="106" t="str">
        <f>IFERROR(VLOOKUP(特质表!C344,$C$2:$I$173,4,0),IFERROR(VLOOKUP(特质表!D344,$C$2:$I$173,4,0),""))</f>
        <v/>
      </c>
      <c r="N343" s="106" t="str">
        <f>IFERROR(VLOOKUP(特质表!C344,$C$2:$I$173,6,0),IFERROR(VLOOKUP(特质表!D344,$C$2:$I$173,6,0),""))</f>
        <v/>
      </c>
    </row>
    <row r="344" spans="12:14">
      <c r="L344" s="106" t="str">
        <f>IFERROR(VLOOKUP(特质表!C345,$C$2:$I$173,2,0),IFERROR(VLOOKUP(特质表!D345,$C$2:$I$173,2,0),""))</f>
        <v/>
      </c>
      <c r="M344" s="106" t="str">
        <f>IFERROR(VLOOKUP(特质表!C345,$C$2:$I$173,4,0),IFERROR(VLOOKUP(特质表!D345,$C$2:$I$173,4,0),""))</f>
        <v/>
      </c>
      <c r="N344" s="106" t="str">
        <f>IFERROR(VLOOKUP(特质表!C345,$C$2:$I$173,6,0),IFERROR(VLOOKUP(特质表!D345,$C$2:$I$173,6,0),""))</f>
        <v/>
      </c>
    </row>
    <row r="345" spans="12:14">
      <c r="L345" s="106" t="str">
        <f>IFERROR(VLOOKUP(特质表!C346,$C$2:$I$173,2,0),IFERROR(VLOOKUP(特质表!D346,$C$2:$I$173,2,0),""))</f>
        <v/>
      </c>
      <c r="M345" s="106" t="str">
        <f>IFERROR(VLOOKUP(特质表!C346,$C$2:$I$173,4,0),IFERROR(VLOOKUP(特质表!D346,$C$2:$I$173,4,0),""))</f>
        <v/>
      </c>
      <c r="N345" s="106" t="str">
        <f>IFERROR(VLOOKUP(特质表!C346,$C$2:$I$173,6,0),IFERROR(VLOOKUP(特质表!D346,$C$2:$I$173,6,0),""))</f>
        <v/>
      </c>
    </row>
    <row r="346" spans="12:14">
      <c r="L346" s="106" t="str">
        <f>IFERROR(VLOOKUP(特质表!C347,$C$2:$I$173,2,0),IFERROR(VLOOKUP(特质表!D347,$C$2:$I$173,2,0),""))</f>
        <v/>
      </c>
      <c r="M346" s="106" t="str">
        <f>IFERROR(VLOOKUP(特质表!C347,$C$2:$I$173,4,0),IFERROR(VLOOKUP(特质表!D347,$C$2:$I$173,4,0),""))</f>
        <v/>
      </c>
      <c r="N346" s="106" t="str">
        <f>IFERROR(VLOOKUP(特质表!C347,$C$2:$I$173,6,0),IFERROR(VLOOKUP(特质表!D347,$C$2:$I$173,6,0),""))</f>
        <v/>
      </c>
    </row>
    <row r="347" spans="12:14">
      <c r="L347" s="106" t="str">
        <f>IFERROR(VLOOKUP(特质表!C348,$C$2:$I$173,2,0),IFERROR(VLOOKUP(特质表!D348,$C$2:$I$173,2,0),""))</f>
        <v/>
      </c>
      <c r="M347" s="106" t="str">
        <f>IFERROR(VLOOKUP(特质表!C348,$C$2:$I$173,4,0),IFERROR(VLOOKUP(特质表!D348,$C$2:$I$173,4,0),""))</f>
        <v/>
      </c>
      <c r="N347" s="106" t="str">
        <f>IFERROR(VLOOKUP(特质表!C348,$C$2:$I$173,6,0),IFERROR(VLOOKUP(特质表!D348,$C$2:$I$173,6,0),""))</f>
        <v/>
      </c>
    </row>
    <row r="348" spans="12:14">
      <c r="L348" s="106" t="str">
        <f>IFERROR(VLOOKUP(特质表!C349,$C$2:$I$173,2,0),IFERROR(VLOOKUP(特质表!D349,$C$2:$I$173,2,0),""))</f>
        <v/>
      </c>
      <c r="M348" s="106" t="str">
        <f>IFERROR(VLOOKUP(特质表!C349,$C$2:$I$173,4,0),IFERROR(VLOOKUP(特质表!D349,$C$2:$I$173,4,0),""))</f>
        <v/>
      </c>
      <c r="N348" s="106" t="str">
        <f>IFERROR(VLOOKUP(特质表!C349,$C$2:$I$173,6,0),IFERROR(VLOOKUP(特质表!D349,$C$2:$I$173,6,0),""))</f>
        <v/>
      </c>
    </row>
    <row r="349" spans="12:14">
      <c r="L349" s="106" t="str">
        <f>IFERROR(VLOOKUP(特质表!C350,$C$2:$I$173,2,0),IFERROR(VLOOKUP(特质表!D350,$C$2:$I$173,2,0),""))</f>
        <v/>
      </c>
      <c r="M349" s="106" t="str">
        <f>IFERROR(VLOOKUP(特质表!C350,$C$2:$I$173,4,0),IFERROR(VLOOKUP(特质表!D350,$C$2:$I$173,4,0),""))</f>
        <v/>
      </c>
      <c r="N349" s="106" t="str">
        <f>IFERROR(VLOOKUP(特质表!C350,$C$2:$I$173,6,0),IFERROR(VLOOKUP(特质表!D350,$C$2:$I$173,6,0),""))</f>
        <v/>
      </c>
    </row>
    <row r="350" spans="12:14">
      <c r="L350" s="106" t="str">
        <f>IFERROR(VLOOKUP(特质表!C351,$C$2:$I$173,2,0),IFERROR(VLOOKUP(特质表!D351,$C$2:$I$173,2,0),""))</f>
        <v/>
      </c>
      <c r="M350" s="106" t="str">
        <f>IFERROR(VLOOKUP(特质表!C351,$C$2:$I$173,4,0),IFERROR(VLOOKUP(特质表!D351,$C$2:$I$173,4,0),""))</f>
        <v/>
      </c>
      <c r="N350" s="106" t="str">
        <f>IFERROR(VLOOKUP(特质表!C351,$C$2:$I$173,6,0),IFERROR(VLOOKUP(特质表!D351,$C$2:$I$173,6,0),""))</f>
        <v/>
      </c>
    </row>
    <row r="351" spans="12:14">
      <c r="L351" s="106" t="str">
        <f>IFERROR(VLOOKUP(特质表!C352,$C$2:$I$173,2,0),IFERROR(VLOOKUP(特质表!D352,$C$2:$I$173,2,0),""))</f>
        <v/>
      </c>
      <c r="M351" s="106" t="str">
        <f>IFERROR(VLOOKUP(特质表!C352,$C$2:$I$173,4,0),IFERROR(VLOOKUP(特质表!D352,$C$2:$I$173,4,0),""))</f>
        <v/>
      </c>
      <c r="N351" s="106" t="str">
        <f>IFERROR(VLOOKUP(特质表!C352,$C$2:$I$173,6,0),IFERROR(VLOOKUP(特质表!D352,$C$2:$I$173,6,0),""))</f>
        <v/>
      </c>
    </row>
    <row r="352" spans="12:14">
      <c r="L352" s="106" t="str">
        <f>IFERROR(VLOOKUP(特质表!C353,$C$2:$I$173,2,0),IFERROR(VLOOKUP(特质表!D353,$C$2:$I$173,2,0),""))</f>
        <v/>
      </c>
      <c r="M352" s="106" t="str">
        <f>IFERROR(VLOOKUP(特质表!C353,$C$2:$I$173,4,0),IFERROR(VLOOKUP(特质表!D353,$C$2:$I$173,4,0),""))</f>
        <v/>
      </c>
      <c r="N352" s="106" t="str">
        <f>IFERROR(VLOOKUP(特质表!C353,$C$2:$I$173,6,0),IFERROR(VLOOKUP(特质表!D353,$C$2:$I$173,6,0),""))</f>
        <v/>
      </c>
    </row>
    <row r="353" spans="12:14">
      <c r="L353" s="106" t="str">
        <f>IFERROR(VLOOKUP(特质表!C354,$C$2:$I$173,2,0),IFERROR(VLOOKUP(特质表!D354,$C$2:$I$173,2,0),""))</f>
        <v/>
      </c>
      <c r="M353" s="106" t="str">
        <f>IFERROR(VLOOKUP(特质表!C354,$C$2:$I$173,4,0),IFERROR(VLOOKUP(特质表!D354,$C$2:$I$173,4,0),""))</f>
        <v/>
      </c>
      <c r="N353" s="106" t="str">
        <f>IFERROR(VLOOKUP(特质表!C354,$C$2:$I$173,6,0),IFERROR(VLOOKUP(特质表!D354,$C$2:$I$173,6,0),""))</f>
        <v/>
      </c>
    </row>
    <row r="354" spans="12:14">
      <c r="L354" s="106" t="str">
        <f>IFERROR(VLOOKUP(特质表!C355,$C$2:$I$173,2,0),IFERROR(VLOOKUP(特质表!D355,$C$2:$I$173,2,0),""))</f>
        <v/>
      </c>
      <c r="M354" s="106" t="str">
        <f>IFERROR(VLOOKUP(特质表!C355,$C$2:$I$173,4,0),IFERROR(VLOOKUP(特质表!D355,$C$2:$I$173,4,0),""))</f>
        <v/>
      </c>
      <c r="N354" s="106" t="str">
        <f>IFERROR(VLOOKUP(特质表!C355,$C$2:$I$173,6,0),IFERROR(VLOOKUP(特质表!D355,$C$2:$I$173,6,0),""))</f>
        <v/>
      </c>
    </row>
    <row r="355" spans="12:14">
      <c r="L355" s="106" t="str">
        <f>IFERROR(VLOOKUP(特质表!C356,$C$2:$I$173,2,0),IFERROR(VLOOKUP(特质表!D356,$C$2:$I$173,2,0),""))</f>
        <v/>
      </c>
      <c r="M355" s="106" t="str">
        <f>IFERROR(VLOOKUP(特质表!C356,$C$2:$I$173,4,0),IFERROR(VLOOKUP(特质表!D356,$C$2:$I$173,4,0),""))</f>
        <v/>
      </c>
      <c r="N355" s="106" t="str">
        <f>IFERROR(VLOOKUP(特质表!C356,$C$2:$I$173,6,0),IFERROR(VLOOKUP(特质表!D356,$C$2:$I$173,6,0),""))</f>
        <v/>
      </c>
    </row>
    <row r="356" spans="12:14">
      <c r="L356" s="106" t="str">
        <f>IFERROR(VLOOKUP(特质表!C357,$C$2:$I$173,2,0),IFERROR(VLOOKUP(特质表!D357,$C$2:$I$173,2,0),""))</f>
        <v/>
      </c>
      <c r="M356" s="106" t="str">
        <f>IFERROR(VLOOKUP(特质表!C357,$C$2:$I$173,4,0),IFERROR(VLOOKUP(特质表!D357,$C$2:$I$173,4,0),""))</f>
        <v/>
      </c>
      <c r="N356" s="106" t="str">
        <f>IFERROR(VLOOKUP(特质表!C357,$C$2:$I$173,6,0),IFERROR(VLOOKUP(特质表!D357,$C$2:$I$173,6,0),""))</f>
        <v/>
      </c>
    </row>
    <row r="357" spans="12:14">
      <c r="L357" s="106" t="str">
        <f>IFERROR(VLOOKUP(特质表!C358,$C$2:$I$173,2,0),IFERROR(VLOOKUP(特质表!D358,$C$2:$I$173,2,0),""))</f>
        <v/>
      </c>
      <c r="M357" s="106" t="str">
        <f>IFERROR(VLOOKUP(特质表!C358,$C$2:$I$173,4,0),IFERROR(VLOOKUP(特质表!D358,$C$2:$I$173,4,0),""))</f>
        <v/>
      </c>
      <c r="N357" s="106" t="str">
        <f>IFERROR(VLOOKUP(特质表!C358,$C$2:$I$173,6,0),IFERROR(VLOOKUP(特质表!D358,$C$2:$I$173,6,0),""))</f>
        <v/>
      </c>
    </row>
    <row r="358" spans="12:14">
      <c r="L358" s="106" t="str">
        <f>IFERROR(VLOOKUP(特质表!C359,$C$2:$I$173,2,0),IFERROR(VLOOKUP(特质表!D359,$C$2:$I$173,2,0),""))</f>
        <v/>
      </c>
      <c r="M358" s="106" t="str">
        <f>IFERROR(VLOOKUP(特质表!C359,$C$2:$I$173,4,0),IFERROR(VLOOKUP(特质表!D359,$C$2:$I$173,4,0),""))</f>
        <v/>
      </c>
      <c r="N358" s="106" t="str">
        <f>IFERROR(VLOOKUP(特质表!C359,$C$2:$I$173,6,0),IFERROR(VLOOKUP(特质表!D359,$C$2:$I$173,6,0),""))</f>
        <v/>
      </c>
    </row>
    <row r="359" spans="12:14">
      <c r="L359" s="106" t="str">
        <f>IFERROR(VLOOKUP(特质表!C360,$C$2:$I$173,2,0),IFERROR(VLOOKUP(特质表!D360,$C$2:$I$173,2,0),""))</f>
        <v/>
      </c>
      <c r="M359" s="106" t="str">
        <f>IFERROR(VLOOKUP(特质表!C360,$C$2:$I$173,4,0),IFERROR(VLOOKUP(特质表!D360,$C$2:$I$173,4,0),""))</f>
        <v/>
      </c>
      <c r="N359" s="106" t="str">
        <f>IFERROR(VLOOKUP(特质表!C360,$C$2:$I$173,6,0),IFERROR(VLOOKUP(特质表!D360,$C$2:$I$173,6,0),""))</f>
        <v/>
      </c>
    </row>
    <row r="360" spans="12:14">
      <c r="L360" s="106" t="str">
        <f>IFERROR(VLOOKUP(特质表!C361,$C$2:$I$173,2,0),IFERROR(VLOOKUP(特质表!D361,$C$2:$I$173,2,0),""))</f>
        <v/>
      </c>
      <c r="M360" s="106" t="str">
        <f>IFERROR(VLOOKUP(特质表!C361,$C$2:$I$173,4,0),IFERROR(VLOOKUP(特质表!D361,$C$2:$I$173,4,0),""))</f>
        <v/>
      </c>
      <c r="N360" s="106" t="str">
        <f>IFERROR(VLOOKUP(特质表!C361,$C$2:$I$173,6,0),IFERROR(VLOOKUP(特质表!D361,$C$2:$I$173,6,0),""))</f>
        <v/>
      </c>
    </row>
    <row r="361" spans="12:14">
      <c r="L361" s="106" t="str">
        <f>IFERROR(VLOOKUP(特质表!C362,$C$2:$I$173,2,0),IFERROR(VLOOKUP(特质表!D362,$C$2:$I$173,2,0),""))</f>
        <v/>
      </c>
      <c r="M361" s="106" t="str">
        <f>IFERROR(VLOOKUP(特质表!C362,$C$2:$I$173,4,0),IFERROR(VLOOKUP(特质表!D362,$C$2:$I$173,4,0),""))</f>
        <v/>
      </c>
      <c r="N361" s="106" t="str">
        <f>IFERROR(VLOOKUP(特质表!C362,$C$2:$I$173,6,0),IFERROR(VLOOKUP(特质表!D362,$C$2:$I$173,6,0),""))</f>
        <v/>
      </c>
    </row>
    <row r="362" spans="12:14">
      <c r="L362" s="106" t="str">
        <f>IFERROR(VLOOKUP(特质表!C363,$C$2:$I$173,2,0),IFERROR(VLOOKUP(特质表!D363,$C$2:$I$173,2,0),""))</f>
        <v/>
      </c>
      <c r="M362" s="106" t="str">
        <f>IFERROR(VLOOKUP(特质表!C363,$C$2:$I$173,4,0),IFERROR(VLOOKUP(特质表!D363,$C$2:$I$173,4,0),""))</f>
        <v/>
      </c>
      <c r="N362" s="106" t="str">
        <f>IFERROR(VLOOKUP(特质表!C363,$C$2:$I$173,6,0),IFERROR(VLOOKUP(特质表!D363,$C$2:$I$173,6,0),""))</f>
        <v/>
      </c>
    </row>
    <row r="363" spans="12:14">
      <c r="L363" s="106" t="str">
        <f>IFERROR(VLOOKUP(特质表!C364,$C$2:$I$173,2,0),IFERROR(VLOOKUP(特质表!D364,$C$2:$I$173,2,0),""))</f>
        <v/>
      </c>
      <c r="M363" s="106" t="str">
        <f>IFERROR(VLOOKUP(特质表!C364,$C$2:$I$173,4,0),IFERROR(VLOOKUP(特质表!D364,$C$2:$I$173,4,0),""))</f>
        <v/>
      </c>
      <c r="N363" s="106" t="str">
        <f>IFERROR(VLOOKUP(特质表!C364,$C$2:$I$173,6,0),IFERROR(VLOOKUP(特质表!D364,$C$2:$I$173,6,0),""))</f>
        <v/>
      </c>
    </row>
    <row r="364" spans="12:14">
      <c r="L364" s="106" t="str">
        <f>IFERROR(VLOOKUP(特质表!C365,$C$2:$I$173,2,0),IFERROR(VLOOKUP(特质表!D365,$C$2:$I$173,2,0),""))</f>
        <v/>
      </c>
      <c r="M364" s="106" t="str">
        <f>IFERROR(VLOOKUP(特质表!C365,$C$2:$I$173,4,0),IFERROR(VLOOKUP(特质表!D365,$C$2:$I$173,4,0),""))</f>
        <v/>
      </c>
      <c r="N364" s="106" t="str">
        <f>IFERROR(VLOOKUP(特质表!C365,$C$2:$I$173,6,0),IFERROR(VLOOKUP(特质表!D365,$C$2:$I$173,6,0),""))</f>
        <v/>
      </c>
    </row>
    <row r="365" spans="12:14">
      <c r="L365" s="106" t="str">
        <f>IFERROR(VLOOKUP(特质表!C366,$C$2:$I$173,2,0),IFERROR(VLOOKUP(特质表!D366,$C$2:$I$173,2,0),""))</f>
        <v/>
      </c>
      <c r="M365" s="106" t="str">
        <f>IFERROR(VLOOKUP(特质表!C366,$C$2:$I$173,4,0),IFERROR(VLOOKUP(特质表!D366,$C$2:$I$173,4,0),""))</f>
        <v/>
      </c>
      <c r="N365" s="106" t="str">
        <f>IFERROR(VLOOKUP(特质表!C366,$C$2:$I$173,6,0),IFERROR(VLOOKUP(特质表!D366,$C$2:$I$173,6,0),""))</f>
        <v/>
      </c>
    </row>
    <row r="366" spans="12:14">
      <c r="L366" s="106" t="str">
        <f>IFERROR(VLOOKUP(特质表!C367,$C$2:$I$173,2,0),IFERROR(VLOOKUP(特质表!D367,$C$2:$I$173,2,0),""))</f>
        <v/>
      </c>
      <c r="M366" s="106" t="str">
        <f>IFERROR(VLOOKUP(特质表!C367,$C$2:$I$173,4,0),IFERROR(VLOOKUP(特质表!D367,$C$2:$I$173,4,0),""))</f>
        <v/>
      </c>
      <c r="N366" s="106" t="str">
        <f>IFERROR(VLOOKUP(特质表!C367,$C$2:$I$173,6,0),IFERROR(VLOOKUP(特质表!D367,$C$2:$I$173,6,0),""))</f>
        <v/>
      </c>
    </row>
    <row r="367" spans="12:14">
      <c r="L367" s="106" t="str">
        <f>IFERROR(VLOOKUP(特质表!C368,$C$2:$I$173,2,0),IFERROR(VLOOKUP(特质表!D368,$C$2:$I$173,2,0),""))</f>
        <v/>
      </c>
      <c r="M367" s="106" t="str">
        <f>IFERROR(VLOOKUP(特质表!C368,$C$2:$I$173,4,0),IFERROR(VLOOKUP(特质表!D368,$C$2:$I$173,4,0),""))</f>
        <v/>
      </c>
      <c r="N367" s="106" t="str">
        <f>IFERROR(VLOOKUP(特质表!C368,$C$2:$I$173,6,0),IFERROR(VLOOKUP(特质表!D368,$C$2:$I$173,6,0),""))</f>
        <v/>
      </c>
    </row>
    <row r="368" spans="12:14">
      <c r="L368" s="106" t="str">
        <f>IFERROR(VLOOKUP(特质表!C369,$C$2:$I$173,2,0),IFERROR(VLOOKUP(特质表!D369,$C$2:$I$173,2,0),""))</f>
        <v/>
      </c>
      <c r="M368" s="106" t="str">
        <f>IFERROR(VLOOKUP(特质表!C369,$C$2:$I$173,4,0),IFERROR(VLOOKUP(特质表!D369,$C$2:$I$173,4,0),""))</f>
        <v/>
      </c>
      <c r="N368" s="106" t="str">
        <f>IFERROR(VLOOKUP(特质表!C369,$C$2:$I$173,6,0),IFERROR(VLOOKUP(特质表!D369,$C$2:$I$173,6,0),""))</f>
        <v/>
      </c>
    </row>
    <row r="369" spans="12:14">
      <c r="L369" s="106" t="str">
        <f>IFERROR(VLOOKUP(特质表!C370,$C$2:$I$173,2,0),IFERROR(VLOOKUP(特质表!D370,$C$2:$I$173,2,0),""))</f>
        <v/>
      </c>
      <c r="M369" s="106" t="str">
        <f>IFERROR(VLOOKUP(特质表!C370,$C$2:$I$173,4,0),IFERROR(VLOOKUP(特质表!D370,$C$2:$I$173,4,0),""))</f>
        <v/>
      </c>
      <c r="N369" s="106" t="str">
        <f>IFERROR(VLOOKUP(特质表!C370,$C$2:$I$173,6,0),IFERROR(VLOOKUP(特质表!D370,$C$2:$I$173,6,0),""))</f>
        <v/>
      </c>
    </row>
    <row r="370" spans="12:14">
      <c r="L370" s="106" t="str">
        <f>IFERROR(VLOOKUP(特质表!C371,$C$2:$I$173,2,0),IFERROR(VLOOKUP(特质表!D371,$C$2:$I$173,2,0),""))</f>
        <v/>
      </c>
      <c r="M370" s="106" t="str">
        <f>IFERROR(VLOOKUP(特质表!C371,$C$2:$I$173,4,0),IFERROR(VLOOKUP(特质表!D371,$C$2:$I$173,4,0),""))</f>
        <v/>
      </c>
      <c r="N370" s="106" t="str">
        <f>IFERROR(VLOOKUP(特质表!C371,$C$2:$I$173,6,0),IFERROR(VLOOKUP(特质表!D371,$C$2:$I$173,6,0),""))</f>
        <v/>
      </c>
    </row>
    <row r="371" spans="12:14">
      <c r="L371" s="106" t="str">
        <f>IFERROR(VLOOKUP(特质表!C372,$C$2:$I$173,2,0),IFERROR(VLOOKUP(特质表!D372,$C$2:$I$173,2,0),""))</f>
        <v/>
      </c>
      <c r="M371" s="106" t="str">
        <f>IFERROR(VLOOKUP(特质表!C372,$C$2:$I$173,4,0),IFERROR(VLOOKUP(特质表!D372,$C$2:$I$173,4,0),""))</f>
        <v/>
      </c>
      <c r="N371" s="106" t="str">
        <f>IFERROR(VLOOKUP(特质表!C372,$C$2:$I$173,6,0),IFERROR(VLOOKUP(特质表!D372,$C$2:$I$173,6,0),""))</f>
        <v/>
      </c>
    </row>
    <row r="372" spans="12:14">
      <c r="L372" s="106" t="str">
        <f>IFERROR(VLOOKUP(特质表!C373,$C$2:$I$173,2,0),IFERROR(VLOOKUP(特质表!D373,$C$2:$I$173,2,0),""))</f>
        <v/>
      </c>
      <c r="M372" s="106" t="str">
        <f>IFERROR(VLOOKUP(特质表!C373,$C$2:$I$173,4,0),IFERROR(VLOOKUP(特质表!D373,$C$2:$I$173,4,0),""))</f>
        <v/>
      </c>
      <c r="N372" s="106" t="str">
        <f>IFERROR(VLOOKUP(特质表!C373,$C$2:$I$173,6,0),IFERROR(VLOOKUP(特质表!D373,$C$2:$I$173,6,0),""))</f>
        <v/>
      </c>
    </row>
    <row r="373" spans="12:14">
      <c r="L373" s="106" t="str">
        <f>IFERROR(VLOOKUP(特质表!C374,$C$2:$I$173,2,0),IFERROR(VLOOKUP(特质表!D374,$C$2:$I$173,2,0),""))</f>
        <v/>
      </c>
      <c r="M373" s="106" t="str">
        <f>IFERROR(VLOOKUP(特质表!C374,$C$2:$I$173,4,0),IFERROR(VLOOKUP(特质表!D374,$C$2:$I$173,4,0),""))</f>
        <v/>
      </c>
      <c r="N373" s="106" t="str">
        <f>IFERROR(VLOOKUP(特质表!C374,$C$2:$I$173,6,0),IFERROR(VLOOKUP(特质表!D374,$C$2:$I$173,6,0),""))</f>
        <v/>
      </c>
    </row>
    <row r="374" spans="12:14">
      <c r="L374" s="106" t="str">
        <f>IFERROR(VLOOKUP(特质表!C375,$C$2:$I$173,2,0),IFERROR(VLOOKUP(特质表!D375,$C$2:$I$173,2,0),""))</f>
        <v/>
      </c>
      <c r="M374" s="106" t="str">
        <f>IFERROR(VLOOKUP(特质表!C375,$C$2:$I$173,4,0),IFERROR(VLOOKUP(特质表!D375,$C$2:$I$173,4,0),""))</f>
        <v/>
      </c>
      <c r="N374" s="106" t="str">
        <f>IFERROR(VLOOKUP(特质表!C375,$C$2:$I$173,6,0),IFERROR(VLOOKUP(特质表!D375,$C$2:$I$173,6,0),""))</f>
        <v/>
      </c>
    </row>
    <row r="375" spans="12:14">
      <c r="L375" s="106" t="str">
        <f>IFERROR(VLOOKUP(特质表!C376,$C$2:$I$173,2,0),IFERROR(VLOOKUP(特质表!D376,$C$2:$I$173,2,0),""))</f>
        <v/>
      </c>
      <c r="M375" s="106" t="str">
        <f>IFERROR(VLOOKUP(特质表!C376,$C$2:$I$173,4,0),IFERROR(VLOOKUP(特质表!D376,$C$2:$I$173,4,0),""))</f>
        <v/>
      </c>
      <c r="N375" s="106" t="str">
        <f>IFERROR(VLOOKUP(特质表!C376,$C$2:$I$173,6,0),IFERROR(VLOOKUP(特质表!D376,$C$2:$I$173,6,0),""))</f>
        <v/>
      </c>
    </row>
    <row r="376" spans="12:14">
      <c r="L376" s="106" t="str">
        <f>IFERROR(VLOOKUP(特质表!C377,$C$2:$I$173,2,0),IFERROR(VLOOKUP(特质表!D377,$C$2:$I$173,2,0),""))</f>
        <v/>
      </c>
      <c r="M376" s="106" t="str">
        <f>IFERROR(VLOOKUP(特质表!C377,$C$2:$I$173,4,0),IFERROR(VLOOKUP(特质表!D377,$C$2:$I$173,4,0),""))</f>
        <v/>
      </c>
      <c r="N376" s="106" t="str">
        <f>IFERROR(VLOOKUP(特质表!C377,$C$2:$I$173,6,0),IFERROR(VLOOKUP(特质表!D377,$C$2:$I$173,6,0),""))</f>
        <v/>
      </c>
    </row>
    <row r="377" spans="12:14">
      <c r="L377" s="106" t="str">
        <f>IFERROR(VLOOKUP(特质表!C378,$C$2:$I$173,2,0),IFERROR(VLOOKUP(特质表!D378,$C$2:$I$173,2,0),""))</f>
        <v/>
      </c>
      <c r="M377" s="106" t="str">
        <f>IFERROR(VLOOKUP(特质表!C378,$C$2:$I$173,4,0),IFERROR(VLOOKUP(特质表!D378,$C$2:$I$173,4,0),""))</f>
        <v/>
      </c>
      <c r="N377" s="106" t="str">
        <f>IFERROR(VLOOKUP(特质表!C378,$C$2:$I$173,6,0),IFERROR(VLOOKUP(特质表!D378,$C$2:$I$173,6,0),""))</f>
        <v/>
      </c>
    </row>
    <row r="378" spans="12:14">
      <c r="L378" s="106" t="str">
        <f>IFERROR(VLOOKUP(特质表!C379,$C$2:$I$173,2,0),IFERROR(VLOOKUP(特质表!D379,$C$2:$I$173,2,0),""))</f>
        <v/>
      </c>
      <c r="M378" s="106" t="str">
        <f>IFERROR(VLOOKUP(特质表!C379,$C$2:$I$173,4,0),IFERROR(VLOOKUP(特质表!D379,$C$2:$I$173,4,0),""))</f>
        <v/>
      </c>
      <c r="N378" s="106" t="str">
        <f>IFERROR(VLOOKUP(特质表!C379,$C$2:$I$173,6,0),IFERROR(VLOOKUP(特质表!D379,$C$2:$I$173,6,0),""))</f>
        <v/>
      </c>
    </row>
    <row r="379" spans="12:14">
      <c r="L379" s="106" t="str">
        <f>IFERROR(VLOOKUP(特质表!C380,$C$2:$I$173,2,0),IFERROR(VLOOKUP(特质表!D380,$C$2:$I$173,2,0),""))</f>
        <v/>
      </c>
      <c r="M379" s="106" t="str">
        <f>IFERROR(VLOOKUP(特质表!C380,$C$2:$I$173,4,0),IFERROR(VLOOKUP(特质表!D380,$C$2:$I$173,4,0),""))</f>
        <v/>
      </c>
      <c r="N379" s="106" t="str">
        <f>IFERROR(VLOOKUP(特质表!C380,$C$2:$I$173,6,0),IFERROR(VLOOKUP(特质表!D380,$C$2:$I$173,6,0),""))</f>
        <v/>
      </c>
    </row>
    <row r="380" spans="12:14">
      <c r="L380" s="106" t="str">
        <f>IFERROR(VLOOKUP(特质表!C381,$C$2:$I$173,2,0),IFERROR(VLOOKUP(特质表!D381,$C$2:$I$173,2,0),""))</f>
        <v/>
      </c>
      <c r="M380" s="106" t="str">
        <f>IFERROR(VLOOKUP(特质表!C381,$C$2:$I$173,4,0),IFERROR(VLOOKUP(特质表!D381,$C$2:$I$173,4,0),""))</f>
        <v/>
      </c>
      <c r="N380" s="106" t="str">
        <f>IFERROR(VLOOKUP(特质表!C381,$C$2:$I$173,6,0),IFERROR(VLOOKUP(特质表!D381,$C$2:$I$173,6,0),""))</f>
        <v/>
      </c>
    </row>
    <row r="381" spans="12:14">
      <c r="L381" s="106" t="str">
        <f>IFERROR(VLOOKUP(特质表!C382,$C$2:$I$173,2,0),IFERROR(VLOOKUP(特质表!D382,$C$2:$I$173,2,0),""))</f>
        <v/>
      </c>
      <c r="M381" s="106" t="str">
        <f>IFERROR(VLOOKUP(特质表!C382,$C$2:$I$173,4,0),IFERROR(VLOOKUP(特质表!D382,$C$2:$I$173,4,0),""))</f>
        <v/>
      </c>
      <c r="N381" s="106" t="str">
        <f>IFERROR(VLOOKUP(特质表!C382,$C$2:$I$173,6,0),IFERROR(VLOOKUP(特质表!D382,$C$2:$I$173,6,0),""))</f>
        <v/>
      </c>
    </row>
    <row r="382" spans="12:14">
      <c r="L382" s="106" t="str">
        <f>IFERROR(VLOOKUP(特质表!C383,$C$2:$I$173,2,0),IFERROR(VLOOKUP(特质表!D383,$C$2:$I$173,2,0),""))</f>
        <v/>
      </c>
      <c r="M382" s="106" t="str">
        <f>IFERROR(VLOOKUP(特质表!C383,$C$2:$I$173,4,0),IFERROR(VLOOKUP(特质表!D383,$C$2:$I$173,4,0),""))</f>
        <v/>
      </c>
      <c r="N382" s="106" t="str">
        <f>IFERROR(VLOOKUP(特质表!C383,$C$2:$I$173,6,0),IFERROR(VLOOKUP(特质表!D383,$C$2:$I$173,6,0),""))</f>
        <v/>
      </c>
    </row>
    <row r="383" spans="12:14">
      <c r="L383" s="106" t="str">
        <f>IFERROR(VLOOKUP(特质表!C384,$C$2:$I$173,2,0),IFERROR(VLOOKUP(特质表!D384,$C$2:$I$173,2,0),""))</f>
        <v/>
      </c>
      <c r="M383" s="106" t="str">
        <f>IFERROR(VLOOKUP(特质表!C384,$C$2:$I$173,4,0),IFERROR(VLOOKUP(特质表!D384,$C$2:$I$173,4,0),""))</f>
        <v/>
      </c>
      <c r="N383" s="106" t="str">
        <f>IFERROR(VLOOKUP(特质表!C384,$C$2:$I$173,6,0),IFERROR(VLOOKUP(特质表!D384,$C$2:$I$173,6,0),""))</f>
        <v/>
      </c>
    </row>
    <row r="384" spans="12:14">
      <c r="L384" s="106" t="str">
        <f>IFERROR(VLOOKUP(特质表!C385,$C$2:$I$173,2,0),IFERROR(VLOOKUP(特质表!D385,$C$2:$I$173,2,0),""))</f>
        <v/>
      </c>
      <c r="M384" s="106" t="str">
        <f>IFERROR(VLOOKUP(特质表!C385,$C$2:$I$173,4,0),IFERROR(VLOOKUP(特质表!D385,$C$2:$I$173,4,0),""))</f>
        <v/>
      </c>
      <c r="N384" s="106" t="str">
        <f>IFERROR(VLOOKUP(特质表!C385,$C$2:$I$173,6,0),IFERROR(VLOOKUP(特质表!D385,$C$2:$I$173,6,0),""))</f>
        <v/>
      </c>
    </row>
    <row r="385" spans="12:14">
      <c r="L385" s="106" t="str">
        <f>IFERROR(VLOOKUP(特质表!C386,$C$2:$I$173,2,0),IFERROR(VLOOKUP(特质表!D386,$C$2:$I$173,2,0),""))</f>
        <v/>
      </c>
      <c r="M385" s="106" t="str">
        <f>IFERROR(VLOOKUP(特质表!C386,$C$2:$I$173,4,0),IFERROR(VLOOKUP(特质表!D386,$C$2:$I$173,4,0),""))</f>
        <v/>
      </c>
      <c r="N385" s="106" t="str">
        <f>IFERROR(VLOOKUP(特质表!C386,$C$2:$I$173,6,0),IFERROR(VLOOKUP(特质表!D386,$C$2:$I$173,6,0),""))</f>
        <v/>
      </c>
    </row>
    <row r="386" spans="12:14">
      <c r="L386" s="106" t="str">
        <f>IFERROR(VLOOKUP(特质表!C387,$C$2:$I$173,2,0),IFERROR(VLOOKUP(特质表!D387,$C$2:$I$173,2,0),""))</f>
        <v/>
      </c>
      <c r="M386" s="106" t="str">
        <f>IFERROR(VLOOKUP(特质表!C387,$C$2:$I$173,4,0),IFERROR(VLOOKUP(特质表!D387,$C$2:$I$173,4,0),""))</f>
        <v/>
      </c>
      <c r="N386" s="106" t="str">
        <f>IFERROR(VLOOKUP(特质表!C387,$C$2:$I$173,6,0),IFERROR(VLOOKUP(特质表!D387,$C$2:$I$173,6,0),""))</f>
        <v/>
      </c>
    </row>
    <row r="387" spans="12:14">
      <c r="L387" s="106" t="str">
        <f>IFERROR(VLOOKUP(特质表!C388,$C$2:$I$173,2,0),IFERROR(VLOOKUP(特质表!D388,$C$2:$I$173,2,0),""))</f>
        <v/>
      </c>
      <c r="M387" s="106" t="str">
        <f>IFERROR(VLOOKUP(特质表!C388,$C$2:$I$173,4,0),IFERROR(VLOOKUP(特质表!D388,$C$2:$I$173,4,0),""))</f>
        <v/>
      </c>
      <c r="N387" s="106" t="str">
        <f>IFERROR(VLOOKUP(特质表!C388,$C$2:$I$173,6,0),IFERROR(VLOOKUP(特质表!D388,$C$2:$I$173,6,0),""))</f>
        <v/>
      </c>
    </row>
    <row r="388" spans="12:14">
      <c r="L388" s="106" t="str">
        <f>IFERROR(VLOOKUP(特质表!C389,$C$2:$I$173,2,0),IFERROR(VLOOKUP(特质表!D389,$C$2:$I$173,2,0),""))</f>
        <v/>
      </c>
      <c r="M388" s="106" t="str">
        <f>IFERROR(VLOOKUP(特质表!C389,$C$2:$I$173,4,0),IFERROR(VLOOKUP(特质表!D389,$C$2:$I$173,4,0),""))</f>
        <v/>
      </c>
      <c r="N388" s="106" t="str">
        <f>IFERROR(VLOOKUP(特质表!C389,$C$2:$I$173,6,0),IFERROR(VLOOKUP(特质表!D389,$C$2:$I$173,6,0),""))</f>
        <v/>
      </c>
    </row>
    <row r="389" spans="12:14">
      <c r="L389" s="106" t="str">
        <f>IFERROR(VLOOKUP(特质表!C390,$C$2:$I$173,2,0),IFERROR(VLOOKUP(特质表!D390,$C$2:$I$173,2,0),""))</f>
        <v/>
      </c>
      <c r="M389" s="106" t="str">
        <f>IFERROR(VLOOKUP(特质表!C390,$C$2:$I$173,4,0),IFERROR(VLOOKUP(特质表!D390,$C$2:$I$173,4,0),""))</f>
        <v/>
      </c>
      <c r="N389" s="106" t="str">
        <f>IFERROR(VLOOKUP(特质表!C390,$C$2:$I$173,6,0),IFERROR(VLOOKUP(特质表!D390,$C$2:$I$173,6,0),""))</f>
        <v/>
      </c>
    </row>
    <row r="390" spans="12:14">
      <c r="L390" s="106" t="str">
        <f>IFERROR(VLOOKUP(特质表!C391,$C$2:$I$173,2,0),IFERROR(VLOOKUP(特质表!D391,$C$2:$I$173,2,0),""))</f>
        <v/>
      </c>
      <c r="M390" s="106" t="str">
        <f>IFERROR(VLOOKUP(特质表!C391,$C$2:$I$173,4,0),IFERROR(VLOOKUP(特质表!D391,$C$2:$I$173,4,0),""))</f>
        <v/>
      </c>
      <c r="N390" s="106" t="str">
        <f>IFERROR(VLOOKUP(特质表!C391,$C$2:$I$173,6,0),IFERROR(VLOOKUP(特质表!D391,$C$2:$I$173,6,0),""))</f>
        <v/>
      </c>
    </row>
    <row r="391" spans="12:14">
      <c r="L391" s="106" t="str">
        <f>IFERROR(VLOOKUP(特质表!C392,$C$2:$I$173,2,0),IFERROR(VLOOKUP(特质表!D392,$C$2:$I$173,2,0),""))</f>
        <v/>
      </c>
      <c r="M391" s="106" t="str">
        <f>IFERROR(VLOOKUP(特质表!C392,$C$2:$I$173,4,0),IFERROR(VLOOKUP(特质表!D392,$C$2:$I$173,4,0),""))</f>
        <v/>
      </c>
      <c r="N391" s="106" t="str">
        <f>IFERROR(VLOOKUP(特质表!C392,$C$2:$I$173,6,0),IFERROR(VLOOKUP(特质表!D392,$C$2:$I$173,6,0),""))</f>
        <v/>
      </c>
    </row>
    <row r="392" spans="12:14">
      <c r="L392" s="106" t="str">
        <f>IFERROR(VLOOKUP(特质表!C393,$C$2:$I$173,2,0),IFERROR(VLOOKUP(特质表!D393,$C$2:$I$173,2,0),""))</f>
        <v/>
      </c>
      <c r="M392" s="106" t="str">
        <f>IFERROR(VLOOKUP(特质表!C393,$C$2:$I$173,4,0),IFERROR(VLOOKUP(特质表!D393,$C$2:$I$173,4,0),""))</f>
        <v/>
      </c>
      <c r="N392" s="106" t="str">
        <f>IFERROR(VLOOKUP(特质表!C393,$C$2:$I$173,6,0),IFERROR(VLOOKUP(特质表!D393,$C$2:$I$173,6,0),""))</f>
        <v/>
      </c>
    </row>
    <row r="393" spans="12:14">
      <c r="L393" s="106" t="str">
        <f>IFERROR(VLOOKUP(特质表!C394,$C$2:$I$173,2,0),IFERROR(VLOOKUP(特质表!D394,$C$2:$I$173,2,0),""))</f>
        <v/>
      </c>
      <c r="M393" s="106" t="str">
        <f>IFERROR(VLOOKUP(特质表!C394,$C$2:$I$173,4,0),IFERROR(VLOOKUP(特质表!D394,$C$2:$I$173,4,0),""))</f>
        <v/>
      </c>
      <c r="N393" s="106" t="str">
        <f>IFERROR(VLOOKUP(特质表!C394,$C$2:$I$173,6,0),IFERROR(VLOOKUP(特质表!D394,$C$2:$I$173,6,0),""))</f>
        <v/>
      </c>
    </row>
    <row r="394" spans="12:14">
      <c r="L394" s="106" t="str">
        <f>IFERROR(VLOOKUP(特质表!C395,$C$2:$I$173,2,0),IFERROR(VLOOKUP(特质表!D395,$C$2:$I$173,2,0),""))</f>
        <v/>
      </c>
      <c r="M394" s="106" t="str">
        <f>IFERROR(VLOOKUP(特质表!C395,$C$2:$I$173,4,0),IFERROR(VLOOKUP(特质表!D395,$C$2:$I$173,4,0),""))</f>
        <v/>
      </c>
      <c r="N394" s="106" t="str">
        <f>IFERROR(VLOOKUP(特质表!C395,$C$2:$I$173,6,0),IFERROR(VLOOKUP(特质表!D395,$C$2:$I$173,6,0),""))</f>
        <v/>
      </c>
    </row>
    <row r="395" spans="12:14">
      <c r="L395" s="106" t="str">
        <f>IFERROR(VLOOKUP(特质表!C396,$C$2:$I$173,2,0),IFERROR(VLOOKUP(特质表!D396,$C$2:$I$173,2,0),""))</f>
        <v/>
      </c>
      <c r="M395" s="106" t="str">
        <f>IFERROR(VLOOKUP(特质表!C396,$C$2:$I$173,4,0),IFERROR(VLOOKUP(特质表!D396,$C$2:$I$173,4,0),""))</f>
        <v/>
      </c>
      <c r="N395" s="106" t="str">
        <f>IFERROR(VLOOKUP(特质表!C396,$C$2:$I$173,6,0),IFERROR(VLOOKUP(特质表!D396,$C$2:$I$173,6,0),""))</f>
        <v/>
      </c>
    </row>
    <row r="396" spans="12:14">
      <c r="L396" s="106" t="str">
        <f>IFERROR(VLOOKUP(特质表!C397,$C$2:$I$173,2,0),IFERROR(VLOOKUP(特质表!D397,$C$2:$I$173,2,0),""))</f>
        <v/>
      </c>
      <c r="M396" s="106" t="str">
        <f>IFERROR(VLOOKUP(特质表!C397,$C$2:$I$173,4,0),IFERROR(VLOOKUP(特质表!D397,$C$2:$I$173,4,0),""))</f>
        <v/>
      </c>
      <c r="N396" s="106" t="str">
        <f>IFERROR(VLOOKUP(特质表!C397,$C$2:$I$173,6,0),IFERROR(VLOOKUP(特质表!D397,$C$2:$I$173,6,0),""))</f>
        <v/>
      </c>
    </row>
    <row r="397" spans="12:14">
      <c r="L397" s="106" t="str">
        <f>IFERROR(VLOOKUP(特质表!C398,$C$2:$I$173,2,0),IFERROR(VLOOKUP(特质表!D398,$C$2:$I$173,2,0),""))</f>
        <v/>
      </c>
      <c r="M397" s="106" t="str">
        <f>IFERROR(VLOOKUP(特质表!C398,$C$2:$I$173,4,0),IFERROR(VLOOKUP(特质表!D398,$C$2:$I$173,4,0),""))</f>
        <v/>
      </c>
      <c r="N397" s="106" t="str">
        <f>IFERROR(VLOOKUP(特质表!C398,$C$2:$I$173,6,0),IFERROR(VLOOKUP(特质表!D398,$C$2:$I$173,6,0),""))</f>
        <v/>
      </c>
    </row>
    <row r="398" spans="12:14">
      <c r="L398" s="106" t="str">
        <f>IFERROR(VLOOKUP(特质表!C399,$C$2:$I$173,2,0),IFERROR(VLOOKUP(特质表!D399,$C$2:$I$173,2,0),""))</f>
        <v/>
      </c>
      <c r="M398" s="106" t="str">
        <f>IFERROR(VLOOKUP(特质表!C399,$C$2:$I$173,4,0),IFERROR(VLOOKUP(特质表!D399,$C$2:$I$173,4,0),""))</f>
        <v/>
      </c>
      <c r="N398" s="106" t="str">
        <f>IFERROR(VLOOKUP(特质表!C399,$C$2:$I$173,6,0),IFERROR(VLOOKUP(特质表!D399,$C$2:$I$173,6,0),""))</f>
        <v/>
      </c>
    </row>
    <row r="399" spans="12:14">
      <c r="L399" s="106" t="str">
        <f>IFERROR(VLOOKUP(特质表!C400,$C$2:$I$173,2,0),IFERROR(VLOOKUP(特质表!D400,$C$2:$I$173,2,0),""))</f>
        <v/>
      </c>
      <c r="M399" s="106" t="str">
        <f>IFERROR(VLOOKUP(特质表!C400,$C$2:$I$173,4,0),IFERROR(VLOOKUP(特质表!D400,$C$2:$I$173,4,0),""))</f>
        <v/>
      </c>
      <c r="N399" s="106" t="str">
        <f>IFERROR(VLOOKUP(特质表!C400,$C$2:$I$173,6,0),IFERROR(VLOOKUP(特质表!D400,$C$2:$I$173,6,0),""))</f>
        <v/>
      </c>
    </row>
    <row r="400" spans="12:14">
      <c r="L400" s="106" t="str">
        <f>IFERROR(VLOOKUP(特质表!C401,$C$2:$I$173,2,0),IFERROR(VLOOKUP(特质表!D401,$C$2:$I$173,2,0),""))</f>
        <v/>
      </c>
      <c r="M400" s="106" t="str">
        <f>IFERROR(VLOOKUP(特质表!C401,$C$2:$I$173,4,0),IFERROR(VLOOKUP(特质表!D401,$C$2:$I$173,4,0),""))</f>
        <v/>
      </c>
      <c r="N400" s="106" t="str">
        <f>IFERROR(VLOOKUP(特质表!C401,$C$2:$I$173,6,0),IFERROR(VLOOKUP(特质表!D401,$C$2:$I$173,6,0),""))</f>
        <v/>
      </c>
    </row>
    <row r="401" spans="12:14">
      <c r="L401" s="106" t="str">
        <f>IFERROR(VLOOKUP(特质表!C402,$C$2:$I$173,2,0),IFERROR(VLOOKUP(特质表!D402,$C$2:$I$173,2,0),""))</f>
        <v/>
      </c>
      <c r="M401" s="106" t="str">
        <f>IFERROR(VLOOKUP(特质表!C402,$C$2:$I$173,4,0),IFERROR(VLOOKUP(特质表!D402,$C$2:$I$173,4,0),""))</f>
        <v/>
      </c>
      <c r="N401" s="106" t="str">
        <f>IFERROR(VLOOKUP(特质表!C402,$C$2:$I$173,6,0),IFERROR(VLOOKUP(特质表!D402,$C$2:$I$173,6,0),""))</f>
        <v/>
      </c>
    </row>
    <row r="402" spans="12:14">
      <c r="L402" s="106" t="str">
        <f>IFERROR(VLOOKUP(特质表!C403,$C$2:$I$173,2,0),IFERROR(VLOOKUP(特质表!D403,$C$2:$I$173,2,0),""))</f>
        <v/>
      </c>
      <c r="M402" s="106" t="str">
        <f>IFERROR(VLOOKUP(特质表!C403,$C$2:$I$173,4,0),IFERROR(VLOOKUP(特质表!D403,$C$2:$I$173,4,0),""))</f>
        <v/>
      </c>
      <c r="N402" s="106" t="str">
        <f>IFERROR(VLOOKUP(特质表!C403,$C$2:$I$173,6,0),IFERROR(VLOOKUP(特质表!D403,$C$2:$I$173,6,0),""))</f>
        <v/>
      </c>
    </row>
    <row r="403" spans="12:14">
      <c r="L403" s="106" t="str">
        <f>IFERROR(VLOOKUP(特质表!C404,$C$2:$I$173,2,0),IFERROR(VLOOKUP(特质表!D404,$C$2:$I$173,2,0),""))</f>
        <v/>
      </c>
      <c r="M403" s="106" t="str">
        <f>IFERROR(VLOOKUP(特质表!C404,$C$2:$I$173,4,0),IFERROR(VLOOKUP(特质表!D404,$C$2:$I$173,4,0),""))</f>
        <v/>
      </c>
      <c r="N403" s="106" t="str">
        <f>IFERROR(VLOOKUP(特质表!C404,$C$2:$I$173,6,0),IFERROR(VLOOKUP(特质表!D404,$C$2:$I$173,6,0),""))</f>
        <v/>
      </c>
    </row>
    <row r="404" spans="12:14">
      <c r="L404" s="106" t="str">
        <f>IFERROR(VLOOKUP(特质表!C405,$C$2:$I$173,2,0),IFERROR(VLOOKUP(特质表!D405,$C$2:$I$173,2,0),""))</f>
        <v/>
      </c>
      <c r="M404" s="106" t="str">
        <f>IFERROR(VLOOKUP(特质表!C405,$C$2:$I$173,4,0),IFERROR(VLOOKUP(特质表!D405,$C$2:$I$173,4,0),""))</f>
        <v/>
      </c>
      <c r="N404" s="106" t="str">
        <f>IFERROR(VLOOKUP(特质表!C405,$C$2:$I$173,6,0),IFERROR(VLOOKUP(特质表!D405,$C$2:$I$173,6,0),""))</f>
        <v/>
      </c>
    </row>
    <row r="405" spans="12:14">
      <c r="L405" s="106" t="str">
        <f>IFERROR(VLOOKUP(特质表!C406,$C$2:$I$173,2,0),IFERROR(VLOOKUP(特质表!D406,$C$2:$I$173,2,0),""))</f>
        <v/>
      </c>
      <c r="M405" s="106" t="str">
        <f>IFERROR(VLOOKUP(特质表!C406,$C$2:$I$173,4,0),IFERROR(VLOOKUP(特质表!D406,$C$2:$I$173,4,0),""))</f>
        <v/>
      </c>
      <c r="N405" s="106" t="str">
        <f>IFERROR(VLOOKUP(特质表!C406,$C$2:$I$173,6,0),IFERROR(VLOOKUP(特质表!D406,$C$2:$I$173,6,0),""))</f>
        <v/>
      </c>
    </row>
    <row r="406" spans="12:14">
      <c r="L406" s="106" t="str">
        <f>IFERROR(VLOOKUP(特质表!C407,$C$2:$I$173,2,0),IFERROR(VLOOKUP(特质表!D407,$C$2:$I$173,2,0),""))</f>
        <v/>
      </c>
      <c r="M406" s="106" t="str">
        <f>IFERROR(VLOOKUP(特质表!C407,$C$2:$I$173,4,0),IFERROR(VLOOKUP(特质表!D407,$C$2:$I$173,4,0),""))</f>
        <v/>
      </c>
      <c r="N406" s="106" t="str">
        <f>IFERROR(VLOOKUP(特质表!C407,$C$2:$I$173,6,0),IFERROR(VLOOKUP(特质表!D407,$C$2:$I$173,6,0),""))</f>
        <v/>
      </c>
    </row>
    <row r="407" spans="12:14">
      <c r="L407" s="106" t="str">
        <f>IFERROR(VLOOKUP(特质表!C408,$C$2:$I$173,2,0),IFERROR(VLOOKUP(特质表!D408,$C$2:$I$173,2,0),""))</f>
        <v/>
      </c>
      <c r="M407" s="106" t="str">
        <f>IFERROR(VLOOKUP(特质表!C408,$C$2:$I$173,4,0),IFERROR(VLOOKUP(特质表!D408,$C$2:$I$173,4,0),""))</f>
        <v/>
      </c>
      <c r="N407" s="106" t="str">
        <f>IFERROR(VLOOKUP(特质表!C408,$C$2:$I$173,6,0),IFERROR(VLOOKUP(特质表!D408,$C$2:$I$173,6,0),""))</f>
        <v/>
      </c>
    </row>
    <row r="408" spans="12:14">
      <c r="L408" s="106" t="str">
        <f>IFERROR(VLOOKUP(特质表!C409,$C$2:$I$173,2,0),IFERROR(VLOOKUP(特质表!D409,$C$2:$I$173,2,0),""))</f>
        <v/>
      </c>
      <c r="M408" s="106" t="str">
        <f>IFERROR(VLOOKUP(特质表!C409,$C$2:$I$173,4,0),IFERROR(VLOOKUP(特质表!D409,$C$2:$I$173,4,0),""))</f>
        <v/>
      </c>
      <c r="N408" s="106" t="str">
        <f>IFERROR(VLOOKUP(特质表!C409,$C$2:$I$173,6,0),IFERROR(VLOOKUP(特质表!D409,$C$2:$I$173,6,0),""))</f>
        <v/>
      </c>
    </row>
    <row r="409" spans="12:14">
      <c r="L409" s="106" t="str">
        <f>IFERROR(VLOOKUP(特质表!C410,$C$2:$I$173,2,0),IFERROR(VLOOKUP(特质表!D410,$C$2:$I$173,2,0),""))</f>
        <v/>
      </c>
      <c r="M409" s="106" t="str">
        <f>IFERROR(VLOOKUP(特质表!C410,$C$2:$I$173,4,0),IFERROR(VLOOKUP(特质表!D410,$C$2:$I$173,4,0),""))</f>
        <v/>
      </c>
      <c r="N409" s="106" t="str">
        <f>IFERROR(VLOOKUP(特质表!C410,$C$2:$I$173,6,0),IFERROR(VLOOKUP(特质表!D410,$C$2:$I$173,6,0),""))</f>
        <v/>
      </c>
    </row>
    <row r="410" spans="12:14">
      <c r="L410" s="106" t="str">
        <f>IFERROR(VLOOKUP(特质表!C411,$C$2:$I$173,2,0),IFERROR(VLOOKUP(特质表!D411,$C$2:$I$173,2,0),""))</f>
        <v/>
      </c>
      <c r="M410" s="106" t="str">
        <f>IFERROR(VLOOKUP(特质表!C411,$C$2:$I$173,4,0),IFERROR(VLOOKUP(特质表!D411,$C$2:$I$173,4,0),""))</f>
        <v/>
      </c>
      <c r="N410" s="106" t="str">
        <f>IFERROR(VLOOKUP(特质表!C411,$C$2:$I$173,6,0),IFERROR(VLOOKUP(特质表!D411,$C$2:$I$173,6,0),""))</f>
        <v/>
      </c>
    </row>
    <row r="411" spans="12:14">
      <c r="L411" s="106" t="str">
        <f>IFERROR(VLOOKUP(特质表!C412,$C$2:$I$173,2,0),IFERROR(VLOOKUP(特质表!D412,$C$2:$I$173,2,0),""))</f>
        <v/>
      </c>
      <c r="M411" s="106" t="str">
        <f>IFERROR(VLOOKUP(特质表!C412,$C$2:$I$173,4,0),IFERROR(VLOOKUP(特质表!D412,$C$2:$I$173,4,0),""))</f>
        <v/>
      </c>
      <c r="N411" s="106" t="str">
        <f>IFERROR(VLOOKUP(特质表!C412,$C$2:$I$173,6,0),IFERROR(VLOOKUP(特质表!D412,$C$2:$I$173,6,0),""))</f>
        <v/>
      </c>
    </row>
    <row r="412" spans="12:14">
      <c r="L412" s="106" t="str">
        <f>IFERROR(VLOOKUP(特质表!C413,$C$2:$I$173,2,0),IFERROR(VLOOKUP(特质表!D413,$C$2:$I$173,2,0),""))</f>
        <v/>
      </c>
      <c r="M412" s="106" t="str">
        <f>IFERROR(VLOOKUP(特质表!C413,$C$2:$I$173,4,0),IFERROR(VLOOKUP(特质表!D413,$C$2:$I$173,4,0),""))</f>
        <v/>
      </c>
      <c r="N412" s="106" t="str">
        <f>IFERROR(VLOOKUP(特质表!C413,$C$2:$I$173,6,0),IFERROR(VLOOKUP(特质表!D413,$C$2:$I$173,6,0),""))</f>
        <v/>
      </c>
    </row>
    <row r="413" spans="12:14">
      <c r="L413" s="106" t="str">
        <f>IFERROR(VLOOKUP(特质表!C414,$C$2:$I$173,2,0),IFERROR(VLOOKUP(特质表!D414,$C$2:$I$173,2,0),""))</f>
        <v/>
      </c>
      <c r="M413" s="106" t="str">
        <f>IFERROR(VLOOKUP(特质表!C414,$C$2:$I$173,4,0),IFERROR(VLOOKUP(特质表!D414,$C$2:$I$173,4,0),""))</f>
        <v/>
      </c>
      <c r="N413" s="106" t="str">
        <f>IFERROR(VLOOKUP(特质表!C414,$C$2:$I$173,6,0),IFERROR(VLOOKUP(特质表!D414,$C$2:$I$173,6,0),""))</f>
        <v/>
      </c>
    </row>
    <row r="414" spans="12:14">
      <c r="L414" s="106" t="str">
        <f>IFERROR(VLOOKUP(特质表!C415,$C$2:$I$173,2,0),IFERROR(VLOOKUP(特质表!D415,$C$2:$I$173,2,0),""))</f>
        <v/>
      </c>
      <c r="M414" s="106" t="str">
        <f>IFERROR(VLOOKUP(特质表!C415,$C$2:$I$173,4,0),IFERROR(VLOOKUP(特质表!D415,$C$2:$I$173,4,0),""))</f>
        <v/>
      </c>
      <c r="N414" s="106" t="str">
        <f>IFERROR(VLOOKUP(特质表!C415,$C$2:$I$173,6,0),IFERROR(VLOOKUP(特质表!D415,$C$2:$I$173,6,0),""))</f>
        <v/>
      </c>
    </row>
    <row r="415" spans="12:14">
      <c r="L415" s="106" t="str">
        <f>IFERROR(VLOOKUP(特质表!C416,$C$2:$I$173,2,0),IFERROR(VLOOKUP(特质表!D416,$C$2:$I$173,2,0),""))</f>
        <v/>
      </c>
      <c r="M415" s="106" t="str">
        <f>IFERROR(VLOOKUP(特质表!C416,$C$2:$I$173,4,0),IFERROR(VLOOKUP(特质表!D416,$C$2:$I$173,4,0),""))</f>
        <v/>
      </c>
      <c r="N415" s="106" t="str">
        <f>IFERROR(VLOOKUP(特质表!C416,$C$2:$I$173,6,0),IFERROR(VLOOKUP(特质表!D416,$C$2:$I$173,6,0),""))</f>
        <v/>
      </c>
    </row>
    <row r="416" spans="12:14">
      <c r="L416" s="106" t="str">
        <f>IFERROR(VLOOKUP(特质表!C417,$C$2:$I$173,2,0),IFERROR(VLOOKUP(特质表!D417,$C$2:$I$173,2,0),""))</f>
        <v/>
      </c>
      <c r="M416" s="106" t="str">
        <f>IFERROR(VLOOKUP(特质表!C417,$C$2:$I$173,4,0),IFERROR(VLOOKUP(特质表!D417,$C$2:$I$173,4,0),""))</f>
        <v/>
      </c>
      <c r="N416" s="106" t="str">
        <f>IFERROR(VLOOKUP(特质表!C417,$C$2:$I$173,6,0),IFERROR(VLOOKUP(特质表!D417,$C$2:$I$173,6,0),""))</f>
        <v/>
      </c>
    </row>
    <row r="417" spans="12:14">
      <c r="L417" s="106" t="str">
        <f>IFERROR(VLOOKUP(特质表!C418,$C$2:$I$173,2,0),IFERROR(VLOOKUP(特质表!D418,$C$2:$I$173,2,0),""))</f>
        <v/>
      </c>
      <c r="M417" s="106" t="str">
        <f>IFERROR(VLOOKUP(特质表!C418,$C$2:$I$173,4,0),IFERROR(VLOOKUP(特质表!D418,$C$2:$I$173,4,0),""))</f>
        <v/>
      </c>
      <c r="N417" s="106" t="str">
        <f>IFERROR(VLOOKUP(特质表!C418,$C$2:$I$173,6,0),IFERROR(VLOOKUP(特质表!D418,$C$2:$I$173,6,0),""))</f>
        <v/>
      </c>
    </row>
    <row r="418" spans="12:14">
      <c r="L418" s="106" t="str">
        <f>IFERROR(VLOOKUP(特质表!C419,$C$2:$I$173,2,0),IFERROR(VLOOKUP(特质表!D419,$C$2:$I$173,2,0),""))</f>
        <v/>
      </c>
      <c r="M418" s="106" t="str">
        <f>IFERROR(VLOOKUP(特质表!C419,$C$2:$I$173,4,0),IFERROR(VLOOKUP(特质表!D419,$C$2:$I$173,4,0),""))</f>
        <v/>
      </c>
      <c r="N418" s="106" t="str">
        <f>IFERROR(VLOOKUP(特质表!C419,$C$2:$I$173,6,0),IFERROR(VLOOKUP(特质表!D419,$C$2:$I$173,6,0),""))</f>
        <v/>
      </c>
    </row>
    <row r="419" spans="12:14">
      <c r="L419" s="106" t="str">
        <f>IFERROR(VLOOKUP(特质表!C420,$C$2:$I$173,2,0),IFERROR(VLOOKUP(特质表!D420,$C$2:$I$173,2,0),""))</f>
        <v/>
      </c>
      <c r="M419" s="106" t="str">
        <f>IFERROR(VLOOKUP(特质表!C420,$C$2:$I$173,4,0),IFERROR(VLOOKUP(特质表!D420,$C$2:$I$173,4,0),""))</f>
        <v/>
      </c>
      <c r="N419" s="106" t="str">
        <f>IFERROR(VLOOKUP(特质表!C420,$C$2:$I$173,6,0),IFERROR(VLOOKUP(特质表!D420,$C$2:$I$173,6,0),""))</f>
        <v/>
      </c>
    </row>
    <row r="420" spans="12:14">
      <c r="L420" s="106" t="str">
        <f>IFERROR(VLOOKUP(特质表!C421,$C$2:$I$173,2,0),IFERROR(VLOOKUP(特质表!D421,$C$2:$I$173,2,0),""))</f>
        <v/>
      </c>
      <c r="M420" s="106" t="str">
        <f>IFERROR(VLOOKUP(特质表!C421,$C$2:$I$173,4,0),IFERROR(VLOOKUP(特质表!D421,$C$2:$I$173,4,0),""))</f>
        <v/>
      </c>
      <c r="N420" s="106" t="str">
        <f>IFERROR(VLOOKUP(特质表!C421,$C$2:$I$173,6,0),IFERROR(VLOOKUP(特质表!D421,$C$2:$I$173,6,0),""))</f>
        <v/>
      </c>
    </row>
    <row r="421" spans="12:14">
      <c r="L421" s="106" t="str">
        <f>IFERROR(VLOOKUP(特质表!C422,$C$2:$I$173,2,0),IFERROR(VLOOKUP(特质表!D422,$C$2:$I$173,2,0),""))</f>
        <v/>
      </c>
      <c r="M421" s="106" t="str">
        <f>IFERROR(VLOOKUP(特质表!C422,$C$2:$I$173,4,0),IFERROR(VLOOKUP(特质表!D422,$C$2:$I$173,4,0),""))</f>
        <v/>
      </c>
      <c r="N421" s="106" t="str">
        <f>IFERROR(VLOOKUP(特质表!C422,$C$2:$I$173,6,0),IFERROR(VLOOKUP(特质表!D422,$C$2:$I$173,6,0),""))</f>
        <v/>
      </c>
    </row>
    <row r="422" spans="12:14">
      <c r="L422" s="106" t="str">
        <f>IFERROR(VLOOKUP(特质表!C423,$C$2:$I$173,2,0),IFERROR(VLOOKUP(特质表!D423,$C$2:$I$173,2,0),""))</f>
        <v/>
      </c>
      <c r="M422" s="106" t="str">
        <f>IFERROR(VLOOKUP(特质表!C423,$C$2:$I$173,4,0),IFERROR(VLOOKUP(特质表!D423,$C$2:$I$173,4,0),""))</f>
        <v/>
      </c>
      <c r="N422" s="106" t="str">
        <f>IFERROR(VLOOKUP(特质表!C423,$C$2:$I$173,6,0),IFERROR(VLOOKUP(特质表!D423,$C$2:$I$173,6,0),""))</f>
        <v/>
      </c>
    </row>
    <row r="423" spans="12:14">
      <c r="L423" s="106" t="str">
        <f>IFERROR(VLOOKUP(特质表!C424,$C$2:$I$173,2,0),IFERROR(VLOOKUP(特质表!D424,$C$2:$I$173,2,0),""))</f>
        <v/>
      </c>
      <c r="M423" s="106" t="str">
        <f>IFERROR(VLOOKUP(特质表!C424,$C$2:$I$173,4,0),IFERROR(VLOOKUP(特质表!D424,$C$2:$I$173,4,0),""))</f>
        <v/>
      </c>
      <c r="N423" s="106" t="str">
        <f>IFERROR(VLOOKUP(特质表!C424,$C$2:$I$173,6,0),IFERROR(VLOOKUP(特质表!D424,$C$2:$I$173,6,0),""))</f>
        <v/>
      </c>
    </row>
    <row r="424" spans="12:14">
      <c r="L424" s="106" t="str">
        <f>IFERROR(VLOOKUP(特质表!C425,$C$2:$I$173,2,0),IFERROR(VLOOKUP(特质表!D425,$C$2:$I$173,2,0),""))</f>
        <v/>
      </c>
      <c r="M424" s="106" t="str">
        <f>IFERROR(VLOOKUP(特质表!C425,$C$2:$I$173,4,0),IFERROR(VLOOKUP(特质表!D425,$C$2:$I$173,4,0),""))</f>
        <v/>
      </c>
      <c r="N424" s="106" t="str">
        <f>IFERROR(VLOOKUP(特质表!C425,$C$2:$I$173,6,0),IFERROR(VLOOKUP(特质表!D425,$C$2:$I$173,6,0),""))</f>
        <v/>
      </c>
    </row>
    <row r="425" spans="12:14">
      <c r="L425" s="106" t="str">
        <f>IFERROR(VLOOKUP(特质表!C426,$C$2:$I$173,2,0),IFERROR(VLOOKUP(特质表!D426,$C$2:$I$173,2,0),""))</f>
        <v/>
      </c>
      <c r="M425" s="106" t="str">
        <f>IFERROR(VLOOKUP(特质表!C426,$C$2:$I$173,4,0),IFERROR(VLOOKUP(特质表!D426,$C$2:$I$173,4,0),""))</f>
        <v/>
      </c>
      <c r="N425" s="106" t="str">
        <f>IFERROR(VLOOKUP(特质表!C426,$C$2:$I$173,6,0),IFERROR(VLOOKUP(特质表!D426,$C$2:$I$173,6,0),""))</f>
        <v/>
      </c>
    </row>
    <row r="426" spans="12:14">
      <c r="L426" s="106" t="str">
        <f>IFERROR(VLOOKUP(特质表!C427,$C$2:$I$173,2,0),IFERROR(VLOOKUP(特质表!D427,$C$2:$I$173,2,0),""))</f>
        <v/>
      </c>
      <c r="M426" s="106" t="str">
        <f>IFERROR(VLOOKUP(特质表!C427,$C$2:$I$173,4,0),IFERROR(VLOOKUP(特质表!D427,$C$2:$I$173,4,0),""))</f>
        <v/>
      </c>
      <c r="N426" s="106" t="str">
        <f>IFERROR(VLOOKUP(特质表!C427,$C$2:$I$173,6,0),IFERROR(VLOOKUP(特质表!D427,$C$2:$I$173,6,0),""))</f>
        <v/>
      </c>
    </row>
    <row r="427" spans="12:14">
      <c r="L427" s="106" t="str">
        <f>IFERROR(VLOOKUP(特质表!C428,$C$2:$I$173,2,0),IFERROR(VLOOKUP(特质表!D428,$C$2:$I$173,2,0),""))</f>
        <v/>
      </c>
      <c r="M427" s="106" t="str">
        <f>IFERROR(VLOOKUP(特质表!C428,$C$2:$I$173,4,0),IFERROR(VLOOKUP(特质表!D428,$C$2:$I$173,4,0),""))</f>
        <v/>
      </c>
      <c r="N427" s="106" t="str">
        <f>IFERROR(VLOOKUP(特质表!C428,$C$2:$I$173,6,0),IFERROR(VLOOKUP(特质表!D428,$C$2:$I$173,6,0),""))</f>
        <v/>
      </c>
    </row>
    <row r="428" spans="12:14">
      <c r="L428" s="106" t="str">
        <f>IFERROR(VLOOKUP(特质表!C429,$C$2:$I$173,2,0),IFERROR(VLOOKUP(特质表!D429,$C$2:$I$173,2,0),""))</f>
        <v/>
      </c>
      <c r="M428" s="106" t="str">
        <f>IFERROR(VLOOKUP(特质表!C429,$C$2:$I$173,4,0),IFERROR(VLOOKUP(特质表!D429,$C$2:$I$173,4,0),""))</f>
        <v/>
      </c>
      <c r="N428" s="106" t="str">
        <f>IFERROR(VLOOKUP(特质表!C429,$C$2:$I$173,6,0),IFERROR(VLOOKUP(特质表!D429,$C$2:$I$173,6,0),""))</f>
        <v/>
      </c>
    </row>
    <row r="429" spans="12:14">
      <c r="L429" s="106" t="str">
        <f>IFERROR(VLOOKUP(特质表!C430,$C$2:$I$173,2,0),IFERROR(VLOOKUP(特质表!D430,$C$2:$I$173,2,0),""))</f>
        <v/>
      </c>
      <c r="M429" s="106" t="str">
        <f>IFERROR(VLOOKUP(特质表!C430,$C$2:$I$173,4,0),IFERROR(VLOOKUP(特质表!D430,$C$2:$I$173,4,0),""))</f>
        <v/>
      </c>
      <c r="N429" s="106" t="str">
        <f>IFERROR(VLOOKUP(特质表!C430,$C$2:$I$173,6,0),IFERROR(VLOOKUP(特质表!D430,$C$2:$I$173,6,0),""))</f>
        <v/>
      </c>
    </row>
    <row r="430" spans="12:14">
      <c r="L430" s="106" t="str">
        <f>IFERROR(VLOOKUP(特质表!C431,$C$2:$I$173,2,0),IFERROR(VLOOKUP(特质表!D431,$C$2:$I$173,2,0),""))</f>
        <v/>
      </c>
      <c r="M430" s="106" t="str">
        <f>IFERROR(VLOOKUP(特质表!C431,$C$2:$I$173,4,0),IFERROR(VLOOKUP(特质表!D431,$C$2:$I$173,4,0),""))</f>
        <v/>
      </c>
      <c r="N430" s="106" t="str">
        <f>IFERROR(VLOOKUP(特质表!C431,$C$2:$I$173,6,0),IFERROR(VLOOKUP(特质表!D431,$C$2:$I$173,6,0),""))</f>
        <v/>
      </c>
    </row>
    <row r="431" spans="12:14">
      <c r="L431" s="106" t="str">
        <f>IFERROR(VLOOKUP(特质表!C432,$C$2:$I$173,2,0),IFERROR(VLOOKUP(特质表!D432,$C$2:$I$173,2,0),""))</f>
        <v/>
      </c>
      <c r="M431" s="106" t="str">
        <f>IFERROR(VLOOKUP(特质表!C432,$C$2:$I$173,4,0),IFERROR(VLOOKUP(特质表!D432,$C$2:$I$173,4,0),""))</f>
        <v/>
      </c>
      <c r="N431" s="106" t="str">
        <f>IFERROR(VLOOKUP(特质表!C432,$C$2:$I$173,6,0),IFERROR(VLOOKUP(特质表!D432,$C$2:$I$173,6,0),""))</f>
        <v/>
      </c>
    </row>
    <row r="432" spans="12:14">
      <c r="L432" s="106" t="str">
        <f>IFERROR(VLOOKUP(特质表!C433,$C$2:$I$173,2,0),IFERROR(VLOOKUP(特质表!D433,$C$2:$I$173,2,0),""))</f>
        <v/>
      </c>
      <c r="M432" s="106" t="str">
        <f>IFERROR(VLOOKUP(特质表!C433,$C$2:$I$173,4,0),IFERROR(VLOOKUP(特质表!D433,$C$2:$I$173,4,0),""))</f>
        <v/>
      </c>
      <c r="N432" s="106" t="str">
        <f>IFERROR(VLOOKUP(特质表!C433,$C$2:$I$173,6,0),IFERROR(VLOOKUP(特质表!D433,$C$2:$I$173,6,0),""))</f>
        <v/>
      </c>
    </row>
    <row r="433" spans="12:14">
      <c r="L433" s="106" t="str">
        <f>IFERROR(VLOOKUP(特质表!C434,$C$2:$I$173,2,0),IFERROR(VLOOKUP(特质表!D434,$C$2:$I$173,2,0),""))</f>
        <v/>
      </c>
      <c r="M433" s="106" t="str">
        <f>IFERROR(VLOOKUP(特质表!C434,$C$2:$I$173,4,0),IFERROR(VLOOKUP(特质表!D434,$C$2:$I$173,4,0),""))</f>
        <v/>
      </c>
      <c r="N433" s="106" t="str">
        <f>IFERROR(VLOOKUP(特质表!C434,$C$2:$I$173,6,0),IFERROR(VLOOKUP(特质表!D434,$C$2:$I$173,6,0),""))</f>
        <v/>
      </c>
    </row>
    <row r="434" spans="12:14">
      <c r="L434" s="106" t="str">
        <f>IFERROR(VLOOKUP(特质表!C435,$C$2:$I$173,2,0),IFERROR(VLOOKUP(特质表!D435,$C$2:$I$173,2,0),""))</f>
        <v/>
      </c>
      <c r="M434" s="106" t="str">
        <f>IFERROR(VLOOKUP(特质表!C435,$C$2:$I$173,4,0),IFERROR(VLOOKUP(特质表!D435,$C$2:$I$173,4,0),""))</f>
        <v/>
      </c>
      <c r="N434" s="106" t="str">
        <f>IFERROR(VLOOKUP(特质表!C435,$C$2:$I$173,6,0),IFERROR(VLOOKUP(特质表!D435,$C$2:$I$173,6,0),""))</f>
        <v/>
      </c>
    </row>
    <row r="435" spans="12:14">
      <c r="L435" s="106" t="str">
        <f>IFERROR(VLOOKUP(特质表!C436,$C$2:$I$173,2,0),IFERROR(VLOOKUP(特质表!D436,$C$2:$I$173,2,0),""))</f>
        <v/>
      </c>
      <c r="M435" s="106" t="str">
        <f>IFERROR(VLOOKUP(特质表!C436,$C$2:$I$173,4,0),IFERROR(VLOOKUP(特质表!D436,$C$2:$I$173,4,0),""))</f>
        <v/>
      </c>
      <c r="N435" s="106" t="str">
        <f>IFERROR(VLOOKUP(特质表!C436,$C$2:$I$173,6,0),IFERROR(VLOOKUP(特质表!D436,$C$2:$I$173,6,0),""))</f>
        <v/>
      </c>
    </row>
    <row r="436" spans="12:14">
      <c r="L436" s="106" t="str">
        <f>IFERROR(VLOOKUP(特质表!C437,$C$2:$I$173,2,0),IFERROR(VLOOKUP(特质表!D437,$C$2:$I$173,2,0),""))</f>
        <v/>
      </c>
      <c r="M436" s="106" t="str">
        <f>IFERROR(VLOOKUP(特质表!C437,$C$2:$I$173,4,0),IFERROR(VLOOKUP(特质表!D437,$C$2:$I$173,4,0),""))</f>
        <v/>
      </c>
      <c r="N436" s="106" t="str">
        <f>IFERROR(VLOOKUP(特质表!C437,$C$2:$I$173,6,0),IFERROR(VLOOKUP(特质表!D437,$C$2:$I$173,6,0),""))</f>
        <v/>
      </c>
    </row>
    <row r="437" spans="12:14">
      <c r="L437" s="106" t="str">
        <f>IFERROR(VLOOKUP(特质表!C438,$C$2:$I$173,2,0),IFERROR(VLOOKUP(特质表!D438,$C$2:$I$173,2,0),""))</f>
        <v/>
      </c>
      <c r="M437" s="106" t="str">
        <f>IFERROR(VLOOKUP(特质表!C438,$C$2:$I$173,4,0),IFERROR(VLOOKUP(特质表!D438,$C$2:$I$173,4,0),""))</f>
        <v/>
      </c>
      <c r="N437" s="106" t="str">
        <f>IFERROR(VLOOKUP(特质表!C438,$C$2:$I$173,6,0),IFERROR(VLOOKUP(特质表!D438,$C$2:$I$173,6,0),""))</f>
        <v/>
      </c>
    </row>
    <row r="438" spans="12:14">
      <c r="L438" s="106" t="str">
        <f>IFERROR(VLOOKUP(特质表!C439,$C$2:$I$173,2,0),IFERROR(VLOOKUP(特质表!D439,$C$2:$I$173,2,0),""))</f>
        <v/>
      </c>
      <c r="M438" s="106" t="str">
        <f>IFERROR(VLOOKUP(特质表!C439,$C$2:$I$173,4,0),IFERROR(VLOOKUP(特质表!D439,$C$2:$I$173,4,0),""))</f>
        <v/>
      </c>
      <c r="N438" s="106" t="str">
        <f>IFERROR(VLOOKUP(特质表!C439,$C$2:$I$173,6,0),IFERROR(VLOOKUP(特质表!D439,$C$2:$I$173,6,0),""))</f>
        <v/>
      </c>
    </row>
    <row r="439" spans="12:14">
      <c r="L439" s="106" t="str">
        <f>IFERROR(VLOOKUP(特质表!C440,$C$2:$I$173,2,0),IFERROR(VLOOKUP(特质表!D440,$C$2:$I$173,2,0),""))</f>
        <v/>
      </c>
      <c r="M439" s="106" t="str">
        <f>IFERROR(VLOOKUP(特质表!C440,$C$2:$I$173,4,0),IFERROR(VLOOKUP(特质表!D440,$C$2:$I$173,4,0),""))</f>
        <v/>
      </c>
      <c r="N439" s="106" t="str">
        <f>IFERROR(VLOOKUP(特质表!C440,$C$2:$I$173,6,0),IFERROR(VLOOKUP(特质表!D440,$C$2:$I$173,6,0),""))</f>
        <v/>
      </c>
    </row>
    <row r="440" spans="12:14">
      <c r="L440" s="106" t="str">
        <f>IFERROR(VLOOKUP(特质表!C441,$C$2:$I$173,2,0),IFERROR(VLOOKUP(特质表!D441,$C$2:$I$173,2,0),""))</f>
        <v/>
      </c>
      <c r="M440" s="106" t="str">
        <f>IFERROR(VLOOKUP(特质表!C441,$C$2:$I$173,4,0),IFERROR(VLOOKUP(特质表!D441,$C$2:$I$173,4,0),""))</f>
        <v/>
      </c>
      <c r="N440" s="106" t="str">
        <f>IFERROR(VLOOKUP(特质表!C441,$C$2:$I$173,6,0),IFERROR(VLOOKUP(特质表!D441,$C$2:$I$173,6,0),""))</f>
        <v/>
      </c>
    </row>
    <row r="441" spans="12:14">
      <c r="L441" s="106" t="str">
        <f>IFERROR(VLOOKUP(特质表!C442,$C$2:$I$173,2,0),IFERROR(VLOOKUP(特质表!D442,$C$2:$I$173,2,0),""))</f>
        <v/>
      </c>
      <c r="M441" s="106" t="str">
        <f>IFERROR(VLOOKUP(特质表!C442,$C$2:$I$173,4,0),IFERROR(VLOOKUP(特质表!D442,$C$2:$I$173,4,0),""))</f>
        <v/>
      </c>
      <c r="N441" s="106" t="str">
        <f>IFERROR(VLOOKUP(特质表!C442,$C$2:$I$173,6,0),IFERROR(VLOOKUP(特质表!D442,$C$2:$I$173,6,0),""))</f>
        <v/>
      </c>
    </row>
    <row r="442" spans="12:14">
      <c r="L442" s="106" t="str">
        <f>IFERROR(VLOOKUP(特质表!C443,$C$2:$I$173,2,0),IFERROR(VLOOKUP(特质表!D443,$C$2:$I$173,2,0),""))</f>
        <v/>
      </c>
      <c r="M442" s="106" t="str">
        <f>IFERROR(VLOOKUP(特质表!C443,$C$2:$I$173,4,0),IFERROR(VLOOKUP(特质表!D443,$C$2:$I$173,4,0),""))</f>
        <v/>
      </c>
      <c r="N442" s="106" t="str">
        <f>IFERROR(VLOOKUP(特质表!C443,$C$2:$I$173,6,0),IFERROR(VLOOKUP(特质表!D443,$C$2:$I$173,6,0),""))</f>
        <v/>
      </c>
    </row>
    <row r="443" spans="12:14">
      <c r="L443" s="106" t="str">
        <f>IFERROR(VLOOKUP(特质表!C444,$C$2:$I$173,2,0),IFERROR(VLOOKUP(特质表!D444,$C$2:$I$173,2,0),""))</f>
        <v/>
      </c>
      <c r="M443" s="106" t="str">
        <f>IFERROR(VLOOKUP(特质表!C444,$C$2:$I$173,4,0),IFERROR(VLOOKUP(特质表!D444,$C$2:$I$173,4,0),""))</f>
        <v/>
      </c>
      <c r="N443" s="106" t="str">
        <f>IFERROR(VLOOKUP(特质表!C444,$C$2:$I$173,6,0),IFERROR(VLOOKUP(特质表!D444,$C$2:$I$173,6,0),""))</f>
        <v/>
      </c>
    </row>
    <row r="444" spans="12:14">
      <c r="L444" s="106" t="str">
        <f>IFERROR(VLOOKUP(特质表!C445,$C$2:$I$173,2,0),IFERROR(VLOOKUP(特质表!D445,$C$2:$I$173,2,0),""))</f>
        <v/>
      </c>
      <c r="M444" s="106" t="str">
        <f>IFERROR(VLOOKUP(特质表!C445,$C$2:$I$173,4,0),IFERROR(VLOOKUP(特质表!D445,$C$2:$I$173,4,0),""))</f>
        <v/>
      </c>
      <c r="N444" s="106" t="str">
        <f>IFERROR(VLOOKUP(特质表!C445,$C$2:$I$173,6,0),IFERROR(VLOOKUP(特质表!D445,$C$2:$I$173,6,0),""))</f>
        <v/>
      </c>
    </row>
    <row r="445" spans="12:14">
      <c r="L445" s="106" t="str">
        <f>IFERROR(VLOOKUP(特质表!C446,$C$2:$I$173,2,0),IFERROR(VLOOKUP(特质表!D446,$C$2:$I$173,2,0),""))</f>
        <v/>
      </c>
      <c r="M445" s="106" t="str">
        <f>IFERROR(VLOOKUP(特质表!C446,$C$2:$I$173,4,0),IFERROR(VLOOKUP(特质表!D446,$C$2:$I$173,4,0),""))</f>
        <v/>
      </c>
      <c r="N445" s="106" t="str">
        <f>IFERROR(VLOOKUP(特质表!C446,$C$2:$I$173,6,0),IFERROR(VLOOKUP(特质表!D446,$C$2:$I$173,6,0),""))</f>
        <v/>
      </c>
    </row>
    <row r="446" spans="12:14">
      <c r="L446" s="106" t="str">
        <f>IFERROR(VLOOKUP(特质表!C447,$C$2:$I$173,2,0),IFERROR(VLOOKUP(特质表!D447,$C$2:$I$173,2,0),""))</f>
        <v/>
      </c>
      <c r="M446" s="106" t="str">
        <f>IFERROR(VLOOKUP(特质表!C447,$C$2:$I$173,4,0),IFERROR(VLOOKUP(特质表!D447,$C$2:$I$173,4,0),""))</f>
        <v/>
      </c>
      <c r="N446" s="106" t="str">
        <f>IFERROR(VLOOKUP(特质表!C447,$C$2:$I$173,6,0),IFERROR(VLOOKUP(特质表!D447,$C$2:$I$173,6,0),""))</f>
        <v/>
      </c>
    </row>
    <row r="447" spans="12:14">
      <c r="L447" s="106" t="str">
        <f>IFERROR(VLOOKUP(特质表!C448,$C$2:$I$173,2,0),IFERROR(VLOOKUP(特质表!D448,$C$2:$I$173,2,0),""))</f>
        <v/>
      </c>
      <c r="M447" s="106" t="str">
        <f>IFERROR(VLOOKUP(特质表!C448,$C$2:$I$173,4,0),IFERROR(VLOOKUP(特质表!D448,$C$2:$I$173,4,0),""))</f>
        <v/>
      </c>
      <c r="N447" s="106" t="str">
        <f>IFERROR(VLOOKUP(特质表!C448,$C$2:$I$173,6,0),IFERROR(VLOOKUP(特质表!D448,$C$2:$I$173,6,0),""))</f>
        <v/>
      </c>
    </row>
    <row r="448" spans="12:14">
      <c r="L448" s="106" t="str">
        <f>IFERROR(VLOOKUP(特质表!C449,$C$2:$I$173,2,0),IFERROR(VLOOKUP(特质表!D449,$C$2:$I$173,2,0),""))</f>
        <v/>
      </c>
      <c r="M448" s="106" t="str">
        <f>IFERROR(VLOOKUP(特质表!C449,$C$2:$I$173,4,0),IFERROR(VLOOKUP(特质表!D449,$C$2:$I$173,4,0),""))</f>
        <v/>
      </c>
      <c r="N448" s="106" t="str">
        <f>IFERROR(VLOOKUP(特质表!C449,$C$2:$I$173,6,0),IFERROR(VLOOKUP(特质表!D449,$C$2:$I$173,6,0),""))</f>
        <v/>
      </c>
    </row>
    <row r="449" spans="12:14">
      <c r="L449" s="106" t="str">
        <f>IFERROR(VLOOKUP(特质表!C450,$C$2:$I$173,2,0),IFERROR(VLOOKUP(特质表!D450,$C$2:$I$173,2,0),""))</f>
        <v/>
      </c>
      <c r="M449" s="106" t="str">
        <f>IFERROR(VLOOKUP(特质表!C450,$C$2:$I$173,4,0),IFERROR(VLOOKUP(特质表!D450,$C$2:$I$173,4,0),""))</f>
        <v/>
      </c>
      <c r="N449" s="106" t="str">
        <f>IFERROR(VLOOKUP(特质表!C450,$C$2:$I$173,6,0),IFERROR(VLOOKUP(特质表!D450,$C$2:$I$173,6,0),""))</f>
        <v/>
      </c>
    </row>
    <row r="450" spans="12:14">
      <c r="L450" s="106" t="str">
        <f>IFERROR(VLOOKUP(特质表!C451,$C$2:$I$173,2,0),IFERROR(VLOOKUP(特质表!D451,$C$2:$I$173,2,0),""))</f>
        <v/>
      </c>
      <c r="M450" s="106" t="str">
        <f>IFERROR(VLOOKUP(特质表!C451,$C$2:$I$173,4,0),IFERROR(VLOOKUP(特质表!D451,$C$2:$I$173,4,0),""))</f>
        <v/>
      </c>
      <c r="N450" s="106" t="str">
        <f>IFERROR(VLOOKUP(特质表!C451,$C$2:$I$173,6,0),IFERROR(VLOOKUP(特质表!D451,$C$2:$I$173,6,0),""))</f>
        <v/>
      </c>
    </row>
    <row r="451" spans="12:14">
      <c r="L451" s="106" t="str">
        <f>IFERROR(VLOOKUP(特质表!C452,$C$2:$I$173,2,0),IFERROR(VLOOKUP(特质表!D452,$C$2:$I$173,2,0),""))</f>
        <v/>
      </c>
      <c r="M451" s="106" t="str">
        <f>IFERROR(VLOOKUP(特质表!C452,$C$2:$I$173,4,0),IFERROR(VLOOKUP(特质表!D452,$C$2:$I$173,4,0),""))</f>
        <v/>
      </c>
      <c r="N451" s="106" t="str">
        <f>IFERROR(VLOOKUP(特质表!C452,$C$2:$I$173,6,0),IFERROR(VLOOKUP(特质表!D452,$C$2:$I$173,6,0),""))</f>
        <v/>
      </c>
    </row>
    <row r="452" spans="12:14">
      <c r="L452" s="106" t="str">
        <f>IFERROR(VLOOKUP(特质表!C453,$C$2:$I$173,2,0),IFERROR(VLOOKUP(特质表!D453,$C$2:$I$173,2,0),""))</f>
        <v/>
      </c>
      <c r="M452" s="106" t="str">
        <f>IFERROR(VLOOKUP(特质表!C453,$C$2:$I$173,4,0),IFERROR(VLOOKUP(特质表!D453,$C$2:$I$173,4,0),""))</f>
        <v/>
      </c>
      <c r="N452" s="106" t="str">
        <f>IFERROR(VLOOKUP(特质表!C453,$C$2:$I$173,6,0),IFERROR(VLOOKUP(特质表!D453,$C$2:$I$173,6,0),""))</f>
        <v/>
      </c>
    </row>
    <row r="453" spans="12:14">
      <c r="L453" s="106" t="str">
        <f>IFERROR(VLOOKUP(特质表!C454,$C$2:$I$173,2,0),IFERROR(VLOOKUP(特质表!D454,$C$2:$I$173,2,0),""))</f>
        <v/>
      </c>
      <c r="M453" s="106" t="str">
        <f>IFERROR(VLOOKUP(特质表!C454,$C$2:$I$173,4,0),IFERROR(VLOOKUP(特质表!D454,$C$2:$I$173,4,0),""))</f>
        <v/>
      </c>
      <c r="N453" s="106" t="str">
        <f>IFERROR(VLOOKUP(特质表!C454,$C$2:$I$173,6,0),IFERROR(VLOOKUP(特质表!D454,$C$2:$I$173,6,0),""))</f>
        <v/>
      </c>
    </row>
    <row r="454" spans="12:14">
      <c r="L454" s="106" t="str">
        <f>IFERROR(VLOOKUP(特质表!C455,$C$2:$I$173,2,0),IFERROR(VLOOKUP(特质表!D455,$C$2:$I$173,2,0),""))</f>
        <v/>
      </c>
      <c r="M454" s="106" t="str">
        <f>IFERROR(VLOOKUP(特质表!C455,$C$2:$I$173,4,0),IFERROR(VLOOKUP(特质表!D455,$C$2:$I$173,4,0),""))</f>
        <v/>
      </c>
      <c r="N454" s="106" t="str">
        <f>IFERROR(VLOOKUP(特质表!C455,$C$2:$I$173,6,0),IFERROR(VLOOKUP(特质表!D455,$C$2:$I$173,6,0),""))</f>
        <v/>
      </c>
    </row>
    <row r="455" spans="12:14">
      <c r="L455" s="106" t="str">
        <f>IFERROR(VLOOKUP(特质表!C456,$C$2:$I$173,2,0),IFERROR(VLOOKUP(特质表!D456,$C$2:$I$173,2,0),""))</f>
        <v/>
      </c>
      <c r="M455" s="106" t="str">
        <f>IFERROR(VLOOKUP(特质表!C456,$C$2:$I$173,4,0),IFERROR(VLOOKUP(特质表!D456,$C$2:$I$173,4,0),""))</f>
        <v/>
      </c>
      <c r="N455" s="106" t="str">
        <f>IFERROR(VLOOKUP(特质表!C456,$C$2:$I$173,6,0),IFERROR(VLOOKUP(特质表!D456,$C$2:$I$173,6,0),""))</f>
        <v/>
      </c>
    </row>
    <row r="456" spans="12:14">
      <c r="L456" s="106" t="str">
        <f>IFERROR(VLOOKUP(特质表!C457,$C$2:$I$173,2,0),IFERROR(VLOOKUP(特质表!D457,$C$2:$I$173,2,0),""))</f>
        <v/>
      </c>
      <c r="M456" s="106" t="str">
        <f>IFERROR(VLOOKUP(特质表!C457,$C$2:$I$173,4,0),IFERROR(VLOOKUP(特质表!D457,$C$2:$I$173,4,0),""))</f>
        <v/>
      </c>
      <c r="N456" s="106" t="str">
        <f>IFERROR(VLOOKUP(特质表!C457,$C$2:$I$173,6,0),IFERROR(VLOOKUP(特质表!D457,$C$2:$I$173,6,0),""))</f>
        <v/>
      </c>
    </row>
    <row r="457" spans="12:14">
      <c r="L457" s="106" t="str">
        <f>IFERROR(VLOOKUP(特质表!C458,$C$2:$I$173,2,0),IFERROR(VLOOKUP(特质表!D458,$C$2:$I$173,2,0),""))</f>
        <v/>
      </c>
      <c r="M457" s="106" t="str">
        <f>IFERROR(VLOOKUP(特质表!C458,$C$2:$I$173,4,0),IFERROR(VLOOKUP(特质表!D458,$C$2:$I$173,4,0),""))</f>
        <v/>
      </c>
      <c r="N457" s="106" t="str">
        <f>IFERROR(VLOOKUP(特质表!C458,$C$2:$I$173,6,0),IFERROR(VLOOKUP(特质表!D458,$C$2:$I$173,6,0),""))</f>
        <v/>
      </c>
    </row>
    <row r="458" spans="12:14">
      <c r="L458" s="106" t="str">
        <f>IFERROR(VLOOKUP(特质表!C459,$C$2:$I$173,2,0),IFERROR(VLOOKUP(特质表!D459,$C$2:$I$173,2,0),""))</f>
        <v/>
      </c>
      <c r="M458" s="106" t="str">
        <f>IFERROR(VLOOKUP(特质表!C459,$C$2:$I$173,4,0),IFERROR(VLOOKUP(特质表!D459,$C$2:$I$173,4,0),""))</f>
        <v/>
      </c>
      <c r="N458" s="106" t="str">
        <f>IFERROR(VLOOKUP(特质表!C459,$C$2:$I$173,6,0),IFERROR(VLOOKUP(特质表!D459,$C$2:$I$173,6,0),""))</f>
        <v/>
      </c>
    </row>
    <row r="459" spans="12:14">
      <c r="L459" s="106" t="str">
        <f>IFERROR(VLOOKUP(特质表!C460,$C$2:$I$173,2,0),IFERROR(VLOOKUP(特质表!D460,$C$2:$I$173,2,0),""))</f>
        <v/>
      </c>
      <c r="M459" s="106" t="str">
        <f>IFERROR(VLOOKUP(特质表!C460,$C$2:$I$173,4,0),IFERROR(VLOOKUP(特质表!D460,$C$2:$I$173,4,0),""))</f>
        <v/>
      </c>
      <c r="N459" s="106" t="str">
        <f>IFERROR(VLOOKUP(特质表!C460,$C$2:$I$173,6,0),IFERROR(VLOOKUP(特质表!D460,$C$2:$I$173,6,0),""))</f>
        <v/>
      </c>
    </row>
    <row r="460" spans="12:14">
      <c r="L460" s="106" t="str">
        <f>IFERROR(VLOOKUP(特质表!C461,$C$2:$I$173,2,0),IFERROR(VLOOKUP(特质表!D461,$C$2:$I$173,2,0),""))</f>
        <v/>
      </c>
      <c r="M460" s="106" t="str">
        <f>IFERROR(VLOOKUP(特质表!C461,$C$2:$I$173,4,0),IFERROR(VLOOKUP(特质表!D461,$C$2:$I$173,4,0),""))</f>
        <v/>
      </c>
      <c r="N460" s="106" t="str">
        <f>IFERROR(VLOOKUP(特质表!C461,$C$2:$I$173,6,0),IFERROR(VLOOKUP(特质表!D461,$C$2:$I$173,6,0),""))</f>
        <v/>
      </c>
    </row>
    <row r="461" spans="12:14">
      <c r="L461" s="106" t="str">
        <f>IFERROR(VLOOKUP(特质表!C462,$C$2:$I$173,2,0),IFERROR(VLOOKUP(特质表!D462,$C$2:$I$173,2,0),""))</f>
        <v/>
      </c>
      <c r="M461" s="106" t="str">
        <f>IFERROR(VLOOKUP(特质表!C462,$C$2:$I$173,4,0),IFERROR(VLOOKUP(特质表!D462,$C$2:$I$173,4,0),""))</f>
        <v/>
      </c>
      <c r="N461" s="106" t="str">
        <f>IFERROR(VLOOKUP(特质表!C462,$C$2:$I$173,6,0),IFERROR(VLOOKUP(特质表!D462,$C$2:$I$173,6,0),""))</f>
        <v/>
      </c>
    </row>
    <row r="462" spans="12:14">
      <c r="L462" s="106" t="str">
        <f>IFERROR(VLOOKUP(特质表!C463,$C$2:$I$173,2,0),IFERROR(VLOOKUP(特质表!D463,$C$2:$I$173,2,0),""))</f>
        <v/>
      </c>
      <c r="M462" s="106" t="str">
        <f>IFERROR(VLOOKUP(特质表!C463,$C$2:$I$173,4,0),IFERROR(VLOOKUP(特质表!D463,$C$2:$I$173,4,0),""))</f>
        <v/>
      </c>
      <c r="N462" s="106" t="str">
        <f>IFERROR(VLOOKUP(特质表!C463,$C$2:$I$173,6,0),IFERROR(VLOOKUP(特质表!D463,$C$2:$I$173,6,0),""))</f>
        <v/>
      </c>
    </row>
    <row r="463" spans="12:14">
      <c r="L463" s="106" t="str">
        <f>IFERROR(VLOOKUP(特质表!C464,$C$2:$I$173,2,0),IFERROR(VLOOKUP(特质表!D464,$C$2:$I$173,2,0),""))</f>
        <v/>
      </c>
      <c r="M463" s="106" t="str">
        <f>IFERROR(VLOOKUP(特质表!C464,$C$2:$I$173,4,0),IFERROR(VLOOKUP(特质表!D464,$C$2:$I$173,4,0),""))</f>
        <v/>
      </c>
      <c r="N463" s="106" t="str">
        <f>IFERROR(VLOOKUP(特质表!C464,$C$2:$I$173,6,0),IFERROR(VLOOKUP(特质表!D464,$C$2:$I$173,6,0),""))</f>
        <v/>
      </c>
    </row>
    <row r="464" spans="12:14">
      <c r="L464" s="106" t="str">
        <f>IFERROR(VLOOKUP(特质表!C465,$C$2:$I$173,2,0),IFERROR(VLOOKUP(特质表!D465,$C$2:$I$173,2,0),""))</f>
        <v/>
      </c>
      <c r="M464" s="106" t="str">
        <f>IFERROR(VLOOKUP(特质表!C465,$C$2:$I$173,4,0),IFERROR(VLOOKUP(特质表!D465,$C$2:$I$173,4,0),""))</f>
        <v/>
      </c>
      <c r="N464" s="106" t="str">
        <f>IFERROR(VLOOKUP(特质表!C465,$C$2:$I$173,6,0),IFERROR(VLOOKUP(特质表!D465,$C$2:$I$173,6,0),""))</f>
        <v/>
      </c>
    </row>
    <row r="465" spans="12:14">
      <c r="L465" s="106" t="str">
        <f>IFERROR(VLOOKUP(特质表!C466,$C$2:$I$173,2,0),IFERROR(VLOOKUP(特质表!D466,$C$2:$I$173,2,0),""))</f>
        <v/>
      </c>
      <c r="M465" s="106" t="str">
        <f>IFERROR(VLOOKUP(特质表!C466,$C$2:$I$173,4,0),IFERROR(VLOOKUP(特质表!D466,$C$2:$I$173,4,0),""))</f>
        <v/>
      </c>
      <c r="N465" s="106" t="str">
        <f>IFERROR(VLOOKUP(特质表!C466,$C$2:$I$173,6,0),IFERROR(VLOOKUP(特质表!D466,$C$2:$I$173,6,0),""))</f>
        <v/>
      </c>
    </row>
    <row r="466" spans="12:14">
      <c r="L466" s="106" t="str">
        <f>IFERROR(VLOOKUP(特质表!C467,$C$2:$I$173,2,0),IFERROR(VLOOKUP(特质表!D467,$C$2:$I$173,2,0),""))</f>
        <v/>
      </c>
      <c r="M466" s="106" t="str">
        <f>IFERROR(VLOOKUP(特质表!C467,$C$2:$I$173,4,0),IFERROR(VLOOKUP(特质表!D467,$C$2:$I$173,4,0),""))</f>
        <v/>
      </c>
      <c r="N466" s="106" t="str">
        <f>IFERROR(VLOOKUP(特质表!C467,$C$2:$I$173,6,0),IFERROR(VLOOKUP(特质表!D467,$C$2:$I$173,6,0),""))</f>
        <v/>
      </c>
    </row>
    <row r="467" spans="12:14">
      <c r="L467" s="106" t="str">
        <f>IFERROR(VLOOKUP(特质表!C468,$C$2:$I$173,2,0),IFERROR(VLOOKUP(特质表!D468,$C$2:$I$173,2,0),""))</f>
        <v/>
      </c>
      <c r="M467" s="106" t="str">
        <f>IFERROR(VLOOKUP(特质表!C468,$C$2:$I$173,4,0),IFERROR(VLOOKUP(特质表!D468,$C$2:$I$173,4,0),""))</f>
        <v/>
      </c>
      <c r="N467" s="106" t="str">
        <f>IFERROR(VLOOKUP(特质表!C468,$C$2:$I$173,6,0),IFERROR(VLOOKUP(特质表!D468,$C$2:$I$173,6,0),""))</f>
        <v/>
      </c>
    </row>
    <row r="468" spans="12:14">
      <c r="L468" s="106" t="str">
        <f>IFERROR(VLOOKUP(特质表!C469,$C$2:$I$173,2,0),IFERROR(VLOOKUP(特质表!D469,$C$2:$I$173,2,0),""))</f>
        <v/>
      </c>
      <c r="M468" s="106" t="str">
        <f>IFERROR(VLOOKUP(特质表!C469,$C$2:$I$173,4,0),IFERROR(VLOOKUP(特质表!D469,$C$2:$I$173,4,0),""))</f>
        <v/>
      </c>
      <c r="N468" s="106" t="str">
        <f>IFERROR(VLOOKUP(特质表!C469,$C$2:$I$173,6,0),IFERROR(VLOOKUP(特质表!D469,$C$2:$I$173,6,0),""))</f>
        <v/>
      </c>
    </row>
    <row r="469" spans="12:14">
      <c r="L469" s="106" t="str">
        <f>IFERROR(VLOOKUP(特质表!C470,$C$2:$I$173,2,0),IFERROR(VLOOKUP(特质表!D470,$C$2:$I$173,2,0),""))</f>
        <v/>
      </c>
      <c r="M469" s="106" t="str">
        <f>IFERROR(VLOOKUP(特质表!C470,$C$2:$I$173,4,0),IFERROR(VLOOKUP(特质表!D470,$C$2:$I$173,4,0),""))</f>
        <v/>
      </c>
      <c r="N469" s="106" t="str">
        <f>IFERROR(VLOOKUP(特质表!C470,$C$2:$I$173,6,0),IFERROR(VLOOKUP(特质表!D470,$C$2:$I$173,6,0),""))</f>
        <v/>
      </c>
    </row>
    <row r="470" spans="12:14">
      <c r="L470" s="106" t="str">
        <f>IFERROR(VLOOKUP(特质表!C471,$C$2:$I$173,2,0),IFERROR(VLOOKUP(特质表!D471,$C$2:$I$173,2,0),""))</f>
        <v/>
      </c>
      <c r="M470" s="106" t="str">
        <f>IFERROR(VLOOKUP(特质表!C471,$C$2:$I$173,4,0),IFERROR(VLOOKUP(特质表!D471,$C$2:$I$173,4,0),""))</f>
        <v/>
      </c>
      <c r="N470" s="106" t="str">
        <f>IFERROR(VLOOKUP(特质表!C471,$C$2:$I$173,6,0),IFERROR(VLOOKUP(特质表!D471,$C$2:$I$173,6,0),""))</f>
        <v/>
      </c>
    </row>
    <row r="471" spans="12:14">
      <c r="L471" s="106" t="str">
        <f>IFERROR(VLOOKUP(特质表!C472,$C$2:$I$173,2,0),IFERROR(VLOOKUP(特质表!D472,$C$2:$I$173,2,0),""))</f>
        <v/>
      </c>
      <c r="M471" s="106" t="str">
        <f>IFERROR(VLOOKUP(特质表!C472,$C$2:$I$173,4,0),IFERROR(VLOOKUP(特质表!D472,$C$2:$I$173,4,0),""))</f>
        <v/>
      </c>
      <c r="N471" s="106" t="str">
        <f>IFERROR(VLOOKUP(特质表!C472,$C$2:$I$173,6,0),IFERROR(VLOOKUP(特质表!D472,$C$2:$I$173,6,0),""))</f>
        <v/>
      </c>
    </row>
    <row r="472" spans="12:14">
      <c r="L472" s="106" t="str">
        <f>IFERROR(VLOOKUP(特质表!C473,$C$2:$I$173,2,0),IFERROR(VLOOKUP(特质表!D473,$C$2:$I$173,2,0),""))</f>
        <v/>
      </c>
      <c r="M472" s="106" t="str">
        <f>IFERROR(VLOOKUP(特质表!C473,$C$2:$I$173,4,0),IFERROR(VLOOKUP(特质表!D473,$C$2:$I$173,4,0),""))</f>
        <v/>
      </c>
      <c r="N472" s="106" t="str">
        <f>IFERROR(VLOOKUP(特质表!C473,$C$2:$I$173,6,0),IFERROR(VLOOKUP(特质表!D473,$C$2:$I$173,6,0),""))</f>
        <v/>
      </c>
    </row>
    <row r="473" spans="12:14">
      <c r="L473" s="106" t="str">
        <f>IFERROR(VLOOKUP(特质表!C474,$C$2:$I$173,2,0),IFERROR(VLOOKUP(特质表!D474,$C$2:$I$173,2,0),""))</f>
        <v/>
      </c>
      <c r="M473" s="106" t="str">
        <f>IFERROR(VLOOKUP(特质表!C474,$C$2:$I$173,4,0),IFERROR(VLOOKUP(特质表!D474,$C$2:$I$173,4,0),""))</f>
        <v/>
      </c>
      <c r="N473" s="106" t="str">
        <f>IFERROR(VLOOKUP(特质表!C474,$C$2:$I$173,6,0),IFERROR(VLOOKUP(特质表!D474,$C$2:$I$173,6,0),""))</f>
        <v/>
      </c>
    </row>
    <row r="474" spans="12:14">
      <c r="L474" s="106" t="str">
        <f>IFERROR(VLOOKUP(特质表!C475,$C$2:$I$173,2,0),IFERROR(VLOOKUP(特质表!D475,$C$2:$I$173,2,0),""))</f>
        <v/>
      </c>
      <c r="M474" s="106" t="str">
        <f>IFERROR(VLOOKUP(特质表!C475,$C$2:$I$173,4,0),IFERROR(VLOOKUP(特质表!D475,$C$2:$I$173,4,0),""))</f>
        <v/>
      </c>
      <c r="N474" s="106" t="str">
        <f>IFERROR(VLOOKUP(特质表!C475,$C$2:$I$173,6,0),IFERROR(VLOOKUP(特质表!D475,$C$2:$I$173,6,0),""))</f>
        <v/>
      </c>
    </row>
    <row r="475" spans="12:14">
      <c r="L475" s="106" t="str">
        <f>IFERROR(VLOOKUP(特质表!C476,$C$2:$I$173,2,0),IFERROR(VLOOKUP(特质表!D476,$C$2:$I$173,2,0),""))</f>
        <v/>
      </c>
      <c r="M475" s="106" t="str">
        <f>IFERROR(VLOOKUP(特质表!C476,$C$2:$I$173,4,0),IFERROR(VLOOKUP(特质表!D476,$C$2:$I$173,4,0),""))</f>
        <v/>
      </c>
      <c r="N475" s="106" t="str">
        <f>IFERROR(VLOOKUP(特质表!C476,$C$2:$I$173,6,0),IFERROR(VLOOKUP(特质表!D476,$C$2:$I$173,6,0),""))</f>
        <v/>
      </c>
    </row>
    <row r="476" spans="12:14">
      <c r="L476" s="106" t="str">
        <f>IFERROR(VLOOKUP(特质表!C477,$C$2:$I$173,2,0),IFERROR(VLOOKUP(特质表!D477,$C$2:$I$173,2,0),""))</f>
        <v/>
      </c>
      <c r="M476" s="106" t="str">
        <f>IFERROR(VLOOKUP(特质表!C477,$C$2:$I$173,4,0),IFERROR(VLOOKUP(特质表!D477,$C$2:$I$173,4,0),""))</f>
        <v/>
      </c>
      <c r="N476" s="106" t="str">
        <f>IFERROR(VLOOKUP(特质表!C477,$C$2:$I$173,6,0),IFERROR(VLOOKUP(特质表!D477,$C$2:$I$173,6,0),""))</f>
        <v/>
      </c>
    </row>
    <row r="477" spans="12:14">
      <c r="L477" s="106" t="str">
        <f>IFERROR(VLOOKUP(特质表!C478,$C$2:$I$173,2,0),IFERROR(VLOOKUP(特质表!D478,$C$2:$I$173,2,0),""))</f>
        <v/>
      </c>
      <c r="M477" s="106" t="str">
        <f>IFERROR(VLOOKUP(特质表!C478,$C$2:$I$173,4,0),IFERROR(VLOOKUP(特质表!D478,$C$2:$I$173,4,0),""))</f>
        <v/>
      </c>
      <c r="N477" s="106" t="str">
        <f>IFERROR(VLOOKUP(特质表!C478,$C$2:$I$173,6,0),IFERROR(VLOOKUP(特质表!D478,$C$2:$I$173,6,0),""))</f>
        <v/>
      </c>
    </row>
    <row r="478" spans="12:14">
      <c r="L478" s="106" t="str">
        <f>IFERROR(VLOOKUP(特质表!C479,$C$2:$I$173,2,0),IFERROR(VLOOKUP(特质表!D479,$C$2:$I$173,2,0),""))</f>
        <v/>
      </c>
      <c r="M478" s="106" t="str">
        <f>IFERROR(VLOOKUP(特质表!C479,$C$2:$I$173,4,0),IFERROR(VLOOKUP(特质表!D479,$C$2:$I$173,4,0),""))</f>
        <v/>
      </c>
      <c r="N478" s="106" t="str">
        <f>IFERROR(VLOOKUP(特质表!C479,$C$2:$I$173,6,0),IFERROR(VLOOKUP(特质表!D479,$C$2:$I$173,6,0),""))</f>
        <v/>
      </c>
    </row>
    <row r="479" spans="12:14">
      <c r="L479" s="106" t="str">
        <f>IFERROR(VLOOKUP(特质表!C480,$C$2:$I$173,2,0),IFERROR(VLOOKUP(特质表!D480,$C$2:$I$173,2,0),""))</f>
        <v/>
      </c>
      <c r="M479" s="106" t="str">
        <f>IFERROR(VLOOKUP(特质表!C480,$C$2:$I$173,4,0),IFERROR(VLOOKUP(特质表!D480,$C$2:$I$173,4,0),""))</f>
        <v/>
      </c>
      <c r="N479" s="106" t="str">
        <f>IFERROR(VLOOKUP(特质表!C480,$C$2:$I$173,6,0),IFERROR(VLOOKUP(特质表!D480,$C$2:$I$173,6,0),""))</f>
        <v/>
      </c>
    </row>
    <row r="480" spans="12:14">
      <c r="L480" s="106" t="str">
        <f>IFERROR(VLOOKUP(特质表!C481,$C$2:$I$173,2,0),IFERROR(VLOOKUP(特质表!D481,$C$2:$I$173,2,0),""))</f>
        <v/>
      </c>
      <c r="M480" s="106" t="str">
        <f>IFERROR(VLOOKUP(特质表!C481,$C$2:$I$173,4,0),IFERROR(VLOOKUP(特质表!D481,$C$2:$I$173,4,0),""))</f>
        <v/>
      </c>
      <c r="N480" s="106" t="str">
        <f>IFERROR(VLOOKUP(特质表!C481,$C$2:$I$173,6,0),IFERROR(VLOOKUP(特质表!D481,$C$2:$I$173,6,0),""))</f>
        <v/>
      </c>
    </row>
    <row r="481" spans="12:14">
      <c r="L481" s="106" t="str">
        <f>IFERROR(VLOOKUP(特质表!C482,$C$2:$I$173,2,0),IFERROR(VLOOKUP(特质表!D482,$C$2:$I$173,2,0),""))</f>
        <v/>
      </c>
      <c r="M481" s="106" t="str">
        <f>IFERROR(VLOOKUP(特质表!C482,$C$2:$I$173,4,0),IFERROR(VLOOKUP(特质表!D482,$C$2:$I$173,4,0),""))</f>
        <v/>
      </c>
      <c r="N481" s="106" t="str">
        <f>IFERROR(VLOOKUP(特质表!C482,$C$2:$I$173,6,0),IFERROR(VLOOKUP(特质表!D482,$C$2:$I$173,6,0),""))</f>
        <v/>
      </c>
    </row>
    <row r="482" spans="12:14">
      <c r="L482" s="106" t="str">
        <f>IFERROR(VLOOKUP(特质表!C483,$C$2:$I$173,2,0),IFERROR(VLOOKUP(特质表!D483,$C$2:$I$173,2,0),""))</f>
        <v/>
      </c>
      <c r="M482" s="106" t="str">
        <f>IFERROR(VLOOKUP(特质表!C483,$C$2:$I$173,4,0),IFERROR(VLOOKUP(特质表!D483,$C$2:$I$173,4,0),""))</f>
        <v/>
      </c>
      <c r="N482" s="106" t="str">
        <f>IFERROR(VLOOKUP(特质表!C483,$C$2:$I$173,6,0),IFERROR(VLOOKUP(特质表!D483,$C$2:$I$173,6,0),""))</f>
        <v/>
      </c>
    </row>
    <row r="483" spans="12:14">
      <c r="L483" s="106" t="str">
        <f>IFERROR(VLOOKUP(特质表!C484,$C$2:$I$173,2,0),IFERROR(VLOOKUP(特质表!D484,$C$2:$I$173,2,0),""))</f>
        <v/>
      </c>
      <c r="M483" s="106" t="str">
        <f>IFERROR(VLOOKUP(特质表!C484,$C$2:$I$173,4,0),IFERROR(VLOOKUP(特质表!D484,$C$2:$I$173,4,0),""))</f>
        <v/>
      </c>
      <c r="N483" s="106" t="str">
        <f>IFERROR(VLOOKUP(特质表!C484,$C$2:$I$173,6,0),IFERROR(VLOOKUP(特质表!D484,$C$2:$I$173,6,0),""))</f>
        <v/>
      </c>
    </row>
    <row r="484" spans="12:14">
      <c r="L484" s="106" t="str">
        <f>IFERROR(VLOOKUP(特质表!C485,$C$2:$I$173,2,0),IFERROR(VLOOKUP(特质表!D485,$C$2:$I$173,2,0),""))</f>
        <v/>
      </c>
      <c r="M484" s="106" t="str">
        <f>IFERROR(VLOOKUP(特质表!C485,$C$2:$I$173,4,0),IFERROR(VLOOKUP(特质表!D485,$C$2:$I$173,4,0),""))</f>
        <v/>
      </c>
      <c r="N484" s="106" t="str">
        <f>IFERROR(VLOOKUP(特质表!C485,$C$2:$I$173,6,0),IFERROR(VLOOKUP(特质表!D485,$C$2:$I$173,6,0),""))</f>
        <v/>
      </c>
    </row>
    <row r="485" spans="12:14">
      <c r="L485" s="106" t="str">
        <f>IFERROR(VLOOKUP(特质表!C486,$C$2:$I$173,2,0),IFERROR(VLOOKUP(特质表!D486,$C$2:$I$173,2,0),""))</f>
        <v/>
      </c>
      <c r="M485" s="106" t="str">
        <f>IFERROR(VLOOKUP(特质表!C486,$C$2:$I$173,4,0),IFERROR(VLOOKUP(特质表!D486,$C$2:$I$173,4,0),""))</f>
        <v/>
      </c>
      <c r="N485" s="106" t="str">
        <f>IFERROR(VLOOKUP(特质表!C486,$C$2:$I$173,6,0),IFERROR(VLOOKUP(特质表!D486,$C$2:$I$173,6,0),""))</f>
        <v/>
      </c>
    </row>
    <row r="486" spans="12:14">
      <c r="L486" s="106" t="str">
        <f>IFERROR(VLOOKUP(特质表!C487,$C$2:$I$173,2,0),IFERROR(VLOOKUP(特质表!D487,$C$2:$I$173,2,0),""))</f>
        <v/>
      </c>
      <c r="M486" s="106" t="str">
        <f>IFERROR(VLOOKUP(特质表!C487,$C$2:$I$173,4,0),IFERROR(VLOOKUP(特质表!D487,$C$2:$I$173,4,0),""))</f>
        <v/>
      </c>
      <c r="N486" s="106" t="str">
        <f>IFERROR(VLOOKUP(特质表!C487,$C$2:$I$173,6,0),IFERROR(VLOOKUP(特质表!D487,$C$2:$I$173,6,0),""))</f>
        <v/>
      </c>
    </row>
    <row r="487" spans="12:14">
      <c r="L487" s="106" t="str">
        <f>IFERROR(VLOOKUP(特质表!C488,$C$2:$I$173,2,0),IFERROR(VLOOKUP(特质表!D488,$C$2:$I$173,2,0),""))</f>
        <v/>
      </c>
      <c r="M487" s="106" t="str">
        <f>IFERROR(VLOOKUP(特质表!C488,$C$2:$I$173,4,0),IFERROR(VLOOKUP(特质表!D488,$C$2:$I$173,4,0),""))</f>
        <v/>
      </c>
      <c r="N487" s="106" t="str">
        <f>IFERROR(VLOOKUP(特质表!C488,$C$2:$I$173,6,0),IFERROR(VLOOKUP(特质表!D488,$C$2:$I$173,6,0),""))</f>
        <v/>
      </c>
    </row>
    <row r="488" spans="12:14">
      <c r="L488" s="106" t="str">
        <f>IFERROR(VLOOKUP(特质表!C489,$C$2:$I$173,2,0),IFERROR(VLOOKUP(特质表!D489,$C$2:$I$173,2,0),""))</f>
        <v/>
      </c>
      <c r="M488" s="106" t="str">
        <f>IFERROR(VLOOKUP(特质表!C489,$C$2:$I$173,4,0),IFERROR(VLOOKUP(特质表!D489,$C$2:$I$173,4,0),""))</f>
        <v/>
      </c>
      <c r="N488" s="106" t="str">
        <f>IFERROR(VLOOKUP(特质表!C489,$C$2:$I$173,6,0),IFERROR(VLOOKUP(特质表!D489,$C$2:$I$173,6,0),""))</f>
        <v/>
      </c>
    </row>
    <row r="489" spans="12:14">
      <c r="L489" s="106" t="str">
        <f>IFERROR(VLOOKUP(特质表!C490,$C$2:$I$173,2,0),IFERROR(VLOOKUP(特质表!D490,$C$2:$I$173,2,0),""))</f>
        <v/>
      </c>
      <c r="M489" s="106" t="str">
        <f>IFERROR(VLOOKUP(特质表!C490,$C$2:$I$173,4,0),IFERROR(VLOOKUP(特质表!D490,$C$2:$I$173,4,0),""))</f>
        <v/>
      </c>
      <c r="N489" s="106" t="str">
        <f>IFERROR(VLOOKUP(特质表!C490,$C$2:$I$173,6,0),IFERROR(VLOOKUP(特质表!D490,$C$2:$I$173,6,0),""))</f>
        <v/>
      </c>
    </row>
    <row r="490" spans="12:14">
      <c r="L490" s="106" t="str">
        <f>IFERROR(VLOOKUP(特质表!C491,$C$2:$I$173,2,0),IFERROR(VLOOKUP(特质表!D491,$C$2:$I$173,2,0),""))</f>
        <v/>
      </c>
      <c r="M490" s="106" t="str">
        <f>IFERROR(VLOOKUP(特质表!C491,$C$2:$I$173,4,0),IFERROR(VLOOKUP(特质表!D491,$C$2:$I$173,4,0),""))</f>
        <v/>
      </c>
      <c r="N490" s="106" t="str">
        <f>IFERROR(VLOOKUP(特质表!C491,$C$2:$I$173,6,0),IFERROR(VLOOKUP(特质表!D491,$C$2:$I$173,6,0),""))</f>
        <v/>
      </c>
    </row>
    <row r="491" spans="12:14">
      <c r="L491" s="106" t="str">
        <f>IFERROR(VLOOKUP(特质表!C492,$C$2:$I$173,2,0),IFERROR(VLOOKUP(特质表!D492,$C$2:$I$173,2,0),""))</f>
        <v/>
      </c>
      <c r="M491" s="106" t="str">
        <f>IFERROR(VLOOKUP(特质表!C492,$C$2:$I$173,4,0),IFERROR(VLOOKUP(特质表!D492,$C$2:$I$173,4,0),""))</f>
        <v/>
      </c>
      <c r="N491" s="106" t="str">
        <f>IFERROR(VLOOKUP(特质表!C492,$C$2:$I$173,6,0),IFERROR(VLOOKUP(特质表!D492,$C$2:$I$173,6,0),""))</f>
        <v/>
      </c>
    </row>
    <row r="492" spans="12:14">
      <c r="L492" s="106" t="str">
        <f>IFERROR(VLOOKUP(特质表!C493,$C$2:$I$173,2,0),IFERROR(VLOOKUP(特质表!D493,$C$2:$I$173,2,0),""))</f>
        <v/>
      </c>
      <c r="M492" s="106" t="str">
        <f>IFERROR(VLOOKUP(特质表!C493,$C$2:$I$173,4,0),IFERROR(VLOOKUP(特质表!D493,$C$2:$I$173,4,0),""))</f>
        <v/>
      </c>
      <c r="N492" s="106" t="str">
        <f>IFERROR(VLOOKUP(特质表!C493,$C$2:$I$173,6,0),IFERROR(VLOOKUP(特质表!D493,$C$2:$I$173,6,0),""))</f>
        <v/>
      </c>
    </row>
    <row r="493" spans="12:14">
      <c r="L493" s="106" t="str">
        <f>IFERROR(VLOOKUP(特质表!C494,$C$2:$I$173,2,0),IFERROR(VLOOKUP(特质表!D494,$C$2:$I$173,2,0),""))</f>
        <v/>
      </c>
      <c r="M493" s="106" t="str">
        <f>IFERROR(VLOOKUP(特质表!C494,$C$2:$I$173,4,0),IFERROR(VLOOKUP(特质表!D494,$C$2:$I$173,4,0),""))</f>
        <v/>
      </c>
      <c r="N493" s="106" t="str">
        <f>IFERROR(VLOOKUP(特质表!C494,$C$2:$I$173,6,0),IFERROR(VLOOKUP(特质表!D494,$C$2:$I$173,6,0),""))</f>
        <v/>
      </c>
    </row>
    <row r="494" spans="12:14">
      <c r="L494" s="106" t="str">
        <f>IFERROR(VLOOKUP(特质表!C495,$C$2:$I$173,2,0),IFERROR(VLOOKUP(特质表!D495,$C$2:$I$173,2,0),""))</f>
        <v/>
      </c>
      <c r="M494" s="106" t="str">
        <f>IFERROR(VLOOKUP(特质表!C495,$C$2:$I$173,4,0),IFERROR(VLOOKUP(特质表!D495,$C$2:$I$173,4,0),""))</f>
        <v/>
      </c>
      <c r="N494" s="106" t="str">
        <f>IFERROR(VLOOKUP(特质表!C495,$C$2:$I$173,6,0),IFERROR(VLOOKUP(特质表!D495,$C$2:$I$173,6,0),""))</f>
        <v/>
      </c>
    </row>
    <row r="495" spans="12:14">
      <c r="L495" s="106" t="str">
        <f>IFERROR(VLOOKUP(特质表!C496,$C$2:$I$173,2,0),IFERROR(VLOOKUP(特质表!D496,$C$2:$I$173,2,0),""))</f>
        <v/>
      </c>
      <c r="M495" s="106" t="str">
        <f>IFERROR(VLOOKUP(特质表!C496,$C$2:$I$173,4,0),IFERROR(VLOOKUP(特质表!D496,$C$2:$I$173,4,0),""))</f>
        <v/>
      </c>
      <c r="N495" s="106" t="str">
        <f>IFERROR(VLOOKUP(特质表!C496,$C$2:$I$173,6,0),IFERROR(VLOOKUP(特质表!D496,$C$2:$I$173,6,0),""))</f>
        <v/>
      </c>
    </row>
    <row r="496" spans="12:14">
      <c r="L496" s="106" t="str">
        <f>IFERROR(VLOOKUP(特质表!C497,$C$2:$I$173,2,0),IFERROR(VLOOKUP(特质表!D497,$C$2:$I$173,2,0),""))</f>
        <v/>
      </c>
      <c r="M496" s="106" t="str">
        <f>IFERROR(VLOOKUP(特质表!C497,$C$2:$I$173,4,0),IFERROR(VLOOKUP(特质表!D497,$C$2:$I$173,4,0),""))</f>
        <v/>
      </c>
      <c r="N496" s="106" t="str">
        <f>IFERROR(VLOOKUP(特质表!C497,$C$2:$I$173,6,0),IFERROR(VLOOKUP(特质表!D497,$C$2:$I$173,6,0),""))</f>
        <v/>
      </c>
    </row>
    <row r="497" spans="12:14">
      <c r="L497" s="106" t="str">
        <f>IFERROR(VLOOKUP(特质表!C498,$C$2:$I$173,2,0),IFERROR(VLOOKUP(特质表!D498,$C$2:$I$173,2,0),""))</f>
        <v/>
      </c>
      <c r="M497" s="106" t="str">
        <f>IFERROR(VLOOKUP(特质表!C498,$C$2:$I$173,4,0),IFERROR(VLOOKUP(特质表!D498,$C$2:$I$173,4,0),""))</f>
        <v/>
      </c>
      <c r="N497" s="106" t="str">
        <f>IFERROR(VLOOKUP(特质表!C498,$C$2:$I$173,6,0),IFERROR(VLOOKUP(特质表!D498,$C$2:$I$173,6,0),""))</f>
        <v/>
      </c>
    </row>
    <row r="498" spans="12:14">
      <c r="L498" s="106" t="str">
        <f>IFERROR(VLOOKUP(特质表!C499,$C$2:$I$173,2,0),IFERROR(VLOOKUP(特质表!D499,$C$2:$I$173,2,0),""))</f>
        <v/>
      </c>
      <c r="M498" s="106" t="str">
        <f>IFERROR(VLOOKUP(特质表!C499,$C$2:$I$173,4,0),IFERROR(VLOOKUP(特质表!D499,$C$2:$I$173,4,0),""))</f>
        <v/>
      </c>
      <c r="N498" s="106" t="str">
        <f>IFERROR(VLOOKUP(特质表!C499,$C$2:$I$173,6,0),IFERROR(VLOOKUP(特质表!D499,$C$2:$I$173,6,0),""))</f>
        <v/>
      </c>
    </row>
    <row r="499" spans="12:14">
      <c r="L499" s="106" t="str">
        <f>IFERROR(VLOOKUP(特质表!C500,$C$2:$I$173,2,0),IFERROR(VLOOKUP(特质表!D500,$C$2:$I$173,2,0),""))</f>
        <v/>
      </c>
      <c r="M499" s="106" t="str">
        <f>IFERROR(VLOOKUP(特质表!C500,$C$2:$I$173,4,0),IFERROR(VLOOKUP(特质表!D500,$C$2:$I$173,4,0),""))</f>
        <v/>
      </c>
      <c r="N499" s="106" t="str">
        <f>IFERROR(VLOOKUP(特质表!C500,$C$2:$I$173,6,0),IFERROR(VLOOKUP(特质表!D500,$C$2:$I$173,6,0),""))</f>
        <v/>
      </c>
    </row>
    <row r="500" spans="12:14">
      <c r="L500" s="106" t="str">
        <f>IFERROR(VLOOKUP(特质表!C501,$C$2:$I$173,2,0),IFERROR(VLOOKUP(特质表!D501,$C$2:$I$173,2,0),""))</f>
        <v/>
      </c>
      <c r="M500" s="106" t="str">
        <f>IFERROR(VLOOKUP(特质表!C501,$C$2:$I$173,4,0),IFERROR(VLOOKUP(特质表!D501,$C$2:$I$173,4,0),""))</f>
        <v/>
      </c>
      <c r="N500" s="106" t="str">
        <f>IFERROR(VLOOKUP(特质表!C501,$C$2:$I$173,6,0),IFERROR(VLOOKUP(特质表!D501,$C$2:$I$173,6,0),""))</f>
        <v/>
      </c>
    </row>
    <row r="501" spans="12:14">
      <c r="L501" s="106" t="str">
        <f>IFERROR(VLOOKUP(特质表!C502,$C$2:$I$173,2,0),IFERROR(VLOOKUP(特质表!D502,$C$2:$I$173,2,0),""))</f>
        <v/>
      </c>
      <c r="M501" s="106" t="str">
        <f>IFERROR(VLOOKUP(特质表!C502,$C$2:$I$173,4,0),IFERROR(VLOOKUP(特质表!D502,$C$2:$I$173,4,0),""))</f>
        <v/>
      </c>
      <c r="N501" s="106" t="str">
        <f>IFERROR(VLOOKUP(特质表!C502,$C$2:$I$173,6,0),IFERROR(VLOOKUP(特质表!D502,$C$2:$I$173,6,0),""))</f>
        <v/>
      </c>
    </row>
    <row r="502" spans="12:14">
      <c r="L502" s="106" t="str">
        <f>IFERROR(VLOOKUP(特质表!C503,$C$2:$I$173,2,0),IFERROR(VLOOKUP(特质表!D503,$C$2:$I$173,2,0),""))</f>
        <v/>
      </c>
      <c r="M502" s="106" t="str">
        <f>IFERROR(VLOOKUP(特质表!C503,$C$2:$I$173,4,0),IFERROR(VLOOKUP(特质表!D503,$C$2:$I$173,4,0),""))</f>
        <v/>
      </c>
      <c r="N502" s="106" t="str">
        <f>IFERROR(VLOOKUP(特质表!C503,$C$2:$I$173,6,0),IFERROR(VLOOKUP(特质表!D503,$C$2:$I$173,6,0),""))</f>
        <v/>
      </c>
    </row>
    <row r="503" spans="12:14">
      <c r="L503" s="106" t="str">
        <f>IFERROR(VLOOKUP(特质表!C504,$C$2:$I$173,2,0),IFERROR(VLOOKUP(特质表!D504,$C$2:$I$173,2,0),""))</f>
        <v/>
      </c>
      <c r="M503" s="106" t="str">
        <f>IFERROR(VLOOKUP(特质表!C504,$C$2:$I$173,4,0),IFERROR(VLOOKUP(特质表!D504,$C$2:$I$173,4,0),""))</f>
        <v/>
      </c>
      <c r="N503" s="106" t="str">
        <f>IFERROR(VLOOKUP(特质表!C504,$C$2:$I$173,6,0),IFERROR(VLOOKUP(特质表!D504,$C$2:$I$173,6,0),""))</f>
        <v/>
      </c>
    </row>
    <row r="504" spans="12:14">
      <c r="L504" s="106" t="str">
        <f>IFERROR(VLOOKUP(特质表!C505,$C$2:$I$173,2,0),IFERROR(VLOOKUP(特质表!D505,$C$2:$I$173,2,0),""))</f>
        <v/>
      </c>
      <c r="M504" s="106" t="str">
        <f>IFERROR(VLOOKUP(特质表!C505,$C$2:$I$173,4,0),IFERROR(VLOOKUP(特质表!D505,$C$2:$I$173,4,0),""))</f>
        <v/>
      </c>
      <c r="N504" s="106" t="str">
        <f>IFERROR(VLOOKUP(特质表!C505,$C$2:$I$173,6,0),IFERROR(VLOOKUP(特质表!D505,$C$2:$I$173,6,0),""))</f>
        <v/>
      </c>
    </row>
    <row r="505" spans="12:14">
      <c r="L505" s="106" t="str">
        <f>IFERROR(VLOOKUP(特质表!C506,$C$2:$I$173,2,0),IFERROR(VLOOKUP(特质表!D506,$C$2:$I$173,2,0),""))</f>
        <v/>
      </c>
      <c r="M505" s="106" t="str">
        <f>IFERROR(VLOOKUP(特质表!C506,$C$2:$I$173,4,0),IFERROR(VLOOKUP(特质表!D506,$C$2:$I$173,4,0),""))</f>
        <v/>
      </c>
      <c r="N505" s="106" t="str">
        <f>IFERROR(VLOOKUP(特质表!C506,$C$2:$I$173,6,0),IFERROR(VLOOKUP(特质表!D506,$C$2:$I$173,6,0),""))</f>
        <v/>
      </c>
    </row>
    <row r="506" spans="12:14">
      <c r="L506" s="106" t="str">
        <f>IFERROR(VLOOKUP(特质表!C507,$C$2:$I$173,2,0),IFERROR(VLOOKUP(特质表!D507,$C$2:$I$173,2,0),""))</f>
        <v/>
      </c>
      <c r="M506" s="106" t="str">
        <f>IFERROR(VLOOKUP(特质表!C507,$C$2:$I$173,4,0),IFERROR(VLOOKUP(特质表!D507,$C$2:$I$173,4,0),""))</f>
        <v/>
      </c>
      <c r="N506" s="106" t="str">
        <f>IFERROR(VLOOKUP(特质表!C507,$C$2:$I$173,6,0),IFERROR(VLOOKUP(特质表!D507,$C$2:$I$173,6,0),""))</f>
        <v/>
      </c>
    </row>
    <row r="507" spans="12:14">
      <c r="L507" s="106" t="str">
        <f>IFERROR(VLOOKUP(特质表!C508,$C$2:$I$173,2,0),IFERROR(VLOOKUP(特质表!D508,$C$2:$I$173,2,0),""))</f>
        <v/>
      </c>
      <c r="M507" s="106" t="str">
        <f>IFERROR(VLOOKUP(特质表!C508,$C$2:$I$173,4,0),IFERROR(VLOOKUP(特质表!D508,$C$2:$I$173,4,0),""))</f>
        <v/>
      </c>
      <c r="N507" s="106" t="str">
        <f>IFERROR(VLOOKUP(特质表!C508,$C$2:$I$173,6,0),IFERROR(VLOOKUP(特质表!D508,$C$2:$I$173,6,0),""))</f>
        <v/>
      </c>
    </row>
    <row r="508" spans="12:14">
      <c r="L508" s="106" t="str">
        <f>IFERROR(VLOOKUP(特质表!C509,$C$2:$I$173,2,0),IFERROR(VLOOKUP(特质表!D509,$C$2:$I$173,2,0),""))</f>
        <v/>
      </c>
      <c r="M508" s="106" t="str">
        <f>IFERROR(VLOOKUP(特质表!C509,$C$2:$I$173,4,0),IFERROR(VLOOKUP(特质表!D509,$C$2:$I$173,4,0),""))</f>
        <v/>
      </c>
      <c r="N508" s="106" t="str">
        <f>IFERROR(VLOOKUP(特质表!C509,$C$2:$I$173,6,0),IFERROR(VLOOKUP(特质表!D509,$C$2:$I$173,6,0),""))</f>
        <v/>
      </c>
    </row>
    <row r="509" spans="12:14">
      <c r="L509" s="106" t="str">
        <f>IFERROR(VLOOKUP(特质表!C510,$C$2:$I$173,2,0),IFERROR(VLOOKUP(特质表!D510,$C$2:$I$173,2,0),""))</f>
        <v/>
      </c>
      <c r="M509" s="106" t="str">
        <f>IFERROR(VLOOKUP(特质表!C510,$C$2:$I$173,4,0),IFERROR(VLOOKUP(特质表!D510,$C$2:$I$173,4,0),""))</f>
        <v/>
      </c>
      <c r="N509" s="106" t="str">
        <f>IFERROR(VLOOKUP(特质表!C510,$C$2:$I$173,6,0),IFERROR(VLOOKUP(特质表!D510,$C$2:$I$173,6,0),""))</f>
        <v/>
      </c>
    </row>
    <row r="510" spans="12:14">
      <c r="L510" s="106" t="str">
        <f>IFERROR(VLOOKUP(特质表!C511,$C$2:$I$173,2,0),IFERROR(VLOOKUP(特质表!D511,$C$2:$I$173,2,0),""))</f>
        <v/>
      </c>
      <c r="M510" s="106" t="str">
        <f>IFERROR(VLOOKUP(特质表!C511,$C$2:$I$173,4,0),IFERROR(VLOOKUP(特质表!D511,$C$2:$I$173,4,0),""))</f>
        <v/>
      </c>
      <c r="N510" s="106" t="str">
        <f>IFERROR(VLOOKUP(特质表!C511,$C$2:$I$173,6,0),IFERROR(VLOOKUP(特质表!D511,$C$2:$I$173,6,0),""))</f>
        <v/>
      </c>
    </row>
    <row r="511" spans="12:14">
      <c r="L511" s="106" t="str">
        <f>IFERROR(VLOOKUP(特质表!C512,$C$2:$I$173,2,0),IFERROR(VLOOKUP(特质表!D512,$C$2:$I$173,2,0),""))</f>
        <v/>
      </c>
      <c r="M511" s="106" t="str">
        <f>IFERROR(VLOOKUP(特质表!C512,$C$2:$I$173,4,0),IFERROR(VLOOKUP(特质表!D512,$C$2:$I$173,4,0),""))</f>
        <v/>
      </c>
      <c r="N511" s="106" t="str">
        <f>IFERROR(VLOOKUP(特质表!C512,$C$2:$I$173,6,0),IFERROR(VLOOKUP(特质表!D512,$C$2:$I$173,6,0),""))</f>
        <v/>
      </c>
    </row>
    <row r="512" spans="12:14">
      <c r="L512" s="106" t="str">
        <f>IFERROR(VLOOKUP(特质表!C513,$C$2:$I$173,2,0),IFERROR(VLOOKUP(特质表!D513,$C$2:$I$173,2,0),""))</f>
        <v/>
      </c>
      <c r="M512" s="106" t="str">
        <f>IFERROR(VLOOKUP(特质表!C513,$C$2:$I$173,4,0),IFERROR(VLOOKUP(特质表!D513,$C$2:$I$173,4,0),""))</f>
        <v/>
      </c>
      <c r="N512" s="106" t="str">
        <f>IFERROR(VLOOKUP(特质表!C513,$C$2:$I$173,6,0),IFERROR(VLOOKUP(特质表!D513,$C$2:$I$173,6,0),""))</f>
        <v/>
      </c>
    </row>
    <row r="513" spans="12:14">
      <c r="L513" s="106" t="str">
        <f>IFERROR(VLOOKUP(特质表!C514,$C$2:$I$173,2,0),IFERROR(VLOOKUP(特质表!D514,$C$2:$I$173,2,0),""))</f>
        <v/>
      </c>
      <c r="M513" s="106" t="str">
        <f>IFERROR(VLOOKUP(特质表!C514,$C$2:$I$173,4,0),IFERROR(VLOOKUP(特质表!D514,$C$2:$I$173,4,0),""))</f>
        <v/>
      </c>
      <c r="N513" s="106" t="str">
        <f>IFERROR(VLOOKUP(特质表!C514,$C$2:$I$173,6,0),IFERROR(VLOOKUP(特质表!D514,$C$2:$I$173,6,0),""))</f>
        <v/>
      </c>
    </row>
    <row r="514" spans="12:14">
      <c r="L514" s="106" t="str">
        <f>IFERROR(VLOOKUP(特质表!C515,$C$2:$I$173,2,0),IFERROR(VLOOKUP(特质表!D515,$C$2:$I$173,2,0),""))</f>
        <v/>
      </c>
      <c r="M514" s="106" t="str">
        <f>IFERROR(VLOOKUP(特质表!C515,$C$2:$I$173,4,0),IFERROR(VLOOKUP(特质表!D515,$C$2:$I$173,4,0),""))</f>
        <v/>
      </c>
      <c r="N514" s="106" t="str">
        <f>IFERROR(VLOOKUP(特质表!C515,$C$2:$I$173,6,0),IFERROR(VLOOKUP(特质表!D515,$C$2:$I$173,6,0),""))</f>
        <v/>
      </c>
    </row>
    <row r="515" spans="12:14">
      <c r="L515" s="106" t="str">
        <f>IFERROR(VLOOKUP(特质表!C516,$C$2:$I$173,2,0),IFERROR(VLOOKUP(特质表!D516,$C$2:$I$173,2,0),""))</f>
        <v/>
      </c>
      <c r="M515" s="106" t="str">
        <f>IFERROR(VLOOKUP(特质表!C516,$C$2:$I$173,4,0),IFERROR(VLOOKUP(特质表!D516,$C$2:$I$173,4,0),""))</f>
        <v/>
      </c>
      <c r="N515" s="106" t="str">
        <f>IFERROR(VLOOKUP(特质表!C516,$C$2:$I$173,6,0),IFERROR(VLOOKUP(特质表!D516,$C$2:$I$173,6,0),""))</f>
        <v/>
      </c>
    </row>
    <row r="516" spans="12:14">
      <c r="L516" s="106" t="str">
        <f>IFERROR(VLOOKUP(特质表!C517,$C$2:$I$173,2,0),IFERROR(VLOOKUP(特质表!D517,$C$2:$I$173,2,0),""))</f>
        <v/>
      </c>
      <c r="M516" s="106" t="str">
        <f>IFERROR(VLOOKUP(特质表!C517,$C$2:$I$173,4,0),IFERROR(VLOOKUP(特质表!D517,$C$2:$I$173,4,0),""))</f>
        <v/>
      </c>
      <c r="N516" s="106" t="str">
        <f>IFERROR(VLOOKUP(特质表!C517,$C$2:$I$173,6,0),IFERROR(VLOOKUP(特质表!D517,$C$2:$I$173,6,0),""))</f>
        <v/>
      </c>
    </row>
    <row r="517" spans="12:14">
      <c r="L517" s="106" t="str">
        <f>IFERROR(VLOOKUP(特质表!C518,$C$2:$I$173,2,0),IFERROR(VLOOKUP(特质表!D518,$C$2:$I$173,2,0),""))</f>
        <v/>
      </c>
      <c r="M517" s="106" t="str">
        <f>IFERROR(VLOOKUP(特质表!C518,$C$2:$I$173,4,0),IFERROR(VLOOKUP(特质表!D518,$C$2:$I$173,4,0),""))</f>
        <v/>
      </c>
      <c r="N517" s="106" t="str">
        <f>IFERROR(VLOOKUP(特质表!C518,$C$2:$I$173,6,0),IFERROR(VLOOKUP(特质表!D518,$C$2:$I$173,6,0),""))</f>
        <v/>
      </c>
    </row>
    <row r="518" spans="12:14">
      <c r="L518" s="106" t="str">
        <f>IFERROR(VLOOKUP(特质表!C519,$C$2:$I$173,2,0),IFERROR(VLOOKUP(特质表!D519,$C$2:$I$173,2,0),""))</f>
        <v/>
      </c>
      <c r="M518" s="106" t="str">
        <f>IFERROR(VLOOKUP(特质表!C519,$C$2:$I$173,4,0),IFERROR(VLOOKUP(特质表!D519,$C$2:$I$173,4,0),""))</f>
        <v/>
      </c>
      <c r="N518" s="106" t="str">
        <f>IFERROR(VLOOKUP(特质表!C519,$C$2:$I$173,6,0),IFERROR(VLOOKUP(特质表!D519,$C$2:$I$173,6,0),""))</f>
        <v/>
      </c>
    </row>
    <row r="519" spans="12:14">
      <c r="L519" s="106" t="str">
        <f>IFERROR(VLOOKUP(特质表!C520,$C$2:$I$173,2,0),IFERROR(VLOOKUP(特质表!D520,$C$2:$I$173,2,0),""))</f>
        <v/>
      </c>
      <c r="M519" s="106" t="str">
        <f>IFERROR(VLOOKUP(特质表!C520,$C$2:$I$173,4,0),IFERROR(VLOOKUP(特质表!D520,$C$2:$I$173,4,0),""))</f>
        <v/>
      </c>
      <c r="N519" s="106" t="str">
        <f>IFERROR(VLOOKUP(特质表!C520,$C$2:$I$173,6,0),IFERROR(VLOOKUP(特质表!D520,$C$2:$I$173,6,0),""))</f>
        <v/>
      </c>
    </row>
    <row r="520" spans="12:14">
      <c r="L520" s="106" t="str">
        <f>IFERROR(VLOOKUP(特质表!C521,$C$2:$I$173,2,0),IFERROR(VLOOKUP(特质表!D521,$C$2:$I$173,2,0),""))</f>
        <v/>
      </c>
      <c r="M520" s="106" t="str">
        <f>IFERROR(VLOOKUP(特质表!C521,$C$2:$I$173,4,0),IFERROR(VLOOKUP(特质表!D521,$C$2:$I$173,4,0),""))</f>
        <v/>
      </c>
      <c r="N520" s="106" t="str">
        <f>IFERROR(VLOOKUP(特质表!C521,$C$2:$I$173,6,0),IFERROR(VLOOKUP(特质表!D521,$C$2:$I$173,6,0),""))</f>
        <v/>
      </c>
    </row>
    <row r="521" spans="12:14">
      <c r="L521" s="106" t="str">
        <f>IFERROR(VLOOKUP(特质表!C522,$C$2:$I$173,2,0),IFERROR(VLOOKUP(特质表!D522,$C$2:$I$173,2,0),""))</f>
        <v/>
      </c>
      <c r="M521" s="106" t="str">
        <f>IFERROR(VLOOKUP(特质表!C522,$C$2:$I$173,4,0),IFERROR(VLOOKUP(特质表!D522,$C$2:$I$173,4,0),""))</f>
        <v/>
      </c>
      <c r="N521" s="106" t="str">
        <f>IFERROR(VLOOKUP(特质表!C522,$C$2:$I$173,6,0),IFERROR(VLOOKUP(特质表!D522,$C$2:$I$173,6,0),""))</f>
        <v/>
      </c>
    </row>
    <row r="522" spans="12:14">
      <c r="L522" s="106" t="str">
        <f>IFERROR(VLOOKUP(特质表!C523,$C$2:$I$173,2,0),IFERROR(VLOOKUP(特质表!D523,$C$2:$I$173,2,0),""))</f>
        <v/>
      </c>
      <c r="M522" s="106" t="str">
        <f>IFERROR(VLOOKUP(特质表!C523,$C$2:$I$173,4,0),IFERROR(VLOOKUP(特质表!D523,$C$2:$I$173,4,0),""))</f>
        <v/>
      </c>
      <c r="N522" s="106" t="str">
        <f>IFERROR(VLOOKUP(特质表!C523,$C$2:$I$173,6,0),IFERROR(VLOOKUP(特质表!D523,$C$2:$I$173,6,0),""))</f>
        <v/>
      </c>
    </row>
    <row r="523" spans="12:14">
      <c r="L523" s="106" t="str">
        <f>IFERROR(VLOOKUP(特质表!C524,$C$2:$I$173,2,0),IFERROR(VLOOKUP(特质表!D524,$C$2:$I$173,2,0),""))</f>
        <v/>
      </c>
      <c r="M523" s="106" t="str">
        <f>IFERROR(VLOOKUP(特质表!C524,$C$2:$I$173,4,0),IFERROR(VLOOKUP(特质表!D524,$C$2:$I$173,4,0),""))</f>
        <v/>
      </c>
      <c r="N523" s="106" t="str">
        <f>IFERROR(VLOOKUP(特质表!C524,$C$2:$I$173,6,0),IFERROR(VLOOKUP(特质表!D524,$C$2:$I$173,6,0),""))</f>
        <v/>
      </c>
    </row>
    <row r="524" spans="12:14">
      <c r="L524" s="106" t="str">
        <f>IFERROR(VLOOKUP(特质表!C525,$C$2:$I$173,2,0),IFERROR(VLOOKUP(特质表!D525,$C$2:$I$173,2,0),""))</f>
        <v/>
      </c>
      <c r="M524" s="106" t="str">
        <f>IFERROR(VLOOKUP(特质表!C525,$C$2:$I$173,4,0),IFERROR(VLOOKUP(特质表!D525,$C$2:$I$173,4,0),""))</f>
        <v/>
      </c>
      <c r="N524" s="106" t="str">
        <f>IFERROR(VLOOKUP(特质表!C525,$C$2:$I$173,6,0),IFERROR(VLOOKUP(特质表!D525,$C$2:$I$173,6,0),""))</f>
        <v/>
      </c>
    </row>
    <row r="525" spans="12:14">
      <c r="L525" s="106" t="str">
        <f>IFERROR(VLOOKUP(特质表!C526,$C$2:$I$173,2,0),IFERROR(VLOOKUP(特质表!D526,$C$2:$I$173,2,0),""))</f>
        <v/>
      </c>
      <c r="M525" s="106" t="str">
        <f>IFERROR(VLOOKUP(特质表!C526,$C$2:$I$173,4,0),IFERROR(VLOOKUP(特质表!D526,$C$2:$I$173,4,0),""))</f>
        <v/>
      </c>
      <c r="N525" s="106" t="str">
        <f>IFERROR(VLOOKUP(特质表!C526,$C$2:$I$173,6,0),IFERROR(VLOOKUP(特质表!D526,$C$2:$I$173,6,0),""))</f>
        <v/>
      </c>
    </row>
    <row r="526" spans="12:14">
      <c r="L526" s="106" t="str">
        <f>IFERROR(VLOOKUP(特质表!C527,$C$2:$I$173,2,0),IFERROR(VLOOKUP(特质表!D527,$C$2:$I$173,2,0),""))</f>
        <v/>
      </c>
      <c r="M526" s="106" t="str">
        <f>IFERROR(VLOOKUP(特质表!C527,$C$2:$I$173,4,0),IFERROR(VLOOKUP(特质表!D527,$C$2:$I$173,4,0),""))</f>
        <v/>
      </c>
      <c r="N526" s="106" t="str">
        <f>IFERROR(VLOOKUP(特质表!C527,$C$2:$I$173,6,0),IFERROR(VLOOKUP(特质表!D527,$C$2:$I$173,6,0),""))</f>
        <v/>
      </c>
    </row>
    <row r="527" spans="12:14">
      <c r="L527" s="106" t="str">
        <f>IFERROR(VLOOKUP(特质表!C528,$C$2:$I$173,2,0),IFERROR(VLOOKUP(特质表!D528,$C$2:$I$173,2,0),""))</f>
        <v/>
      </c>
      <c r="M527" s="106" t="str">
        <f>IFERROR(VLOOKUP(特质表!C528,$C$2:$I$173,4,0),IFERROR(VLOOKUP(特质表!D528,$C$2:$I$173,4,0),""))</f>
        <v/>
      </c>
      <c r="N527" s="106" t="str">
        <f>IFERROR(VLOOKUP(特质表!C528,$C$2:$I$173,6,0),IFERROR(VLOOKUP(特质表!D528,$C$2:$I$173,6,0),""))</f>
        <v/>
      </c>
    </row>
    <row r="528" spans="12:14">
      <c r="L528" s="106" t="str">
        <f>IFERROR(VLOOKUP(特质表!C529,$C$2:$I$173,2,0),IFERROR(VLOOKUP(特质表!D529,$C$2:$I$173,2,0),""))</f>
        <v/>
      </c>
      <c r="M528" s="106" t="str">
        <f>IFERROR(VLOOKUP(特质表!C529,$C$2:$I$173,4,0),IFERROR(VLOOKUP(特质表!D529,$C$2:$I$173,4,0),""))</f>
        <v/>
      </c>
      <c r="N528" s="106" t="str">
        <f>IFERROR(VLOOKUP(特质表!C529,$C$2:$I$173,6,0),IFERROR(VLOOKUP(特质表!D529,$C$2:$I$173,6,0),""))</f>
        <v/>
      </c>
    </row>
    <row r="529" spans="12:14">
      <c r="L529" s="106" t="str">
        <f>IFERROR(VLOOKUP(特质表!C530,$C$2:$I$173,2,0),IFERROR(VLOOKUP(特质表!D530,$C$2:$I$173,2,0),""))</f>
        <v/>
      </c>
      <c r="M529" s="106" t="str">
        <f>IFERROR(VLOOKUP(特质表!C530,$C$2:$I$173,4,0),IFERROR(VLOOKUP(特质表!D530,$C$2:$I$173,4,0),""))</f>
        <v/>
      </c>
      <c r="N529" s="106" t="str">
        <f>IFERROR(VLOOKUP(特质表!C530,$C$2:$I$173,6,0),IFERROR(VLOOKUP(特质表!D530,$C$2:$I$173,6,0),""))</f>
        <v/>
      </c>
    </row>
    <row r="530" spans="12:14">
      <c r="L530" s="106" t="str">
        <f>IFERROR(VLOOKUP(特质表!C531,$C$2:$I$173,2,0),IFERROR(VLOOKUP(特质表!D531,$C$2:$I$173,2,0),""))</f>
        <v/>
      </c>
      <c r="M530" s="106" t="str">
        <f>IFERROR(VLOOKUP(特质表!C531,$C$2:$I$173,4,0),IFERROR(VLOOKUP(特质表!D531,$C$2:$I$173,4,0),""))</f>
        <v/>
      </c>
      <c r="N530" s="106" t="str">
        <f>IFERROR(VLOOKUP(特质表!C531,$C$2:$I$173,6,0),IFERROR(VLOOKUP(特质表!D531,$C$2:$I$173,6,0),""))</f>
        <v/>
      </c>
    </row>
    <row r="531" spans="12:14">
      <c r="L531" s="106" t="str">
        <f>IFERROR(VLOOKUP(特质表!C532,$C$2:$I$173,2,0),IFERROR(VLOOKUP(特质表!D532,$C$2:$I$173,2,0),""))</f>
        <v/>
      </c>
      <c r="M531" s="106" t="str">
        <f>IFERROR(VLOOKUP(特质表!C532,$C$2:$I$173,4,0),IFERROR(VLOOKUP(特质表!D532,$C$2:$I$173,4,0),""))</f>
        <v/>
      </c>
      <c r="N531" s="106" t="str">
        <f>IFERROR(VLOOKUP(特质表!C532,$C$2:$I$173,6,0),IFERROR(VLOOKUP(特质表!D532,$C$2:$I$173,6,0),""))</f>
        <v/>
      </c>
    </row>
    <row r="532" spans="12:14">
      <c r="L532" s="106" t="str">
        <f>IFERROR(VLOOKUP(特质表!C533,$C$2:$I$173,2,0),IFERROR(VLOOKUP(特质表!D533,$C$2:$I$173,2,0),""))</f>
        <v/>
      </c>
      <c r="M532" s="106" t="str">
        <f>IFERROR(VLOOKUP(特质表!C533,$C$2:$I$173,4,0),IFERROR(VLOOKUP(特质表!D533,$C$2:$I$173,4,0),""))</f>
        <v/>
      </c>
      <c r="N532" s="106" t="str">
        <f>IFERROR(VLOOKUP(特质表!C533,$C$2:$I$173,6,0),IFERROR(VLOOKUP(特质表!D533,$C$2:$I$173,6,0),""))</f>
        <v/>
      </c>
    </row>
    <row r="533" spans="12:14">
      <c r="L533" s="106" t="str">
        <f>IFERROR(VLOOKUP(特质表!C534,$C$2:$I$173,2,0),IFERROR(VLOOKUP(特质表!D534,$C$2:$I$173,2,0),""))</f>
        <v/>
      </c>
      <c r="M533" s="106" t="str">
        <f>IFERROR(VLOOKUP(特质表!C534,$C$2:$I$173,4,0),IFERROR(VLOOKUP(特质表!D534,$C$2:$I$173,4,0),""))</f>
        <v/>
      </c>
      <c r="N533" s="106" t="str">
        <f>IFERROR(VLOOKUP(特质表!C534,$C$2:$I$173,6,0),IFERROR(VLOOKUP(特质表!D534,$C$2:$I$173,6,0),""))</f>
        <v/>
      </c>
    </row>
    <row r="534" spans="12:14">
      <c r="L534" s="106" t="str">
        <f>IFERROR(VLOOKUP(特质表!C535,$C$2:$I$173,2,0),IFERROR(VLOOKUP(特质表!D535,$C$2:$I$173,2,0),""))</f>
        <v/>
      </c>
      <c r="M534" s="106" t="str">
        <f>IFERROR(VLOOKUP(特质表!C535,$C$2:$I$173,4,0),IFERROR(VLOOKUP(特质表!D535,$C$2:$I$173,4,0),""))</f>
        <v/>
      </c>
      <c r="N534" s="106" t="str">
        <f>IFERROR(VLOOKUP(特质表!C535,$C$2:$I$173,6,0),IFERROR(VLOOKUP(特质表!D535,$C$2:$I$173,6,0),""))</f>
        <v/>
      </c>
    </row>
    <row r="535" spans="12:14">
      <c r="L535" s="106" t="str">
        <f>IFERROR(VLOOKUP(特质表!C536,$C$2:$I$173,2,0),IFERROR(VLOOKUP(特质表!D536,$C$2:$I$173,2,0),""))</f>
        <v/>
      </c>
      <c r="M535" s="106" t="str">
        <f>IFERROR(VLOOKUP(特质表!C536,$C$2:$I$173,4,0),IFERROR(VLOOKUP(特质表!D536,$C$2:$I$173,4,0),""))</f>
        <v/>
      </c>
      <c r="N535" s="106" t="str">
        <f>IFERROR(VLOOKUP(特质表!C536,$C$2:$I$173,6,0),IFERROR(VLOOKUP(特质表!D536,$C$2:$I$173,6,0),""))</f>
        <v/>
      </c>
    </row>
    <row r="536" spans="12:14">
      <c r="L536" s="106" t="str">
        <f>IFERROR(VLOOKUP(特质表!C537,$C$2:$I$173,2,0),IFERROR(VLOOKUP(特质表!D537,$C$2:$I$173,2,0),""))</f>
        <v/>
      </c>
      <c r="M536" s="106" t="str">
        <f>IFERROR(VLOOKUP(特质表!C537,$C$2:$I$173,4,0),IFERROR(VLOOKUP(特质表!D537,$C$2:$I$173,4,0),""))</f>
        <v/>
      </c>
      <c r="N536" s="106" t="str">
        <f>IFERROR(VLOOKUP(特质表!C537,$C$2:$I$173,6,0),IFERROR(VLOOKUP(特质表!D537,$C$2:$I$173,6,0),""))</f>
        <v/>
      </c>
    </row>
    <row r="537" spans="12:14">
      <c r="L537" s="106" t="str">
        <f>IFERROR(VLOOKUP(特质表!C538,$C$2:$I$173,2,0),IFERROR(VLOOKUP(特质表!D538,$C$2:$I$173,2,0),""))</f>
        <v/>
      </c>
      <c r="M537" s="106" t="str">
        <f>IFERROR(VLOOKUP(特质表!C538,$C$2:$I$173,4,0),IFERROR(VLOOKUP(特质表!D538,$C$2:$I$173,4,0),""))</f>
        <v/>
      </c>
      <c r="N537" s="106" t="str">
        <f>IFERROR(VLOOKUP(特质表!C538,$C$2:$I$173,6,0),IFERROR(VLOOKUP(特质表!D538,$C$2:$I$173,6,0),""))</f>
        <v/>
      </c>
    </row>
    <row r="538" spans="12:14">
      <c r="L538" s="106" t="str">
        <f>IFERROR(VLOOKUP(特质表!C539,$C$2:$I$173,2,0),IFERROR(VLOOKUP(特质表!D539,$C$2:$I$173,2,0),""))</f>
        <v/>
      </c>
      <c r="M538" s="106" t="str">
        <f>IFERROR(VLOOKUP(特质表!C539,$C$2:$I$173,4,0),IFERROR(VLOOKUP(特质表!D539,$C$2:$I$173,4,0),""))</f>
        <v/>
      </c>
      <c r="N538" s="106" t="str">
        <f>IFERROR(VLOOKUP(特质表!C539,$C$2:$I$173,6,0),IFERROR(VLOOKUP(特质表!D539,$C$2:$I$173,6,0),""))</f>
        <v/>
      </c>
    </row>
    <row r="539" spans="12:14">
      <c r="L539" s="106" t="str">
        <f>IFERROR(VLOOKUP(特质表!C540,$C$2:$I$173,2,0),IFERROR(VLOOKUP(特质表!D540,$C$2:$I$173,2,0),""))</f>
        <v/>
      </c>
      <c r="M539" s="106" t="str">
        <f>IFERROR(VLOOKUP(特质表!C540,$C$2:$I$173,4,0),IFERROR(VLOOKUP(特质表!D540,$C$2:$I$173,4,0),""))</f>
        <v/>
      </c>
      <c r="N539" s="106" t="str">
        <f>IFERROR(VLOOKUP(特质表!C540,$C$2:$I$173,6,0),IFERROR(VLOOKUP(特质表!D540,$C$2:$I$173,6,0),""))</f>
        <v/>
      </c>
    </row>
    <row r="540" spans="12:14">
      <c r="L540" s="106" t="str">
        <f>IFERROR(VLOOKUP(特质表!C541,$C$2:$I$173,2,0),IFERROR(VLOOKUP(特质表!D541,$C$2:$I$173,2,0),""))</f>
        <v/>
      </c>
      <c r="M540" s="106" t="str">
        <f>IFERROR(VLOOKUP(特质表!C541,$C$2:$I$173,4,0),IFERROR(VLOOKUP(特质表!D541,$C$2:$I$173,4,0),""))</f>
        <v/>
      </c>
      <c r="N540" s="106" t="str">
        <f>IFERROR(VLOOKUP(特质表!C541,$C$2:$I$173,6,0),IFERROR(VLOOKUP(特质表!D541,$C$2:$I$173,6,0),""))</f>
        <v/>
      </c>
    </row>
    <row r="541" spans="12:14">
      <c r="L541" s="106" t="str">
        <f>IFERROR(VLOOKUP(特质表!C542,$C$2:$I$173,2,0),IFERROR(VLOOKUP(特质表!D542,$C$2:$I$173,2,0),""))</f>
        <v/>
      </c>
      <c r="M541" s="106" t="str">
        <f>IFERROR(VLOOKUP(特质表!C542,$C$2:$I$173,4,0),IFERROR(VLOOKUP(特质表!D542,$C$2:$I$173,4,0),""))</f>
        <v/>
      </c>
      <c r="N541" s="106" t="str">
        <f>IFERROR(VLOOKUP(特质表!C542,$C$2:$I$173,6,0),IFERROR(VLOOKUP(特质表!D542,$C$2:$I$173,6,0),""))</f>
        <v/>
      </c>
    </row>
    <row r="542" spans="12:14">
      <c r="L542" s="106" t="str">
        <f>IFERROR(VLOOKUP(特质表!C543,$C$2:$I$173,2,0),IFERROR(VLOOKUP(特质表!D543,$C$2:$I$173,2,0),""))</f>
        <v/>
      </c>
      <c r="M542" s="106" t="str">
        <f>IFERROR(VLOOKUP(特质表!C543,$C$2:$I$173,4,0),IFERROR(VLOOKUP(特质表!D543,$C$2:$I$173,4,0),""))</f>
        <v/>
      </c>
      <c r="N542" s="106" t="str">
        <f>IFERROR(VLOOKUP(特质表!C543,$C$2:$I$173,6,0),IFERROR(VLOOKUP(特质表!D543,$C$2:$I$173,6,0),""))</f>
        <v/>
      </c>
    </row>
    <row r="543" spans="12:14">
      <c r="L543" s="106" t="str">
        <f>IFERROR(VLOOKUP(特质表!C544,$C$2:$I$173,2,0),IFERROR(VLOOKUP(特质表!D544,$C$2:$I$173,2,0),""))</f>
        <v/>
      </c>
      <c r="M543" s="106" t="str">
        <f>IFERROR(VLOOKUP(特质表!C544,$C$2:$I$173,4,0),IFERROR(VLOOKUP(特质表!D544,$C$2:$I$173,4,0),""))</f>
        <v/>
      </c>
      <c r="N543" s="106" t="str">
        <f>IFERROR(VLOOKUP(特质表!C544,$C$2:$I$173,6,0),IFERROR(VLOOKUP(特质表!D544,$C$2:$I$173,6,0),""))</f>
        <v/>
      </c>
    </row>
    <row r="544" spans="12:14">
      <c r="L544" s="106" t="str">
        <f>IFERROR(VLOOKUP(特质表!C545,$C$2:$I$173,2,0),IFERROR(VLOOKUP(特质表!D545,$C$2:$I$173,2,0),""))</f>
        <v/>
      </c>
      <c r="M544" s="106" t="str">
        <f>IFERROR(VLOOKUP(特质表!C545,$C$2:$I$173,4,0),IFERROR(VLOOKUP(特质表!D545,$C$2:$I$173,4,0),""))</f>
        <v/>
      </c>
      <c r="N544" s="106" t="str">
        <f>IFERROR(VLOOKUP(特质表!C545,$C$2:$I$173,6,0),IFERROR(VLOOKUP(特质表!D545,$C$2:$I$173,6,0),""))</f>
        <v/>
      </c>
    </row>
    <row r="545" spans="12:14">
      <c r="L545" s="106" t="str">
        <f>IFERROR(VLOOKUP(特质表!C546,$C$2:$I$173,2,0),IFERROR(VLOOKUP(特质表!D546,$C$2:$I$173,2,0),""))</f>
        <v/>
      </c>
      <c r="M545" s="106" t="str">
        <f>IFERROR(VLOOKUP(特质表!C546,$C$2:$I$173,4,0),IFERROR(VLOOKUP(特质表!D546,$C$2:$I$173,4,0),""))</f>
        <v/>
      </c>
      <c r="N545" s="106" t="str">
        <f>IFERROR(VLOOKUP(特质表!C546,$C$2:$I$173,6,0),IFERROR(VLOOKUP(特质表!D546,$C$2:$I$173,6,0),""))</f>
        <v/>
      </c>
    </row>
    <row r="546" spans="12:14">
      <c r="L546" s="106" t="str">
        <f>IFERROR(VLOOKUP(特质表!C547,$C$2:$I$173,2,0),IFERROR(VLOOKUP(特质表!D547,$C$2:$I$173,2,0),""))</f>
        <v/>
      </c>
      <c r="M546" s="106" t="str">
        <f>IFERROR(VLOOKUP(特质表!C547,$C$2:$I$173,4,0),IFERROR(VLOOKUP(特质表!D547,$C$2:$I$173,4,0),""))</f>
        <v/>
      </c>
      <c r="N546" s="106" t="str">
        <f>IFERROR(VLOOKUP(特质表!C547,$C$2:$I$173,6,0),IFERROR(VLOOKUP(特质表!D547,$C$2:$I$173,6,0),""))</f>
        <v/>
      </c>
    </row>
    <row r="547" spans="12:14">
      <c r="L547" s="106" t="str">
        <f>IFERROR(VLOOKUP(特质表!C548,$C$2:$I$173,2,0),IFERROR(VLOOKUP(特质表!D548,$C$2:$I$173,2,0),""))</f>
        <v/>
      </c>
      <c r="M547" s="106" t="str">
        <f>IFERROR(VLOOKUP(特质表!C548,$C$2:$I$173,4,0),IFERROR(VLOOKUP(特质表!D548,$C$2:$I$173,4,0),""))</f>
        <v/>
      </c>
      <c r="N547" s="106" t="str">
        <f>IFERROR(VLOOKUP(特质表!C548,$C$2:$I$173,6,0),IFERROR(VLOOKUP(特质表!D548,$C$2:$I$173,6,0),""))</f>
        <v/>
      </c>
    </row>
    <row r="548" spans="12:14">
      <c r="L548" s="106" t="str">
        <f>IFERROR(VLOOKUP(特质表!C549,$C$2:$I$173,2,0),IFERROR(VLOOKUP(特质表!D549,$C$2:$I$173,2,0),""))</f>
        <v/>
      </c>
      <c r="M548" s="106" t="str">
        <f>IFERROR(VLOOKUP(特质表!C549,$C$2:$I$173,4,0),IFERROR(VLOOKUP(特质表!D549,$C$2:$I$173,4,0),""))</f>
        <v/>
      </c>
      <c r="N548" s="106" t="str">
        <f>IFERROR(VLOOKUP(特质表!C549,$C$2:$I$173,6,0),IFERROR(VLOOKUP(特质表!D549,$C$2:$I$173,6,0),""))</f>
        <v/>
      </c>
    </row>
    <row r="549" spans="12:14">
      <c r="L549" s="106" t="str">
        <f>IFERROR(VLOOKUP(特质表!C550,$C$2:$I$173,2,0),IFERROR(VLOOKUP(特质表!D550,$C$2:$I$173,2,0),""))</f>
        <v/>
      </c>
      <c r="M549" s="106" t="str">
        <f>IFERROR(VLOOKUP(特质表!C550,$C$2:$I$173,4,0),IFERROR(VLOOKUP(特质表!D550,$C$2:$I$173,4,0),""))</f>
        <v/>
      </c>
      <c r="N549" s="106" t="str">
        <f>IFERROR(VLOOKUP(特质表!C550,$C$2:$I$173,6,0),IFERROR(VLOOKUP(特质表!D550,$C$2:$I$173,6,0),""))</f>
        <v/>
      </c>
    </row>
    <row r="550" spans="12:14">
      <c r="L550" s="106" t="str">
        <f>IFERROR(VLOOKUP(特质表!C551,$C$2:$I$173,2,0),IFERROR(VLOOKUP(特质表!D551,$C$2:$I$173,2,0),""))</f>
        <v/>
      </c>
      <c r="M550" s="106" t="str">
        <f>IFERROR(VLOOKUP(特质表!C551,$C$2:$I$173,4,0),IFERROR(VLOOKUP(特质表!D551,$C$2:$I$173,4,0),""))</f>
        <v/>
      </c>
      <c r="N550" s="106" t="str">
        <f>IFERROR(VLOOKUP(特质表!C551,$C$2:$I$173,6,0),IFERROR(VLOOKUP(特质表!D551,$C$2:$I$173,6,0),""))</f>
        <v/>
      </c>
    </row>
    <row r="551" spans="12:14">
      <c r="L551" s="106" t="str">
        <f>IFERROR(VLOOKUP(特质表!C552,$C$2:$I$173,2,0),IFERROR(VLOOKUP(特质表!D552,$C$2:$I$173,2,0),""))</f>
        <v/>
      </c>
      <c r="M551" s="106" t="str">
        <f>IFERROR(VLOOKUP(特质表!C552,$C$2:$I$173,4,0),IFERROR(VLOOKUP(特质表!D552,$C$2:$I$173,4,0),""))</f>
        <v/>
      </c>
      <c r="N551" s="106" t="str">
        <f>IFERROR(VLOOKUP(特质表!C552,$C$2:$I$173,6,0),IFERROR(VLOOKUP(特质表!D552,$C$2:$I$173,6,0),""))</f>
        <v/>
      </c>
    </row>
    <row r="552" spans="12:14">
      <c r="L552" s="106" t="str">
        <f>IFERROR(VLOOKUP(特质表!C553,$C$2:$I$173,2,0),IFERROR(VLOOKUP(特质表!D553,$C$2:$I$173,2,0),""))</f>
        <v/>
      </c>
      <c r="M552" s="106" t="str">
        <f>IFERROR(VLOOKUP(特质表!C553,$C$2:$I$173,4,0),IFERROR(VLOOKUP(特质表!D553,$C$2:$I$173,4,0),""))</f>
        <v/>
      </c>
      <c r="N552" s="106" t="str">
        <f>IFERROR(VLOOKUP(特质表!C553,$C$2:$I$173,6,0),IFERROR(VLOOKUP(特质表!D553,$C$2:$I$173,6,0),""))</f>
        <v/>
      </c>
    </row>
    <row r="553" spans="12:14">
      <c r="L553" s="106" t="str">
        <f>IFERROR(VLOOKUP(特质表!C554,$C$2:$I$173,2,0),IFERROR(VLOOKUP(特质表!D554,$C$2:$I$173,2,0),""))</f>
        <v/>
      </c>
      <c r="M553" s="106" t="str">
        <f>IFERROR(VLOOKUP(特质表!C554,$C$2:$I$173,4,0),IFERROR(VLOOKUP(特质表!D554,$C$2:$I$173,4,0),""))</f>
        <v/>
      </c>
      <c r="N553" s="106" t="str">
        <f>IFERROR(VLOOKUP(特质表!C554,$C$2:$I$173,6,0),IFERROR(VLOOKUP(特质表!D554,$C$2:$I$173,6,0),""))</f>
        <v/>
      </c>
    </row>
    <row r="554" spans="12:14">
      <c r="L554" s="106" t="str">
        <f>IFERROR(VLOOKUP(特质表!C555,$C$2:$I$173,2,0),IFERROR(VLOOKUP(特质表!D555,$C$2:$I$173,2,0),""))</f>
        <v/>
      </c>
      <c r="M554" s="106" t="str">
        <f>IFERROR(VLOOKUP(特质表!C555,$C$2:$I$173,4,0),IFERROR(VLOOKUP(特质表!D555,$C$2:$I$173,4,0),""))</f>
        <v/>
      </c>
      <c r="N554" s="106" t="str">
        <f>IFERROR(VLOOKUP(特质表!C555,$C$2:$I$173,6,0),IFERROR(VLOOKUP(特质表!D555,$C$2:$I$173,6,0),""))</f>
        <v/>
      </c>
    </row>
    <row r="555" spans="12:14">
      <c r="L555" s="106" t="str">
        <f>IFERROR(VLOOKUP(特质表!C556,$C$2:$I$173,2,0),IFERROR(VLOOKUP(特质表!D556,$C$2:$I$173,2,0),""))</f>
        <v/>
      </c>
      <c r="M555" s="106" t="str">
        <f>IFERROR(VLOOKUP(特质表!C556,$C$2:$I$173,4,0),IFERROR(VLOOKUP(特质表!D556,$C$2:$I$173,4,0),""))</f>
        <v/>
      </c>
      <c r="N555" s="106" t="str">
        <f>IFERROR(VLOOKUP(特质表!C556,$C$2:$I$173,6,0),IFERROR(VLOOKUP(特质表!D556,$C$2:$I$173,6,0),""))</f>
        <v/>
      </c>
    </row>
    <row r="556" spans="12:14">
      <c r="L556" s="106" t="str">
        <f>IFERROR(VLOOKUP(特质表!C557,$C$2:$I$173,2,0),IFERROR(VLOOKUP(特质表!D557,$C$2:$I$173,2,0),""))</f>
        <v/>
      </c>
      <c r="M556" s="106" t="str">
        <f>IFERROR(VLOOKUP(特质表!C557,$C$2:$I$173,4,0),IFERROR(VLOOKUP(特质表!D557,$C$2:$I$173,4,0),""))</f>
        <v/>
      </c>
      <c r="N556" s="106" t="str">
        <f>IFERROR(VLOOKUP(特质表!C557,$C$2:$I$173,6,0),IFERROR(VLOOKUP(特质表!D557,$C$2:$I$173,6,0),""))</f>
        <v/>
      </c>
    </row>
    <row r="557" spans="12:14">
      <c r="L557" s="106" t="str">
        <f>IFERROR(VLOOKUP(特质表!C558,$C$2:$I$173,2,0),IFERROR(VLOOKUP(特质表!D558,$C$2:$I$173,2,0),""))</f>
        <v/>
      </c>
      <c r="M557" s="106" t="str">
        <f>IFERROR(VLOOKUP(特质表!C558,$C$2:$I$173,4,0),IFERROR(VLOOKUP(特质表!D558,$C$2:$I$173,4,0),""))</f>
        <v/>
      </c>
      <c r="N557" s="106" t="str">
        <f>IFERROR(VLOOKUP(特质表!C558,$C$2:$I$173,6,0),IFERROR(VLOOKUP(特质表!D558,$C$2:$I$173,6,0),""))</f>
        <v/>
      </c>
    </row>
    <row r="558" spans="12:14">
      <c r="L558" s="106" t="str">
        <f>IFERROR(VLOOKUP(特质表!C559,$C$2:$I$173,2,0),IFERROR(VLOOKUP(特质表!D559,$C$2:$I$173,2,0),""))</f>
        <v/>
      </c>
      <c r="M558" s="106" t="str">
        <f>IFERROR(VLOOKUP(特质表!C559,$C$2:$I$173,4,0),IFERROR(VLOOKUP(特质表!D559,$C$2:$I$173,4,0),""))</f>
        <v/>
      </c>
      <c r="N558" s="106" t="str">
        <f>IFERROR(VLOOKUP(特质表!C559,$C$2:$I$173,6,0),IFERROR(VLOOKUP(特质表!D559,$C$2:$I$173,6,0),""))</f>
        <v/>
      </c>
    </row>
    <row r="559" spans="12:14">
      <c r="L559" s="106" t="str">
        <f>IFERROR(VLOOKUP(特质表!C560,$C$2:$I$173,2,0),IFERROR(VLOOKUP(特质表!D560,$C$2:$I$173,2,0),""))</f>
        <v/>
      </c>
      <c r="M559" s="106" t="str">
        <f>IFERROR(VLOOKUP(特质表!C560,$C$2:$I$173,4,0),IFERROR(VLOOKUP(特质表!D560,$C$2:$I$173,4,0),""))</f>
        <v/>
      </c>
      <c r="N559" s="106" t="str">
        <f>IFERROR(VLOOKUP(特质表!C560,$C$2:$I$173,6,0),IFERROR(VLOOKUP(特质表!D560,$C$2:$I$173,6,0),""))</f>
        <v/>
      </c>
    </row>
    <row r="560" spans="12:14">
      <c r="L560" s="106" t="str">
        <f>IFERROR(VLOOKUP(特质表!C561,$C$2:$I$173,2,0),IFERROR(VLOOKUP(特质表!D561,$C$2:$I$173,2,0),""))</f>
        <v/>
      </c>
      <c r="M560" s="106" t="str">
        <f>IFERROR(VLOOKUP(特质表!C561,$C$2:$I$173,4,0),IFERROR(VLOOKUP(特质表!D561,$C$2:$I$173,4,0),""))</f>
        <v/>
      </c>
      <c r="N560" s="106" t="str">
        <f>IFERROR(VLOOKUP(特质表!C561,$C$2:$I$173,6,0),IFERROR(VLOOKUP(特质表!D561,$C$2:$I$173,6,0),""))</f>
        <v/>
      </c>
    </row>
    <row r="561" spans="12:14">
      <c r="L561" s="106" t="str">
        <f>IFERROR(VLOOKUP(特质表!C562,$C$2:$I$173,2,0),IFERROR(VLOOKUP(特质表!D562,$C$2:$I$173,2,0),""))</f>
        <v/>
      </c>
      <c r="M561" s="106" t="str">
        <f>IFERROR(VLOOKUP(特质表!C562,$C$2:$I$173,4,0),IFERROR(VLOOKUP(特质表!D562,$C$2:$I$173,4,0),""))</f>
        <v/>
      </c>
      <c r="N561" s="106" t="str">
        <f>IFERROR(VLOOKUP(特质表!C562,$C$2:$I$173,6,0),IFERROR(VLOOKUP(特质表!D562,$C$2:$I$173,6,0),""))</f>
        <v/>
      </c>
    </row>
    <row r="562" spans="12:14">
      <c r="L562" s="106" t="str">
        <f>IFERROR(VLOOKUP(特质表!C563,$C$2:$I$173,2,0),IFERROR(VLOOKUP(特质表!D563,$C$2:$I$173,2,0),""))</f>
        <v/>
      </c>
      <c r="M562" s="106" t="str">
        <f>IFERROR(VLOOKUP(特质表!C563,$C$2:$I$173,4,0),IFERROR(VLOOKUP(特质表!D563,$C$2:$I$173,4,0),""))</f>
        <v/>
      </c>
      <c r="N562" s="106" t="str">
        <f>IFERROR(VLOOKUP(特质表!C563,$C$2:$I$173,6,0),IFERROR(VLOOKUP(特质表!D563,$C$2:$I$173,6,0),""))</f>
        <v/>
      </c>
    </row>
    <row r="563" spans="12:14">
      <c r="L563" s="106" t="str">
        <f>IFERROR(VLOOKUP(特质表!C564,$C$2:$I$173,2,0),IFERROR(VLOOKUP(特质表!D564,$C$2:$I$173,2,0),""))</f>
        <v/>
      </c>
      <c r="M563" s="106" t="str">
        <f>IFERROR(VLOOKUP(特质表!C564,$C$2:$I$173,4,0),IFERROR(VLOOKUP(特质表!D564,$C$2:$I$173,4,0),""))</f>
        <v/>
      </c>
      <c r="N563" s="106" t="str">
        <f>IFERROR(VLOOKUP(特质表!C564,$C$2:$I$173,6,0),IFERROR(VLOOKUP(特质表!D564,$C$2:$I$173,6,0),""))</f>
        <v/>
      </c>
    </row>
    <row r="564" spans="12:14">
      <c r="L564" s="106" t="str">
        <f>IFERROR(VLOOKUP(特质表!C565,$C$2:$I$173,2,0),IFERROR(VLOOKUP(特质表!D565,$C$2:$I$173,2,0),""))</f>
        <v/>
      </c>
      <c r="M564" s="106" t="str">
        <f>IFERROR(VLOOKUP(特质表!C565,$C$2:$I$173,4,0),IFERROR(VLOOKUP(特质表!D565,$C$2:$I$173,4,0),""))</f>
        <v/>
      </c>
      <c r="N564" s="106" t="str">
        <f>IFERROR(VLOOKUP(特质表!C565,$C$2:$I$173,6,0),IFERROR(VLOOKUP(特质表!D565,$C$2:$I$173,6,0),""))</f>
        <v/>
      </c>
    </row>
    <row r="565" spans="12:14">
      <c r="L565" s="106" t="str">
        <f>IFERROR(VLOOKUP(特质表!C566,$C$2:$I$173,2,0),IFERROR(VLOOKUP(特质表!D566,$C$2:$I$173,2,0),""))</f>
        <v/>
      </c>
      <c r="M565" s="106" t="str">
        <f>IFERROR(VLOOKUP(特质表!C566,$C$2:$I$173,4,0),IFERROR(VLOOKUP(特质表!D566,$C$2:$I$173,4,0),""))</f>
        <v/>
      </c>
      <c r="N565" s="106" t="str">
        <f>IFERROR(VLOOKUP(特质表!C566,$C$2:$I$173,6,0),IFERROR(VLOOKUP(特质表!D566,$C$2:$I$173,6,0),""))</f>
        <v/>
      </c>
    </row>
    <row r="566" spans="12:14">
      <c r="L566" s="106" t="str">
        <f>IFERROR(VLOOKUP(特质表!C567,$C$2:$I$173,2,0),IFERROR(VLOOKUP(特质表!D567,$C$2:$I$173,2,0),""))</f>
        <v/>
      </c>
      <c r="M566" s="106" t="str">
        <f>IFERROR(VLOOKUP(特质表!C567,$C$2:$I$173,4,0),IFERROR(VLOOKUP(特质表!D567,$C$2:$I$173,4,0),""))</f>
        <v/>
      </c>
      <c r="N566" s="106" t="str">
        <f>IFERROR(VLOOKUP(特质表!C567,$C$2:$I$173,6,0),IFERROR(VLOOKUP(特质表!D567,$C$2:$I$173,6,0),""))</f>
        <v/>
      </c>
    </row>
    <row r="567" spans="12:14">
      <c r="L567" s="106" t="str">
        <f>IFERROR(VLOOKUP(特质表!C568,$C$2:$I$173,2,0),IFERROR(VLOOKUP(特质表!D568,$C$2:$I$173,2,0),""))</f>
        <v/>
      </c>
      <c r="M567" s="106" t="str">
        <f>IFERROR(VLOOKUP(特质表!C568,$C$2:$I$173,4,0),IFERROR(VLOOKUP(特质表!D568,$C$2:$I$173,4,0),""))</f>
        <v/>
      </c>
      <c r="N567" s="106" t="str">
        <f>IFERROR(VLOOKUP(特质表!C568,$C$2:$I$173,6,0),IFERROR(VLOOKUP(特质表!D568,$C$2:$I$173,6,0),""))</f>
        <v/>
      </c>
    </row>
    <row r="568" spans="12:14">
      <c r="L568" s="106" t="str">
        <f>IFERROR(VLOOKUP(特质表!C569,$C$2:$I$173,2,0),IFERROR(VLOOKUP(特质表!D569,$C$2:$I$173,2,0),""))</f>
        <v/>
      </c>
      <c r="M568" s="106" t="str">
        <f>IFERROR(VLOOKUP(特质表!C569,$C$2:$I$173,4,0),IFERROR(VLOOKUP(特质表!D569,$C$2:$I$173,4,0),""))</f>
        <v/>
      </c>
      <c r="N568" s="106" t="str">
        <f>IFERROR(VLOOKUP(特质表!C569,$C$2:$I$173,6,0),IFERROR(VLOOKUP(特质表!D569,$C$2:$I$173,6,0),""))</f>
        <v/>
      </c>
    </row>
    <row r="569" spans="12:14">
      <c r="L569" s="106" t="str">
        <f>IFERROR(VLOOKUP(特质表!C570,$C$2:$I$173,2,0),IFERROR(VLOOKUP(特质表!D570,$C$2:$I$173,2,0),""))</f>
        <v/>
      </c>
      <c r="M569" s="106" t="str">
        <f>IFERROR(VLOOKUP(特质表!C570,$C$2:$I$173,4,0),IFERROR(VLOOKUP(特质表!D570,$C$2:$I$173,4,0),""))</f>
        <v/>
      </c>
      <c r="N569" s="106" t="str">
        <f>IFERROR(VLOOKUP(特质表!C570,$C$2:$I$173,6,0),IFERROR(VLOOKUP(特质表!D570,$C$2:$I$173,6,0),""))</f>
        <v/>
      </c>
    </row>
    <row r="570" spans="12:14">
      <c r="L570" s="106" t="str">
        <f>IFERROR(VLOOKUP(特质表!C571,$C$2:$I$173,2,0),IFERROR(VLOOKUP(特质表!D571,$C$2:$I$173,2,0),""))</f>
        <v/>
      </c>
      <c r="M570" s="106" t="str">
        <f>IFERROR(VLOOKUP(特质表!C571,$C$2:$I$173,4,0),IFERROR(VLOOKUP(特质表!D571,$C$2:$I$173,4,0),""))</f>
        <v/>
      </c>
      <c r="N570" s="106" t="str">
        <f>IFERROR(VLOOKUP(特质表!C571,$C$2:$I$173,6,0),IFERROR(VLOOKUP(特质表!D571,$C$2:$I$173,6,0),""))</f>
        <v/>
      </c>
    </row>
    <row r="571" spans="12:14">
      <c r="L571" s="106" t="str">
        <f>IFERROR(VLOOKUP(特质表!C572,$C$2:$I$173,2,0),IFERROR(VLOOKUP(特质表!D572,$C$2:$I$173,2,0),""))</f>
        <v/>
      </c>
      <c r="M571" s="106" t="str">
        <f>IFERROR(VLOOKUP(特质表!C572,$C$2:$I$173,4,0),IFERROR(VLOOKUP(特质表!D572,$C$2:$I$173,4,0),""))</f>
        <v/>
      </c>
      <c r="N571" s="106" t="str">
        <f>IFERROR(VLOOKUP(特质表!C572,$C$2:$I$173,6,0),IFERROR(VLOOKUP(特质表!D572,$C$2:$I$173,6,0),""))</f>
        <v/>
      </c>
    </row>
    <row r="572" spans="12:14">
      <c r="L572" s="106" t="str">
        <f>IFERROR(VLOOKUP(特质表!C573,$C$2:$I$173,2,0),IFERROR(VLOOKUP(特质表!D573,$C$2:$I$173,2,0),""))</f>
        <v/>
      </c>
      <c r="M572" s="106" t="str">
        <f>IFERROR(VLOOKUP(特质表!C573,$C$2:$I$173,4,0),IFERROR(VLOOKUP(特质表!D573,$C$2:$I$173,4,0),""))</f>
        <v/>
      </c>
      <c r="N572" s="106" t="str">
        <f>IFERROR(VLOOKUP(特质表!C573,$C$2:$I$173,6,0),IFERROR(VLOOKUP(特质表!D573,$C$2:$I$173,6,0),""))</f>
        <v/>
      </c>
    </row>
    <row r="573" spans="12:14">
      <c r="L573" s="106" t="str">
        <f>IFERROR(VLOOKUP(特质表!C574,$C$2:$I$173,2,0),IFERROR(VLOOKUP(特质表!D574,$C$2:$I$173,2,0),""))</f>
        <v/>
      </c>
      <c r="M573" s="106" t="str">
        <f>IFERROR(VLOOKUP(特质表!C574,$C$2:$I$173,4,0),IFERROR(VLOOKUP(特质表!D574,$C$2:$I$173,4,0),""))</f>
        <v/>
      </c>
      <c r="N573" s="106" t="str">
        <f>IFERROR(VLOOKUP(特质表!C574,$C$2:$I$173,6,0),IFERROR(VLOOKUP(特质表!D574,$C$2:$I$173,6,0),""))</f>
        <v/>
      </c>
    </row>
    <row r="574" spans="12:14">
      <c r="L574" s="106" t="str">
        <f>IFERROR(VLOOKUP(特质表!C575,$C$2:$I$173,2,0),IFERROR(VLOOKUP(特质表!D575,$C$2:$I$173,2,0),""))</f>
        <v/>
      </c>
      <c r="M574" s="106" t="str">
        <f>IFERROR(VLOOKUP(特质表!C575,$C$2:$I$173,4,0),IFERROR(VLOOKUP(特质表!D575,$C$2:$I$173,4,0),""))</f>
        <v/>
      </c>
      <c r="N574" s="106" t="str">
        <f>IFERROR(VLOOKUP(特质表!C575,$C$2:$I$173,6,0),IFERROR(VLOOKUP(特质表!D575,$C$2:$I$173,6,0),""))</f>
        <v/>
      </c>
    </row>
    <row r="575" spans="12:14">
      <c r="L575" s="106" t="str">
        <f>IFERROR(VLOOKUP(特质表!C576,$C$2:$I$173,2,0),IFERROR(VLOOKUP(特质表!D576,$C$2:$I$173,2,0),""))</f>
        <v/>
      </c>
      <c r="M575" s="106" t="str">
        <f>IFERROR(VLOOKUP(特质表!C576,$C$2:$I$173,4,0),IFERROR(VLOOKUP(特质表!D576,$C$2:$I$173,4,0),""))</f>
        <v/>
      </c>
      <c r="N575" s="106" t="str">
        <f>IFERROR(VLOOKUP(特质表!C576,$C$2:$I$173,6,0),IFERROR(VLOOKUP(特质表!D576,$C$2:$I$173,6,0),""))</f>
        <v/>
      </c>
    </row>
    <row r="576" spans="12:14">
      <c r="L576" s="106" t="str">
        <f>IFERROR(VLOOKUP(特质表!C577,$C$2:$I$173,2,0),IFERROR(VLOOKUP(特质表!D577,$C$2:$I$173,2,0),""))</f>
        <v/>
      </c>
      <c r="M576" s="106" t="str">
        <f>IFERROR(VLOOKUP(特质表!C577,$C$2:$I$173,4,0),IFERROR(VLOOKUP(特质表!D577,$C$2:$I$173,4,0),""))</f>
        <v/>
      </c>
      <c r="N576" s="106" t="str">
        <f>IFERROR(VLOOKUP(特质表!C577,$C$2:$I$173,6,0),IFERROR(VLOOKUP(特质表!D577,$C$2:$I$173,6,0),""))</f>
        <v/>
      </c>
    </row>
    <row r="577" spans="12:14">
      <c r="L577" s="106" t="str">
        <f>IFERROR(VLOOKUP(特质表!C578,$C$2:$I$173,2,0),IFERROR(VLOOKUP(特质表!D578,$C$2:$I$173,2,0),""))</f>
        <v/>
      </c>
      <c r="M577" s="106" t="str">
        <f>IFERROR(VLOOKUP(特质表!C578,$C$2:$I$173,4,0),IFERROR(VLOOKUP(特质表!D578,$C$2:$I$173,4,0),""))</f>
        <v/>
      </c>
      <c r="N577" s="106" t="str">
        <f>IFERROR(VLOOKUP(特质表!C578,$C$2:$I$173,6,0),IFERROR(VLOOKUP(特质表!D578,$C$2:$I$173,6,0),""))</f>
        <v/>
      </c>
    </row>
    <row r="578" spans="12:14">
      <c r="L578" s="106" t="str">
        <f>IFERROR(VLOOKUP(特质表!C579,$C$2:$I$173,2,0),IFERROR(VLOOKUP(特质表!D579,$C$2:$I$173,2,0),""))</f>
        <v/>
      </c>
      <c r="M578" s="106" t="str">
        <f>IFERROR(VLOOKUP(特质表!C579,$C$2:$I$173,4,0),IFERROR(VLOOKUP(特质表!D579,$C$2:$I$173,4,0),""))</f>
        <v/>
      </c>
      <c r="N578" s="106" t="str">
        <f>IFERROR(VLOOKUP(特质表!C579,$C$2:$I$173,6,0),IFERROR(VLOOKUP(特质表!D579,$C$2:$I$173,6,0),""))</f>
        <v/>
      </c>
    </row>
    <row r="579" spans="12:14">
      <c r="L579" s="106" t="str">
        <f>IFERROR(VLOOKUP(特质表!C661,$C$2:$I$173,2,0),IFERROR(VLOOKUP(特质表!D661,$C$2:$I$173,2,0),""))</f>
        <v/>
      </c>
      <c r="M579" s="106" t="str">
        <f>IFERROR(VLOOKUP(特质表!C661,$C$2:$I$173,4,0),IFERROR(VLOOKUP(特质表!D661,$C$2:$I$173,4,0),""))</f>
        <v/>
      </c>
      <c r="N579" s="106" t="str">
        <f>IFERROR(VLOOKUP(特质表!C661,$C$2:$I$173,6,0),IFERROR(VLOOKUP(特质表!D661,$C$2:$I$173,6,0),""))</f>
        <v/>
      </c>
    </row>
    <row r="580" spans="12:14">
      <c r="L580" s="106" t="str">
        <f>IFERROR(VLOOKUP(特质表!C662,$C$2:$I$173,2,0),IFERROR(VLOOKUP(特质表!D662,$C$2:$I$173,2,0),""))</f>
        <v/>
      </c>
      <c r="M580" s="106" t="str">
        <f>IFERROR(VLOOKUP(特质表!C662,$C$2:$I$173,4,0),IFERROR(VLOOKUP(特质表!D662,$C$2:$I$173,4,0),""))</f>
        <v/>
      </c>
      <c r="N580" s="106" t="str">
        <f>IFERROR(VLOOKUP(特质表!C662,$C$2:$I$173,6,0),IFERROR(VLOOKUP(特质表!D662,$C$2:$I$173,6,0),""))</f>
        <v/>
      </c>
    </row>
    <row r="581" spans="12:14">
      <c r="L581" s="106" t="str">
        <f>IFERROR(VLOOKUP(特质表!C663,$C$2:$I$173,2,0),IFERROR(VLOOKUP(特质表!D663,$C$2:$I$173,2,0),""))</f>
        <v/>
      </c>
      <c r="M581" s="106" t="str">
        <f>IFERROR(VLOOKUP(特质表!C663,$C$2:$I$173,4,0),IFERROR(VLOOKUP(特质表!D663,$C$2:$I$173,4,0),""))</f>
        <v/>
      </c>
      <c r="N581" s="106" t="str">
        <f>IFERROR(VLOOKUP(特质表!C663,$C$2:$I$173,6,0),IFERROR(VLOOKUP(特质表!D663,$C$2:$I$173,6,0),""))</f>
        <v/>
      </c>
    </row>
    <row r="582" spans="12:14">
      <c r="L582" s="106" t="str">
        <f>IFERROR(VLOOKUP(特质表!C664,$C$2:$I$173,2,0),IFERROR(VLOOKUP(特质表!D664,$C$2:$I$173,2,0),""))</f>
        <v/>
      </c>
      <c r="M582" s="106" t="str">
        <f>IFERROR(VLOOKUP(特质表!C664,$C$2:$I$173,4,0),IFERROR(VLOOKUP(特质表!D664,$C$2:$I$173,4,0),""))</f>
        <v/>
      </c>
      <c r="N582" s="106" t="str">
        <f>IFERROR(VLOOKUP(特质表!C664,$C$2:$I$173,6,0),IFERROR(VLOOKUP(特质表!D664,$C$2:$I$173,6,0),""))</f>
        <v/>
      </c>
    </row>
    <row r="583" spans="12:14">
      <c r="L583" s="106" t="str">
        <f>IFERROR(VLOOKUP(特质表!C665,$C$2:$I$173,2,0),IFERROR(VLOOKUP(特质表!D665,$C$2:$I$173,2,0),""))</f>
        <v/>
      </c>
      <c r="M583" s="106" t="str">
        <f>IFERROR(VLOOKUP(特质表!C665,$C$2:$I$173,4,0),IFERROR(VLOOKUP(特质表!D665,$C$2:$I$173,4,0),""))</f>
        <v/>
      </c>
      <c r="N583" s="106" t="str">
        <f>IFERROR(VLOOKUP(特质表!C665,$C$2:$I$173,6,0),IFERROR(VLOOKUP(特质表!D665,$C$2:$I$173,6,0),""))</f>
        <v/>
      </c>
    </row>
    <row r="584" spans="12:14">
      <c r="L584" s="106" t="str">
        <f>IFERROR(VLOOKUP(特质表!C666,$C$2:$I$173,2,0),IFERROR(VLOOKUP(特质表!D666,$C$2:$I$173,2,0),""))</f>
        <v/>
      </c>
      <c r="M584" s="106" t="str">
        <f>IFERROR(VLOOKUP(特质表!C666,$C$2:$I$173,4,0),IFERROR(VLOOKUP(特质表!D666,$C$2:$I$173,4,0),""))</f>
        <v/>
      </c>
      <c r="N584" s="106" t="str">
        <f>IFERROR(VLOOKUP(特质表!C666,$C$2:$I$173,6,0),IFERROR(VLOOKUP(特质表!D666,$C$2:$I$173,6,0),""))</f>
        <v/>
      </c>
    </row>
    <row r="585" spans="12:14">
      <c r="L585" s="106" t="str">
        <f>IFERROR(VLOOKUP(特质表!C667,$C$2:$I$173,2,0),IFERROR(VLOOKUP(特质表!D667,$C$2:$I$173,2,0),""))</f>
        <v/>
      </c>
      <c r="M585" s="106" t="str">
        <f>IFERROR(VLOOKUP(特质表!C667,$C$2:$I$173,4,0),IFERROR(VLOOKUP(特质表!D667,$C$2:$I$173,4,0),""))</f>
        <v/>
      </c>
      <c r="N585" s="106" t="str">
        <f>IFERROR(VLOOKUP(特质表!C667,$C$2:$I$173,6,0),IFERROR(VLOOKUP(特质表!D667,$C$2:$I$173,6,0),""))</f>
        <v/>
      </c>
    </row>
    <row r="586" spans="12:14">
      <c r="L586" s="106" t="str">
        <f>IFERROR(VLOOKUP(特质表!C668,$C$2:$I$173,2,0),IFERROR(VLOOKUP(特质表!D668,$C$2:$I$173,2,0),""))</f>
        <v/>
      </c>
      <c r="M586" s="106" t="str">
        <f>IFERROR(VLOOKUP(特质表!C668,$C$2:$I$173,4,0),IFERROR(VLOOKUP(特质表!D668,$C$2:$I$173,4,0),""))</f>
        <v/>
      </c>
      <c r="N586" s="106" t="str">
        <f>IFERROR(VLOOKUP(特质表!C668,$C$2:$I$173,6,0),IFERROR(VLOOKUP(特质表!D668,$C$2:$I$173,6,0),""))</f>
        <v/>
      </c>
    </row>
    <row r="587" spans="12:14">
      <c r="L587" s="106" t="str">
        <f>IFERROR(VLOOKUP(特质表!C669,$C$2:$I$173,2,0),IFERROR(VLOOKUP(特质表!D669,$C$2:$I$173,2,0),""))</f>
        <v/>
      </c>
      <c r="M587" s="106" t="str">
        <f>IFERROR(VLOOKUP(特质表!C669,$C$2:$I$173,4,0),IFERROR(VLOOKUP(特质表!D669,$C$2:$I$173,4,0),""))</f>
        <v/>
      </c>
      <c r="N587" s="106" t="str">
        <f>IFERROR(VLOOKUP(特质表!C669,$C$2:$I$173,6,0),IFERROR(VLOOKUP(特质表!D669,$C$2:$I$173,6,0),""))</f>
        <v/>
      </c>
    </row>
    <row r="588" spans="12:14">
      <c r="L588" s="106" t="str">
        <f>IFERROR(VLOOKUP(特质表!C670,$C$2:$I$173,2,0),IFERROR(VLOOKUP(特质表!D670,$C$2:$I$173,2,0),""))</f>
        <v/>
      </c>
      <c r="M588" s="106" t="str">
        <f>IFERROR(VLOOKUP(特质表!C670,$C$2:$I$173,4,0),IFERROR(VLOOKUP(特质表!D670,$C$2:$I$173,4,0),""))</f>
        <v/>
      </c>
      <c r="N588" s="106" t="str">
        <f>IFERROR(VLOOKUP(特质表!C670,$C$2:$I$173,6,0),IFERROR(VLOOKUP(特质表!D670,$C$2:$I$173,6,0),""))</f>
        <v/>
      </c>
    </row>
    <row r="589" spans="12:14">
      <c r="L589" s="106" t="str">
        <f>IFERROR(VLOOKUP(特质表!C671,$C$2:$I$173,2,0),IFERROR(VLOOKUP(特质表!D671,$C$2:$I$173,2,0),""))</f>
        <v/>
      </c>
      <c r="M589" s="106" t="str">
        <f>IFERROR(VLOOKUP(特质表!C671,$C$2:$I$173,4,0),IFERROR(VLOOKUP(特质表!D671,$C$2:$I$173,4,0),""))</f>
        <v/>
      </c>
      <c r="N589" s="106" t="str">
        <f>IFERROR(VLOOKUP(特质表!C671,$C$2:$I$173,6,0),IFERROR(VLOOKUP(特质表!D671,$C$2:$I$173,6,0),""))</f>
        <v/>
      </c>
    </row>
    <row r="590" spans="12:14">
      <c r="L590" s="106" t="str">
        <f>IFERROR(VLOOKUP(特质表!C672,$C$2:$I$173,2,0),IFERROR(VLOOKUP(特质表!D672,$C$2:$I$173,2,0),""))</f>
        <v/>
      </c>
      <c r="M590" s="106" t="str">
        <f>IFERROR(VLOOKUP(特质表!C672,$C$2:$I$173,4,0),IFERROR(VLOOKUP(特质表!D672,$C$2:$I$173,4,0),""))</f>
        <v/>
      </c>
      <c r="N590" s="106" t="str">
        <f>IFERROR(VLOOKUP(特质表!C672,$C$2:$I$173,6,0),IFERROR(VLOOKUP(特质表!D672,$C$2:$I$173,6,0),""))</f>
        <v/>
      </c>
    </row>
    <row r="591" spans="12:14">
      <c r="L591" s="106" t="str">
        <f>IFERROR(VLOOKUP(特质表!C673,$C$2:$I$173,2,0),IFERROR(VLOOKUP(特质表!D673,$C$2:$I$173,2,0),""))</f>
        <v/>
      </c>
      <c r="M591" s="106" t="str">
        <f>IFERROR(VLOOKUP(特质表!C673,$C$2:$I$173,4,0),IFERROR(VLOOKUP(特质表!D673,$C$2:$I$173,4,0),""))</f>
        <v/>
      </c>
      <c r="N591" s="106" t="str">
        <f>IFERROR(VLOOKUP(特质表!C673,$C$2:$I$173,6,0),IFERROR(VLOOKUP(特质表!D673,$C$2:$I$173,6,0),""))</f>
        <v/>
      </c>
    </row>
    <row r="592" spans="12:14">
      <c r="L592" s="106" t="str">
        <f>IFERROR(VLOOKUP(特质表!C674,$C$2:$I$173,2,0),IFERROR(VLOOKUP(特质表!D674,$C$2:$I$173,2,0),""))</f>
        <v/>
      </c>
      <c r="M592" s="106" t="str">
        <f>IFERROR(VLOOKUP(特质表!C674,$C$2:$I$173,4,0),IFERROR(VLOOKUP(特质表!D674,$C$2:$I$173,4,0),""))</f>
        <v/>
      </c>
      <c r="N592" s="106" t="str">
        <f>IFERROR(VLOOKUP(特质表!C674,$C$2:$I$173,6,0),IFERROR(VLOOKUP(特质表!D674,$C$2:$I$173,6,0),""))</f>
        <v/>
      </c>
    </row>
    <row r="593" spans="12:14">
      <c r="L593" s="106" t="str">
        <f>IFERROR(VLOOKUP(特质表!C675,$C$2:$I$173,2,0),IFERROR(VLOOKUP(特质表!D675,$C$2:$I$173,2,0),""))</f>
        <v/>
      </c>
      <c r="M593" s="106" t="str">
        <f>IFERROR(VLOOKUP(特质表!C675,$C$2:$I$173,4,0),IFERROR(VLOOKUP(特质表!D675,$C$2:$I$173,4,0),""))</f>
        <v/>
      </c>
      <c r="N593" s="106" t="str">
        <f>IFERROR(VLOOKUP(特质表!C675,$C$2:$I$173,6,0),IFERROR(VLOOKUP(特质表!D675,$C$2:$I$173,6,0),""))</f>
        <v/>
      </c>
    </row>
    <row r="594" spans="12:14">
      <c r="L594" s="106" t="str">
        <f>IFERROR(VLOOKUP(特质表!C676,$C$2:$I$173,2,0),IFERROR(VLOOKUP(特质表!D676,$C$2:$I$173,2,0),""))</f>
        <v/>
      </c>
      <c r="M594" s="106" t="str">
        <f>IFERROR(VLOOKUP(特质表!C676,$C$2:$I$173,4,0),IFERROR(VLOOKUP(特质表!D676,$C$2:$I$173,4,0),""))</f>
        <v/>
      </c>
      <c r="N594" s="106" t="str">
        <f>IFERROR(VLOOKUP(特质表!C676,$C$2:$I$173,6,0),IFERROR(VLOOKUP(特质表!D676,$C$2:$I$173,6,0),""))</f>
        <v/>
      </c>
    </row>
    <row r="595" spans="12:14">
      <c r="L595" s="106" t="str">
        <f>IFERROR(VLOOKUP(特质表!C677,$C$2:$I$173,2,0),IFERROR(VLOOKUP(特质表!D677,$C$2:$I$173,2,0),""))</f>
        <v/>
      </c>
      <c r="M595" s="106" t="str">
        <f>IFERROR(VLOOKUP(特质表!C677,$C$2:$I$173,4,0),IFERROR(VLOOKUP(特质表!D677,$C$2:$I$173,4,0),""))</f>
        <v/>
      </c>
      <c r="N595" s="106" t="str">
        <f>IFERROR(VLOOKUP(特质表!C677,$C$2:$I$173,6,0),IFERROR(VLOOKUP(特质表!D677,$C$2:$I$173,6,0),""))</f>
        <v/>
      </c>
    </row>
    <row r="596" spans="12:14">
      <c r="L596" s="106" t="str">
        <f>IFERROR(VLOOKUP(特质表!C678,$C$2:$I$173,2,0),IFERROR(VLOOKUP(特质表!D678,$C$2:$I$173,2,0),""))</f>
        <v/>
      </c>
      <c r="M596" s="106" t="str">
        <f>IFERROR(VLOOKUP(特质表!C678,$C$2:$I$173,4,0),IFERROR(VLOOKUP(特质表!D678,$C$2:$I$173,4,0),""))</f>
        <v/>
      </c>
      <c r="N596" s="106" t="str">
        <f>IFERROR(VLOOKUP(特质表!C678,$C$2:$I$173,6,0),IFERROR(VLOOKUP(特质表!D678,$C$2:$I$173,6,0),""))</f>
        <v/>
      </c>
    </row>
    <row r="597" spans="12:14">
      <c r="L597" s="106" t="str">
        <f>IFERROR(VLOOKUP(特质表!C679,$C$2:$I$173,2,0),IFERROR(VLOOKUP(特质表!D679,$C$2:$I$173,2,0),""))</f>
        <v/>
      </c>
      <c r="M597" s="106" t="str">
        <f>IFERROR(VLOOKUP(特质表!C679,$C$2:$I$173,4,0),IFERROR(VLOOKUP(特质表!D679,$C$2:$I$173,4,0),""))</f>
        <v/>
      </c>
      <c r="N597" s="106" t="str">
        <f>IFERROR(VLOOKUP(特质表!C679,$C$2:$I$173,6,0),IFERROR(VLOOKUP(特质表!D679,$C$2:$I$173,6,0),""))</f>
        <v/>
      </c>
    </row>
    <row r="598" spans="12:14">
      <c r="L598" s="106" t="str">
        <f>IFERROR(VLOOKUP(特质表!C680,$C$2:$I$173,2,0),IFERROR(VLOOKUP(特质表!D680,$C$2:$I$173,2,0),""))</f>
        <v/>
      </c>
      <c r="M598" s="106" t="str">
        <f>IFERROR(VLOOKUP(特质表!C680,$C$2:$I$173,4,0),IFERROR(VLOOKUP(特质表!D680,$C$2:$I$173,4,0),""))</f>
        <v/>
      </c>
      <c r="N598" s="106" t="str">
        <f>IFERROR(VLOOKUP(特质表!C680,$C$2:$I$173,6,0),IFERROR(VLOOKUP(特质表!D680,$C$2:$I$173,6,0),""))</f>
        <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sheetPr>
  <dimension ref="B1:AY203"/>
  <sheetViews>
    <sheetView showGridLines="0" zoomScale="55" zoomScaleNormal="55" topLeftCell="U1" workbookViewId="0">
      <selection activeCell="X34" sqref="X34"/>
    </sheetView>
  </sheetViews>
  <sheetFormatPr defaultColWidth="3" defaultRowHeight="13.8"/>
  <cols>
    <col min="1" max="15" width="5.63888888888889" style="70" hidden="1" customWidth="1"/>
    <col min="16" max="16" width="12.6481481481481" style="70" hidden="1" customWidth="1"/>
    <col min="17" max="17" width="5.64814814814815" style="70" hidden="1" customWidth="1"/>
    <col min="18" max="18" width="16.6018518518519" style="70" hidden="1" customWidth="1"/>
    <col min="19" max="19" width="5.64814814814815" style="70" hidden="1" customWidth="1"/>
    <col min="20" max="20" width="3" style="70" hidden="1" customWidth="1"/>
    <col min="21" max="21" width="10.5925925925926" style="71" customWidth="1"/>
    <col min="22" max="22" width="10.4814814814815" style="72" customWidth="1"/>
    <col min="23" max="27" width="14.6481481481481" style="70" customWidth="1"/>
    <col min="28" max="32" width="5.63888888888889" style="70" customWidth="1"/>
    <col min="33" max="16384" width="3" style="70"/>
  </cols>
  <sheetData>
    <row r="1" s="68" customFormat="1" ht="18" customHeight="1" spans="2:29">
      <c r="U1" s="72" t="s">
        <v>48</v>
      </c>
      <c r="V1" s="72" t="str">
        <f>主卡!AR10</f>
        <v>阶段零</v>
      </c>
    </row>
    <row r="2" s="68" customFormat="1" ht="40.5" customHeight="1" spans="2:29">
      <c r="B2" s="73" t="s">
        <v>12</v>
      </c>
      <c r="C2" s="74"/>
      <c r="D2" s="74"/>
      <c r="E2" s="74"/>
      <c r="F2" s="74"/>
      <c r="G2" s="74"/>
      <c r="H2" s="74"/>
      <c r="I2" s="74"/>
      <c r="J2" s="74"/>
      <c r="K2" s="74"/>
      <c r="L2" s="74"/>
      <c r="M2" s="74"/>
      <c r="N2" s="74"/>
      <c r="O2" s="74"/>
      <c r="P2" s="73" t="s">
        <v>76</v>
      </c>
      <c r="Q2" s="74"/>
      <c r="R2" s="74"/>
      <c r="S2" s="74"/>
      <c r="U2" s="72"/>
      <c r="V2" s="75" cm="1">
        <f t="array" ref="V2">_xlfn.IFS(V1="阶段零",0,V1="阶段一",1,V1="阶段二",2)</f>
        <v>0</v>
      </c>
    </row>
    <row r="3" s="68" customFormat="1" ht="18" customHeight="1" spans="2:29">
      <c r="P3" s="70" t="str">
        <f>主卡!B27</f>
        <v>◎</v>
      </c>
      <c r="Q3" s="70"/>
      <c r="R3" s="68">
        <f>主卡!B36</f>
        <v>0</v>
      </c>
      <c r="U3" s="72" t="s">
        <v>2128</v>
      </c>
      <c r="V3" s="72" t="s">
        <v>83</v>
      </c>
      <c r="W3" s="72" t="s">
        <v>92</v>
      </c>
      <c r="X3" s="72" t="s">
        <v>97</v>
      </c>
      <c r="Y3" s="72" t="s">
        <v>101</v>
      </c>
      <c r="Z3" s="72" t="s">
        <v>107</v>
      </c>
      <c r="AA3" s="72" t="s">
        <v>112</v>
      </c>
      <c r="AB3" s="72" t="s">
        <v>116</v>
      </c>
      <c r="AC3" s="72" t="s">
        <v>121</v>
      </c>
    </row>
    <row r="4" s="68" customFormat="1" spans="2:29">
      <c r="P4" s="70">
        <f>主卡!B28</f>
        <v>0</v>
      </c>
      <c r="U4" s="72"/>
      <c r="V4" s="72" t="s">
        <v>84</v>
      </c>
      <c r="W4" s="76" t="s">
        <v>93</v>
      </c>
      <c r="X4" s="76" t="s">
        <v>98</v>
      </c>
      <c r="Y4" s="76" t="s">
        <v>102</v>
      </c>
      <c r="Z4" s="76" t="s">
        <v>108</v>
      </c>
      <c r="AA4" s="72"/>
      <c r="AB4" s="72"/>
      <c r="AC4" s="72"/>
    </row>
    <row r="5" s="68" customFormat="1" ht="18" customHeight="1" spans="2:29">
      <c r="B5" s="68" t="s">
        <v>2129</v>
      </c>
      <c r="P5" s="70">
        <f>主卡!B29</f>
        <v>0</v>
      </c>
      <c r="U5" s="72"/>
      <c r="V5" s="72" t="s">
        <v>85</v>
      </c>
      <c r="W5" s="72" t="s">
        <v>94</v>
      </c>
      <c r="X5" s="72" t="s">
        <v>99</v>
      </c>
      <c r="Y5" s="72" t="s">
        <v>103</v>
      </c>
      <c r="Z5" s="72" t="s">
        <v>109</v>
      </c>
      <c r="AA5" s="72"/>
      <c r="AB5" s="72"/>
      <c r="AC5" s="72"/>
    </row>
    <row r="6" s="68" customFormat="1" ht="18" customHeight="1" spans="2:29">
      <c r="B6" s="68" t="s">
        <v>2130</v>
      </c>
      <c r="F6" s="68" t="s">
        <v>2131</v>
      </c>
      <c r="G6" s="68" t="s">
        <v>2132</v>
      </c>
      <c r="H6" s="68" t="s">
        <v>88</v>
      </c>
      <c r="J6" s="68" t="s">
        <v>2133</v>
      </c>
      <c r="K6" s="68" t="s">
        <v>2134</v>
      </c>
      <c r="L6" s="68" t="s">
        <v>2135</v>
      </c>
      <c r="M6" s="68" t="s">
        <v>2136</v>
      </c>
      <c r="N6" s="68" t="s">
        <v>2137</v>
      </c>
      <c r="O6" s="68" t="s">
        <v>2138</v>
      </c>
      <c r="P6" s="70">
        <f>主卡!B30</f>
        <v>0</v>
      </c>
      <c r="U6" s="72"/>
      <c r="V6" s="72" t="s">
        <v>1572</v>
      </c>
      <c r="W6" s="72" t="str">
        <f>主卡!X27</f>
        <v>施术</v>
      </c>
      <c r="X6" s="72">
        <f>主卡!X28</f>
        <v>0</v>
      </c>
      <c r="Y6" s="72">
        <f>主卡!X29</f>
        <v>0</v>
      </c>
      <c r="Z6" s="72">
        <f>主卡!X30</f>
        <v>0</v>
      </c>
      <c r="AA6" s="72"/>
      <c r="AB6" s="72"/>
      <c r="AC6" s="72"/>
    </row>
    <row r="7" s="68" customFormat="1" ht="18" customHeight="1" spans="2:29">
      <c r="B7" s="68" t="s">
        <v>2139</v>
      </c>
      <c r="C7" s="68" t="s">
        <v>2140</v>
      </c>
      <c r="D7" s="68" t="s">
        <v>2141</v>
      </c>
      <c r="E7" s="68" t="s">
        <v>2142</v>
      </c>
      <c r="P7" s="70">
        <f>主卡!B31</f>
        <v>0</v>
      </c>
      <c r="U7" s="72" t="s">
        <v>2143</v>
      </c>
      <c r="V7" s="72">
        <f>主卡!AH37</f>
        <v>0</v>
      </c>
      <c r="W7" s="72" t="e">
        <f>VLOOKUP($V$7,$V$3:$AC$6,2,0)</f>
        <v>#N/A</v>
      </c>
      <c r="X7" s="72" t="e">
        <f>VLOOKUP($V$7,$V$3:$AC$6,3,0)</f>
        <v>#N/A</v>
      </c>
      <c r="Y7" s="72" t="e">
        <f>VLOOKUP($V$7,$V$3:$AC$6,4,0)</f>
        <v>#N/A</v>
      </c>
      <c r="Z7" s="72" t="e">
        <f>VLOOKUP($V$7,$V$3:$AC$6,5,0)</f>
        <v>#N/A</v>
      </c>
      <c r="AA7" s="72" t="e">
        <f>VLOOKUP($V$7,$V$3:$AC$6,6,0)</f>
        <v>#N/A</v>
      </c>
      <c r="AB7" s="72" t="e">
        <f>VLOOKUP($V$7,$V$3:$AC$6,7,0)</f>
        <v>#N/A</v>
      </c>
      <c r="AC7" s="72" t="e">
        <f>VLOOKUP($V$7,$V$3:$AC$6,8,0)</f>
        <v>#N/A</v>
      </c>
    </row>
    <row r="8" s="68" customFormat="1" ht="18" customHeight="1" spans="2:29">
      <c r="P8" s="70">
        <f>主卡!B32</f>
        <v>0</v>
      </c>
      <c r="U8" s="72"/>
      <c r="V8" s="77"/>
    </row>
    <row r="9" s="68" customFormat="1" ht="18" customHeight="1" spans="2:29">
      <c r="P9" s="70">
        <f>主卡!B33</f>
        <v>0</v>
      </c>
      <c r="U9" s="72" t="s">
        <v>2144</v>
      </c>
      <c r="V9" s="72" t="s">
        <v>128</v>
      </c>
    </row>
    <row r="10" s="68" customFormat="1" ht="18" customHeight="1" spans="2:29">
      <c r="P10" s="70"/>
      <c r="U10" s="72"/>
      <c r="V10" s="72" t="s">
        <v>84</v>
      </c>
    </row>
    <row r="11" s="68" customFormat="1" ht="18" customHeight="1" spans="2:29">
      <c r="P11" s="70"/>
      <c r="U11" s="72"/>
      <c r="V11" s="72" t="s">
        <v>85</v>
      </c>
    </row>
    <row r="12" s="68" customFormat="1" ht="18" customHeight="1" spans="2:29">
      <c r="P12" s="70"/>
      <c r="U12" s="72"/>
      <c r="V12" s="72" t="s">
        <v>1572</v>
      </c>
    </row>
    <row r="13" s="68" customFormat="1" ht="18" customHeight="1" spans="2:29">
      <c r="P13" s="70"/>
      <c r="U13" s="72"/>
      <c r="V13" s="72" t="s">
        <v>113</v>
      </c>
    </row>
    <row r="14" s="68" customFormat="1" ht="18" customHeight="1" spans="2:29">
      <c r="P14" s="70"/>
      <c r="U14" s="72"/>
      <c r="V14" s="72"/>
    </row>
    <row r="15" s="68" customFormat="1" ht="18" customHeight="1" spans="2:29">
      <c r="U15" s="72" t="s">
        <v>2145</v>
      </c>
      <c r="V15" s="72" t="s">
        <v>2146</v>
      </c>
    </row>
    <row r="16" s="68" customFormat="1" ht="18" customHeight="1" spans="2:29">
      <c r="U16" s="72"/>
      <c r="V16" s="72" t="s">
        <v>2147</v>
      </c>
    </row>
    <row r="17" s="68" customFormat="1" ht="18" customHeight="1" spans="21:22">
      <c r="U17" s="72"/>
      <c r="V17" s="72" t="s">
        <v>2148</v>
      </c>
    </row>
    <row r="18" s="68" customFormat="1" ht="18" customHeight="1" spans="21:22">
      <c r="U18" s="72"/>
      <c r="V18" s="72" t="s">
        <v>2149</v>
      </c>
    </row>
    <row r="19" s="68" customFormat="1" ht="18" customHeight="1" spans="21:22">
      <c r="U19" s="72"/>
      <c r="V19" s="72" t="s">
        <v>2150</v>
      </c>
    </row>
    <row r="20" s="68" customFormat="1" ht="18" customHeight="1" spans="21:22">
      <c r="U20" s="72"/>
      <c r="V20" s="72" t="s">
        <v>2151</v>
      </c>
    </row>
    <row r="21" s="68" customFormat="1" ht="18" customHeight="1" spans="21:22">
      <c r="U21" s="72"/>
      <c r="V21" s="72" t="s">
        <v>2152</v>
      </c>
    </row>
    <row r="22" s="68" customFormat="1" ht="18" customHeight="1" spans="21:22">
      <c r="U22" s="72"/>
      <c r="V22" s="72" t="s">
        <v>2153</v>
      </c>
    </row>
    <row r="23" s="68" customFormat="1" ht="18" customHeight="1" spans="21:22">
      <c r="U23" s="72"/>
      <c r="V23" s="72" t="s">
        <v>2154</v>
      </c>
    </row>
    <row r="24" s="68" customFormat="1" ht="18" customHeight="1" spans="21:22">
      <c r="U24" s="72"/>
      <c r="V24" s="72" t="s">
        <v>2155</v>
      </c>
    </row>
    <row r="25" s="68" customFormat="1" ht="18" customHeight="1" spans="21:22">
      <c r="U25" s="72"/>
      <c r="V25" s="72" t="s">
        <v>2156</v>
      </c>
    </row>
    <row r="26" s="68" customFormat="1" ht="18" customHeight="1" spans="21:22">
      <c r="U26" s="72"/>
      <c r="V26" s="72" t="s">
        <v>2157</v>
      </c>
    </row>
    <row r="27" s="68" customFormat="1" ht="18" customHeight="1" spans="21:22">
      <c r="U27" s="72"/>
      <c r="V27" s="72" t="s">
        <v>2158</v>
      </c>
    </row>
    <row r="28" s="68" customFormat="1" ht="18" customHeight="1" spans="21:22">
      <c r="U28" s="72"/>
      <c r="V28" s="72" t="s">
        <v>235</v>
      </c>
    </row>
    <row r="29" s="68" customFormat="1" ht="18" customHeight="1" spans="21:22">
      <c r="U29" s="72"/>
      <c r="V29" s="72" t="s">
        <v>2159</v>
      </c>
    </row>
    <row r="30" s="68" customFormat="1" ht="18" customHeight="1" spans="21:22">
      <c r="U30" s="72"/>
      <c r="V30" s="72" t="s">
        <v>2160</v>
      </c>
    </row>
    <row r="31" s="68" customFormat="1" ht="18" customHeight="1" spans="21:22">
      <c r="U31" s="72"/>
      <c r="V31" s="72" t="s">
        <v>2161</v>
      </c>
    </row>
    <row r="32" s="68" customFormat="1" ht="18" customHeight="1" spans="21:22">
      <c r="U32" s="72"/>
      <c r="V32" s="72"/>
    </row>
    <row r="33" s="68" customFormat="1" ht="18" customHeight="1" spans="21:24">
      <c r="U33" s="72" t="s">
        <v>138</v>
      </c>
      <c r="V33" s="72">
        <v>4</v>
      </c>
    </row>
    <row r="34" s="68" customFormat="1" ht="18" customHeight="1" spans="21:24">
      <c r="U34" s="72"/>
      <c r="V34" s="72">
        <v>6</v>
      </c>
    </row>
    <row r="35" s="68" customFormat="1" ht="18" customHeight="1" spans="21:24">
      <c r="U35" s="72"/>
      <c r="V35" s="72">
        <v>8</v>
      </c>
    </row>
    <row r="36" s="68" customFormat="1" ht="18" customHeight="1" spans="21:24">
      <c r="U36" s="72"/>
      <c r="V36" s="72">
        <v>10</v>
      </c>
    </row>
    <row r="37" s="68" customFormat="1" ht="18" customHeight="1" spans="21:24">
      <c r="U37" s="72" t="s">
        <v>2162</v>
      </c>
      <c r="V37" s="72" t="s">
        <v>92</v>
      </c>
    </row>
    <row r="38" s="68" customFormat="1" ht="18" customHeight="1" spans="21:24">
      <c r="U38" s="72"/>
      <c r="V38" s="72" t="s">
        <v>94</v>
      </c>
    </row>
    <row r="39" s="68" customFormat="1" ht="18" customHeight="1" spans="21:24">
      <c r="U39" s="72"/>
      <c r="V39" s="72" t="s">
        <v>93</v>
      </c>
    </row>
    <row r="40" s="68" customFormat="1" ht="18" customHeight="1" spans="21:24">
      <c r="U40" s="72"/>
      <c r="V40" s="72" t="s">
        <v>95</v>
      </c>
    </row>
    <row r="41" s="68" customFormat="1" ht="18" customHeight="1" spans="21:24">
      <c r="U41" s="72"/>
      <c r="V41" s="72"/>
    </row>
    <row r="42" s="68" customFormat="1" ht="50" customHeight="1" spans="21:24">
      <c r="U42" s="72" t="s">
        <v>2163</v>
      </c>
      <c r="V42" s="72">
        <v>0</v>
      </c>
      <c r="W42" s="72" t="str">
        <f>_xlfn.DISPIMG("ID_BA663A558C624BFBB40300DD5F36B5A5",1)</f>
        <v>=DISPIMG("ID_BA663A558C624BFBB40300DD5F36B5A5",1)</v>
      </c>
    </row>
    <row r="43" s="68" customFormat="1" ht="50" customHeight="1" spans="21:24">
      <c r="U43" s="72"/>
      <c r="V43" s="72">
        <v>1</v>
      </c>
      <c r="W43" s="72" t="str">
        <f>_xlfn.DISPIMG("ID_A93FE7EE100F48948D7BCFF440D7B5BC",1)</f>
        <v>=DISPIMG("ID_A93FE7EE100F48948D7BCFF440D7B5BC",1)</v>
      </c>
    </row>
    <row r="44" s="68" customFormat="1" ht="50" customHeight="1" spans="21:24">
      <c r="U44" s="72"/>
      <c r="V44" s="72">
        <v>2</v>
      </c>
      <c r="W44" s="72" t="str">
        <f>_xlfn.DISPIMG("ID_425B65ED5B2144EAB89C32A70D1876EA",1)</f>
        <v>=DISPIMG("ID_425B65ED5B2144EAB89C32A70D1876EA",1)</v>
      </c>
    </row>
    <row r="45" s="68" customFormat="1" ht="18" customHeight="1" spans="21:24">
      <c r="U45" s="75" t="s">
        <v>2164</v>
      </c>
      <c r="V45" s="72" t="str">
        <f>_xlfn.DISPIMG("ID_A27648123EE64797A59A87ECD7AE0E88",1)</f>
        <v>=DISPIMG("ID_A27648123EE64797A59A87ECD7AE0E88",1)</v>
      </c>
    </row>
    <row r="46" s="68" customFormat="1" ht="18" customHeight="1" spans="21:24">
      <c r="U46" s="78"/>
      <c r="V46" s="72" t="s">
        <v>2165</v>
      </c>
    </row>
    <row r="47" s="68" customFormat="1" ht="18" customHeight="1" spans="21:24">
      <c r="U47" s="77"/>
      <c r="V47" s="72"/>
    </row>
    <row r="48" s="68" customFormat="1" ht="18" customHeight="1" spans="21:24">
      <c r="U48" s="72"/>
      <c r="V48" s="72" t="s">
        <v>1574</v>
      </c>
      <c r="W48" s="68" t="s">
        <v>2166</v>
      </c>
      <c r="X48" s="68" t="s">
        <v>2167</v>
      </c>
    </row>
    <row r="49" s="68" customFormat="1" ht="18" customHeight="1" spans="21:24">
      <c r="U49" s="75" t="s">
        <v>2168</v>
      </c>
      <c r="V49" s="72">
        <v>1</v>
      </c>
      <c r="W49" s="72">
        <v>3</v>
      </c>
      <c r="X49" s="72">
        <f>SUM(W49)</f>
        <v>3</v>
      </c>
    </row>
    <row r="50" s="68" customFormat="1" ht="18" customHeight="1" spans="21:24">
      <c r="U50" s="78"/>
      <c r="V50" s="72">
        <v>2</v>
      </c>
      <c r="W50" s="72">
        <v>1</v>
      </c>
      <c r="X50" s="72">
        <f>SUM($W$49:W50)</f>
        <v>4</v>
      </c>
    </row>
    <row r="51" s="68" customFormat="1" ht="18" customHeight="1" spans="21:24">
      <c r="U51" s="78"/>
      <c r="V51" s="72">
        <v>3</v>
      </c>
      <c r="W51" s="72">
        <v>0</v>
      </c>
      <c r="X51" s="72">
        <f>SUM($W$49:W51)</f>
        <v>4</v>
      </c>
    </row>
    <row r="52" s="68" customFormat="1" ht="18" customHeight="1" spans="21:24">
      <c r="U52" s="78"/>
      <c r="V52" s="72">
        <v>4</v>
      </c>
      <c r="W52" s="72">
        <v>1</v>
      </c>
      <c r="X52" s="72">
        <f>SUM($W$49:W52)</f>
        <v>5</v>
      </c>
    </row>
    <row r="53" s="68" customFormat="1" ht="18" customHeight="1" spans="21:24">
      <c r="U53" s="78"/>
      <c r="V53" s="72">
        <v>5</v>
      </c>
      <c r="W53" s="72">
        <v>0</v>
      </c>
      <c r="X53" s="72">
        <f>SUM($W$49:W53)</f>
        <v>5</v>
      </c>
    </row>
    <row r="54" s="68" customFormat="1" ht="18" customHeight="1" spans="21:24">
      <c r="U54" s="78"/>
      <c r="V54" s="72">
        <v>6</v>
      </c>
      <c r="W54" s="72">
        <v>3</v>
      </c>
      <c r="X54" s="72">
        <f>SUM($W$49:W54)</f>
        <v>8</v>
      </c>
    </row>
    <row r="55" s="68" customFormat="1" ht="18" customHeight="1" spans="21:24">
      <c r="U55" s="78"/>
      <c r="V55" s="72">
        <v>7</v>
      </c>
      <c r="W55" s="72">
        <v>1</v>
      </c>
      <c r="X55" s="72">
        <f>SUM($W$49:W55)</f>
        <v>9</v>
      </c>
    </row>
    <row r="56" s="68" customFormat="1" ht="18" customHeight="1" spans="21:24">
      <c r="U56" s="78"/>
      <c r="V56" s="72">
        <v>8</v>
      </c>
      <c r="W56" s="72">
        <v>0</v>
      </c>
      <c r="X56" s="72">
        <f>SUM($W$49:W56)</f>
        <v>9</v>
      </c>
    </row>
    <row r="57" s="68" customFormat="1" ht="18" customHeight="1" spans="21:24">
      <c r="U57" s="78"/>
      <c r="V57" s="72">
        <v>9</v>
      </c>
      <c r="W57" s="72">
        <v>1</v>
      </c>
      <c r="X57" s="72">
        <f>SUM($W$49:W57)</f>
        <v>10</v>
      </c>
    </row>
    <row r="58" s="68" customFormat="1" ht="18" customHeight="1" spans="21:24">
      <c r="U58" s="78"/>
      <c r="V58" s="72">
        <v>10</v>
      </c>
      <c r="W58" s="72">
        <v>0</v>
      </c>
      <c r="X58" s="72">
        <f>SUM($W$49:W58)</f>
        <v>10</v>
      </c>
    </row>
    <row r="59" s="68" customFormat="1" ht="18" customHeight="1" spans="21:24">
      <c r="U59" s="78"/>
      <c r="V59" s="72">
        <v>11</v>
      </c>
      <c r="W59" s="72">
        <v>3</v>
      </c>
      <c r="X59" s="72">
        <f>SUM($W$49:W59)</f>
        <v>13</v>
      </c>
    </row>
    <row r="60" s="68" customFormat="1" ht="18" customHeight="1" spans="21:24">
      <c r="U60" s="78"/>
      <c r="V60" s="72">
        <v>12</v>
      </c>
      <c r="W60" s="72">
        <v>1</v>
      </c>
      <c r="X60" s="72">
        <f>SUM($W$49:W60)</f>
        <v>14</v>
      </c>
    </row>
    <row r="61" s="68" customFormat="1" ht="18" customHeight="1" spans="21:24">
      <c r="U61" s="78"/>
      <c r="V61" s="72">
        <v>13</v>
      </c>
      <c r="W61" s="72">
        <v>0</v>
      </c>
      <c r="X61" s="72">
        <f>SUM($W$49:W61)</f>
        <v>14</v>
      </c>
    </row>
    <row r="62" s="68" customFormat="1" ht="18" customHeight="1" spans="21:24">
      <c r="U62" s="78"/>
      <c r="V62" s="72">
        <v>14</v>
      </c>
      <c r="W62" s="72">
        <v>1</v>
      </c>
      <c r="X62" s="72">
        <f>SUM($W$49:W62)</f>
        <v>15</v>
      </c>
    </row>
    <row r="63" ht="18" customHeight="1" spans="21:24">
      <c r="U63" s="78"/>
      <c r="V63" s="72">
        <v>15</v>
      </c>
      <c r="W63" s="72">
        <v>0</v>
      </c>
      <c r="X63" s="72">
        <f>SUM($W$49:W63)</f>
        <v>15</v>
      </c>
    </row>
    <row r="64" ht="18" customHeight="1" spans="21:24">
      <c r="U64" s="78"/>
      <c r="V64" s="72">
        <v>16</v>
      </c>
      <c r="W64" s="72">
        <v>0</v>
      </c>
      <c r="X64" s="72">
        <f>SUM($W$49:W64)</f>
        <v>15</v>
      </c>
    </row>
    <row r="65" ht="18" customHeight="1" spans="21:33">
      <c r="U65" s="78"/>
      <c r="V65" s="72">
        <v>17</v>
      </c>
      <c r="W65" s="72">
        <v>0</v>
      </c>
      <c r="X65" s="72">
        <f>SUM($W$49:W65)</f>
        <v>15</v>
      </c>
    </row>
    <row r="66" ht="18" customHeight="1" spans="21:33">
      <c r="U66" s="77"/>
      <c r="V66" s="72">
        <v>18</v>
      </c>
      <c r="W66" s="72">
        <v>0</v>
      </c>
      <c r="X66" s="72">
        <f>SUM($W$49:W66)</f>
        <v>15</v>
      </c>
    </row>
    <row r="67" ht="18" customHeight="1" spans="21:33">
      <c r="U67" s="75" t="s">
        <v>2169</v>
      </c>
      <c r="V67" s="72">
        <f>ROUNDDOWN(SQRT(主卡!H10/24)*100,0)</f>
        <v>0</v>
      </c>
    </row>
    <row r="68" ht="18" customHeight="1" spans="21:33">
      <c r="U68" s="78"/>
      <c r="V68" s="72">
        <f>ROUNDDOWN(SQRT(主卡!H10/18)*100,0)</f>
        <v>0</v>
      </c>
    </row>
    <row r="69" ht="18" customHeight="1" spans="21:33">
      <c r="U69" s="78"/>
      <c r="V69" s="72" cm="1">
        <f ca="1" t="array" ref="V69">(主卡!Q4+主卡!Q6)*3+20+IFERROR(_xlfn.IFS(主卡!D5="男性",5,主卡!D5="女性",-5,主卡!D5="其他",0),0)</f>
        <v>50</v>
      </c>
    </row>
    <row r="70" ht="18" customHeight="1" spans="21:33">
      <c r="U70" s="78"/>
      <c r="V70" s="72">
        <f ca="1">V69+10</f>
        <v>60</v>
      </c>
    </row>
    <row r="71" ht="18" customHeight="1" spans="21:33">
      <c r="U71" s="77"/>
      <c r="V71" s="72">
        <f ca="1">V69-10</f>
        <v>40</v>
      </c>
    </row>
    <row r="72" ht="18" customHeight="1" spans="21:33">
      <c r="U72" s="75" t="s">
        <v>2170</v>
      </c>
      <c r="V72" s="72" t="s">
        <v>2171</v>
      </c>
    </row>
    <row r="73" ht="18" customHeight="1" spans="21:33">
      <c r="U73" s="79"/>
      <c r="V73" s="72" t="s">
        <v>2172</v>
      </c>
    </row>
    <row r="74" ht="18" customHeight="1" spans="21:33">
      <c r="U74" s="80"/>
      <c r="V74" s="72" t="s">
        <v>2173</v>
      </c>
    </row>
    <row r="75" ht="18" customHeight="1" spans="21:33">
      <c r="U75" s="81"/>
      <c r="V75" s="75"/>
    </row>
    <row r="76" s="69" customFormat="1" ht="18" customHeight="1" spans="21:33">
      <c r="U76" s="82" t="s">
        <v>2174</v>
      </c>
      <c r="V76" s="7" t="s">
        <v>44</v>
      </c>
      <c r="W76" s="7" t="s">
        <v>46</v>
      </c>
      <c r="X76" s="7" t="s">
        <v>2175</v>
      </c>
      <c r="Y76" s="83" t="s">
        <v>2176</v>
      </c>
      <c r="Z76" s="7"/>
      <c r="AA76" s="83"/>
      <c r="AB76" s="7"/>
      <c r="AC76" s="7"/>
      <c r="AD76" s="7"/>
      <c r="AE76" s="7"/>
      <c r="AF76" s="7"/>
      <c r="AG76" s="7"/>
    </row>
    <row r="77" s="69" customFormat="1" ht="18" customHeight="1" spans="21:33">
      <c r="U77" s="84"/>
      <c r="V77" s="7" t="s">
        <v>2177</v>
      </c>
      <c r="W77" s="83" t="s">
        <v>2178</v>
      </c>
      <c r="X77" s="83" t="s">
        <v>2179</v>
      </c>
      <c r="Y77" s="7" t="s">
        <v>2180</v>
      </c>
      <c r="Z77" s="7" t="s">
        <v>2181</v>
      </c>
      <c r="AA77" s="7" t="s">
        <v>2182</v>
      </c>
      <c r="AC77" s="7"/>
      <c r="AE77" s="7"/>
      <c r="AF77" s="7"/>
      <c r="AG77" s="7"/>
    </row>
    <row r="78" s="69" customFormat="1" ht="18" customHeight="1" spans="21:33">
      <c r="U78" s="84"/>
      <c r="V78" s="7" t="s">
        <v>2183</v>
      </c>
      <c r="W78" s="7" t="s">
        <v>2184</v>
      </c>
      <c r="X78" s="7" t="s">
        <v>2185</v>
      </c>
      <c r="Y78" s="83" t="s">
        <v>2186</v>
      </c>
      <c r="AC78" s="7"/>
      <c r="AD78" s="7"/>
      <c r="AE78" s="7"/>
      <c r="AF78" s="7"/>
      <c r="AG78" s="7"/>
    </row>
    <row r="79" s="69" customFormat="1" ht="18" customHeight="1" spans="21:33">
      <c r="U79" s="84"/>
      <c r="V79" s="7" t="s">
        <v>2187</v>
      </c>
      <c r="W79" s="7" t="s">
        <v>2188</v>
      </c>
      <c r="X79" s="85" t="s">
        <v>2189</v>
      </c>
      <c r="Y79" s="7"/>
      <c r="Z79" s="7"/>
      <c r="AA79" s="7"/>
      <c r="AD79" s="7"/>
      <c r="AE79" s="7"/>
      <c r="AF79" s="7"/>
      <c r="AG79" s="7"/>
    </row>
    <row r="80" s="69" customFormat="1" ht="18" customHeight="1" spans="21:33">
      <c r="U80" s="84"/>
      <c r="V80" s="7" t="s">
        <v>2190</v>
      </c>
      <c r="W80" s="83" t="s">
        <v>2191</v>
      </c>
      <c r="X80" s="7" t="s">
        <v>2192</v>
      </c>
      <c r="Y80" s="7" t="s">
        <v>2193</v>
      </c>
      <c r="AB80" s="7"/>
      <c r="AC80" s="7"/>
      <c r="AD80" s="7"/>
      <c r="AE80" s="7"/>
      <c r="AF80" s="7"/>
      <c r="AG80" s="7"/>
    </row>
    <row r="81" s="69" customFormat="1" ht="18" customHeight="1" spans="21:51">
      <c r="U81" s="84"/>
      <c r="V81" s="7" t="s">
        <v>2194</v>
      </c>
      <c r="W81" s="7" t="s">
        <v>2195</v>
      </c>
      <c r="X81" s="7" t="s">
        <v>2196</v>
      </c>
      <c r="Y81" s="7" t="s">
        <v>2197</v>
      </c>
      <c r="AA81" s="7"/>
      <c r="AD81" s="7"/>
      <c r="AE81" s="7"/>
      <c r="AF81" s="7"/>
      <c r="AG81" s="7"/>
    </row>
    <row r="82" s="69" customFormat="1" ht="18" customHeight="1" spans="21:51">
      <c r="U82" s="84"/>
      <c r="V82" s="7" t="s">
        <v>2198</v>
      </c>
      <c r="W82" s="7" t="s">
        <v>2199</v>
      </c>
      <c r="X82" s="7" t="s">
        <v>2200</v>
      </c>
      <c r="Y82" s="7" t="s">
        <v>2201</v>
      </c>
      <c r="Z82" s="7"/>
      <c r="AA82" s="7"/>
      <c r="AB82" s="7"/>
      <c r="AC82" s="7"/>
      <c r="AE82" s="7"/>
      <c r="AF82" s="7"/>
      <c r="AG82" s="7"/>
    </row>
    <row r="83" s="69" customFormat="1" ht="18" customHeight="1" spans="21:51">
      <c r="U83" s="86"/>
      <c r="V83" s="7" t="s">
        <v>2202</v>
      </c>
      <c r="W83" s="7" t="s">
        <v>2203</v>
      </c>
      <c r="X83" s="7" t="s">
        <v>2204</v>
      </c>
      <c r="AA83" s="7"/>
      <c r="AB83" s="7"/>
      <c r="AC83" s="7"/>
      <c r="AD83" s="7"/>
      <c r="AE83" s="7"/>
      <c r="AF83" s="7"/>
      <c r="AG83" s="7"/>
    </row>
    <row r="84" ht="18" customHeight="1" spans="21:51">
      <c r="U84" s="87" t="s">
        <v>2143</v>
      </c>
      <c r="V84" s="77" t="str">
        <f>主卡!D9</f>
        <v>先锋</v>
      </c>
      <c r="W84" s="7" t="str">
        <f>VLOOKUP($V$84,$V$76:$BD$83,2,0)</f>
        <v>冲锋手</v>
      </c>
      <c r="X84" s="7" t="str">
        <f>VLOOKUP($V$84,$V$76:$BD$83,3,0)</f>
        <v>尖兵</v>
      </c>
      <c r="Y84" s="7" t="str">
        <f>VLOOKUP($V$84,$V$76:$BD$83,4,0)</f>
        <v>战术家</v>
      </c>
      <c r="Z84" s="7">
        <f>VLOOKUP($V$84,$V$76:$BD$83,5,0)</f>
        <v>0</v>
      </c>
      <c r="AA84" s="7">
        <f>VLOOKUP($V$84,$V$76:$BD$83,6,0)</f>
        <v>0</v>
      </c>
      <c r="AB84" s="7">
        <f>VLOOKUP($V$84,$V$76:$BD$83,7,0)</f>
        <v>0</v>
      </c>
      <c r="AC84" s="7">
        <f>VLOOKUP($V$84,$V$76:$BD$83,8,0)</f>
        <v>0</v>
      </c>
      <c r="AD84" s="7">
        <f>VLOOKUP($V$84,$V$76:$BD$83,9,0)</f>
        <v>0</v>
      </c>
      <c r="AE84" s="7">
        <f>VLOOKUP($V$84,$V$76:$BD$83,10,0)</f>
        <v>0</v>
      </c>
      <c r="AF84" s="7" t="str">
        <f>VLOOKUP($V$84,$V$76:$BD$83,2,0)</f>
        <v>冲锋手</v>
      </c>
      <c r="AG84" s="7"/>
      <c r="AH84" s="69"/>
      <c r="AI84" s="69"/>
      <c r="AJ84" s="69"/>
      <c r="AK84" s="69"/>
      <c r="AL84" s="69"/>
      <c r="AM84" s="69"/>
      <c r="AN84" s="69"/>
      <c r="AO84" s="69"/>
      <c r="AP84" s="69"/>
      <c r="AQ84" s="69"/>
      <c r="AR84" s="69"/>
      <c r="AS84" s="69"/>
      <c r="AT84" s="69"/>
      <c r="AU84" s="69"/>
      <c r="AV84" s="69"/>
      <c r="AW84" s="69"/>
      <c r="AX84" s="69"/>
      <c r="AY84" s="69"/>
    </row>
    <row r="85" ht="18" customHeight="1"/>
    <row r="86" ht="18" customHeight="1" spans="21:51">
      <c r="U86" s="71" t="s">
        <v>2205</v>
      </c>
    </row>
    <row r="87" spans="21:51">
      <c r="U87" s="71" t="s">
        <v>2206</v>
      </c>
      <c r="V87" s="72" t="s">
        <v>133</v>
      </c>
    </row>
    <row r="89" spans="21:51">
      <c r="U89" s="71" t="s">
        <v>2207</v>
      </c>
      <c r="W89" s="88"/>
      <c r="X89" s="88"/>
      <c r="Y89" s="88"/>
      <c r="Z89" s="88"/>
      <c r="AA89" s="88"/>
    </row>
    <row r="90" ht="15.6" spans="21:51">
      <c r="U90" s="71" t="s">
        <v>2208</v>
      </c>
      <c r="V90" s="89" t="s">
        <v>88</v>
      </c>
      <c r="W90" s="88"/>
      <c r="X90" s="88"/>
      <c r="Y90" s="88"/>
      <c r="Z90" s="88"/>
      <c r="AA90" s="88"/>
    </row>
    <row r="91" spans="21:51">
      <c r="W91" s="88"/>
      <c r="X91" s="88"/>
      <c r="Y91" s="88"/>
      <c r="Z91" s="88"/>
      <c r="AA91" s="88"/>
    </row>
    <row r="92" spans="21:51">
      <c r="U92" s="71" t="s">
        <v>2209</v>
      </c>
      <c r="V92" s="72" t="s">
        <v>249</v>
      </c>
      <c r="W92" s="90" t="s">
        <v>259</v>
      </c>
      <c r="X92" s="91"/>
      <c r="Y92" s="91"/>
      <c r="Z92" s="91"/>
      <c r="AA92" s="91"/>
    </row>
    <row r="93" ht="15.6" spans="21:51">
      <c r="U93" s="92" t="s">
        <v>2210</v>
      </c>
      <c r="V93" s="93" t="s">
        <v>802</v>
      </c>
      <c r="W93" s="77" t="s">
        <v>379</v>
      </c>
      <c r="X93" s="94" t="s">
        <v>805</v>
      </c>
      <c r="Y93" s="88"/>
      <c r="Z93" s="88"/>
      <c r="AA93" s="88"/>
    </row>
    <row r="94" ht="31.2" spans="21:51">
      <c r="U94" s="95"/>
      <c r="V94" s="93" t="s">
        <v>808</v>
      </c>
      <c r="W94" s="93" t="s">
        <v>811</v>
      </c>
      <c r="X94" s="93" t="s">
        <v>814</v>
      </c>
      <c r="Y94" s="88"/>
      <c r="Z94" s="88"/>
      <c r="AA94" s="88"/>
    </row>
    <row r="95" ht="15.6" spans="21:51">
      <c r="U95" s="95"/>
      <c r="V95" s="93" t="s">
        <v>817</v>
      </c>
      <c r="W95" s="72" t="s">
        <v>379</v>
      </c>
      <c r="X95" s="93" t="s">
        <v>820</v>
      </c>
      <c r="Y95" s="88"/>
      <c r="Z95" s="88"/>
      <c r="AA95" s="88"/>
    </row>
    <row r="96" ht="15.6" spans="21:51">
      <c r="U96" s="95"/>
      <c r="V96" s="93" t="s">
        <v>823</v>
      </c>
      <c r="W96" s="72" t="s">
        <v>379</v>
      </c>
      <c r="X96" s="88"/>
      <c r="Y96" s="88"/>
      <c r="Z96" s="88"/>
      <c r="AA96" s="88"/>
    </row>
    <row r="97" ht="15.6" spans="21:27">
      <c r="U97" s="95"/>
      <c r="V97" s="93" t="s">
        <v>826</v>
      </c>
      <c r="W97" s="72" t="s">
        <v>379</v>
      </c>
      <c r="X97" s="93" t="s">
        <v>829</v>
      </c>
      <c r="Y97" s="88"/>
      <c r="Z97" s="88"/>
      <c r="AA97" s="88"/>
    </row>
    <row r="98" ht="15.6" spans="21:27">
      <c r="U98" s="95"/>
      <c r="V98" s="93" t="s">
        <v>832</v>
      </c>
      <c r="W98" s="72" t="s">
        <v>379</v>
      </c>
      <c r="X98" s="93" t="s">
        <v>835</v>
      </c>
      <c r="Y98" s="88"/>
      <c r="Z98" s="88"/>
      <c r="AA98" s="88"/>
    </row>
    <row r="99" ht="15.6" spans="21:27">
      <c r="U99" s="95"/>
      <c r="V99" s="93" t="s">
        <v>838</v>
      </c>
      <c r="W99" s="72" t="s">
        <v>379</v>
      </c>
      <c r="X99" s="88"/>
      <c r="Y99" s="88"/>
      <c r="Z99" s="88"/>
      <c r="AA99" s="88"/>
    </row>
    <row r="100" ht="15.6" spans="21:27">
      <c r="U100" s="95"/>
      <c r="V100" s="93" t="s">
        <v>841</v>
      </c>
      <c r="W100" s="72" t="s">
        <v>379</v>
      </c>
      <c r="X100" s="88"/>
      <c r="Y100" s="88"/>
      <c r="Z100" s="88"/>
      <c r="AA100" s="88"/>
    </row>
    <row r="101" ht="15.6" spans="21:27">
      <c r="U101" s="95"/>
      <c r="V101" s="93" t="s">
        <v>844</v>
      </c>
      <c r="W101" s="72" t="s">
        <v>379</v>
      </c>
      <c r="X101" s="93" t="s">
        <v>847</v>
      </c>
      <c r="Y101" s="88"/>
      <c r="Z101" s="88"/>
      <c r="AA101" s="88"/>
    </row>
    <row r="102" ht="15.6" spans="21:27">
      <c r="U102" s="95"/>
      <c r="V102" s="93" t="s">
        <v>850</v>
      </c>
      <c r="W102" s="72" t="s">
        <v>379</v>
      </c>
      <c r="X102" s="88"/>
      <c r="Y102" s="88"/>
      <c r="Z102" s="88"/>
      <c r="AA102" s="88"/>
    </row>
    <row r="103" ht="31.2" spans="21:27">
      <c r="U103" s="95"/>
      <c r="V103" s="93" t="s">
        <v>853</v>
      </c>
      <c r="W103" s="72" t="s">
        <v>379</v>
      </c>
      <c r="X103" s="93" t="s">
        <v>856</v>
      </c>
      <c r="Y103" s="93" t="s">
        <v>859</v>
      </c>
      <c r="Z103" s="93" t="s">
        <v>862</v>
      </c>
      <c r="AA103" s="88"/>
    </row>
    <row r="104" ht="31.2" spans="21:27">
      <c r="U104" s="95"/>
      <c r="V104" s="93" t="s">
        <v>865</v>
      </c>
      <c r="W104" s="93" t="s">
        <v>867</v>
      </c>
      <c r="X104" s="93" t="s">
        <v>870</v>
      </c>
      <c r="Y104" s="88"/>
      <c r="Z104" s="88"/>
      <c r="AA104" s="88"/>
    </row>
    <row r="105" ht="31.2" spans="21:27">
      <c r="U105" s="95"/>
      <c r="V105" s="93" t="s">
        <v>873</v>
      </c>
      <c r="W105" s="93" t="s">
        <v>875</v>
      </c>
      <c r="X105" s="93" t="s">
        <v>878</v>
      </c>
      <c r="Y105" s="93" t="s">
        <v>881</v>
      </c>
      <c r="Z105" s="88"/>
      <c r="AA105" s="88"/>
    </row>
    <row r="106" ht="15.6" spans="21:27">
      <c r="U106" s="95"/>
      <c r="V106" s="93" t="s">
        <v>884</v>
      </c>
      <c r="W106" s="72" t="s">
        <v>379</v>
      </c>
      <c r="X106" s="93" t="s">
        <v>887</v>
      </c>
      <c r="Y106" s="88"/>
      <c r="Z106" s="88"/>
      <c r="AA106" s="88"/>
    </row>
    <row r="107" ht="15.6" spans="21:27">
      <c r="U107" s="95"/>
      <c r="V107" s="93" t="s">
        <v>890</v>
      </c>
      <c r="W107" s="72" t="s">
        <v>379</v>
      </c>
      <c r="X107" s="88"/>
      <c r="Y107" s="88"/>
      <c r="Z107" s="88"/>
      <c r="AA107" s="88"/>
    </row>
    <row r="108" ht="15.6" spans="21:27">
      <c r="U108" s="95"/>
      <c r="V108" s="93" t="s">
        <v>893</v>
      </c>
      <c r="W108" s="72" t="s">
        <v>379</v>
      </c>
      <c r="X108" s="88"/>
      <c r="Y108" s="88"/>
      <c r="Z108" s="88"/>
      <c r="AA108" s="88"/>
    </row>
    <row r="109" ht="15.6" spans="21:27">
      <c r="U109" s="95"/>
      <c r="V109" s="93" t="s">
        <v>896</v>
      </c>
      <c r="W109" s="72" t="s">
        <v>379</v>
      </c>
      <c r="X109" s="88"/>
      <c r="Y109" s="88"/>
      <c r="Z109" s="88"/>
      <c r="AA109" s="88"/>
    </row>
    <row r="110" ht="31.2" spans="21:27">
      <c r="U110" s="95"/>
      <c r="V110" s="93" t="s">
        <v>899</v>
      </c>
      <c r="W110" s="93" t="s">
        <v>901</v>
      </c>
      <c r="X110" s="93" t="s">
        <v>904</v>
      </c>
      <c r="Y110" s="93" t="s">
        <v>907</v>
      </c>
      <c r="Z110" s="88"/>
      <c r="AA110" s="88"/>
    </row>
    <row r="111" ht="15.6" spans="21:27">
      <c r="U111" s="95"/>
      <c r="V111" s="93" t="s">
        <v>910</v>
      </c>
      <c r="W111" s="72" t="s">
        <v>379</v>
      </c>
      <c r="X111" s="88"/>
      <c r="Y111" s="88"/>
      <c r="Z111" s="88"/>
      <c r="AA111" s="88"/>
    </row>
    <row r="112" ht="15.6" spans="21:27">
      <c r="U112" s="95"/>
      <c r="V112" s="93" t="s">
        <v>913</v>
      </c>
      <c r="W112" s="72" t="s">
        <v>379</v>
      </c>
      <c r="X112" s="88"/>
      <c r="Y112" s="88"/>
      <c r="Z112" s="88"/>
      <c r="AA112" s="88"/>
    </row>
    <row r="113" ht="31.2" spans="21:27">
      <c r="U113" s="95"/>
      <c r="V113" s="93" t="s">
        <v>916</v>
      </c>
      <c r="W113" s="93" t="s">
        <v>918</v>
      </c>
      <c r="X113" s="93" t="s">
        <v>921</v>
      </c>
      <c r="Y113" s="93" t="s">
        <v>923</v>
      </c>
      <c r="Z113" s="93" t="s">
        <v>925</v>
      </c>
      <c r="AA113" s="93" t="s">
        <v>927</v>
      </c>
    </row>
    <row r="114" ht="15.6" spans="21:27">
      <c r="U114" s="95"/>
      <c r="V114" s="93" t="s">
        <v>930</v>
      </c>
      <c r="W114" s="72" t="s">
        <v>379</v>
      </c>
      <c r="X114" s="88"/>
      <c r="Y114" s="88"/>
      <c r="Z114" s="88"/>
      <c r="AA114" s="88"/>
    </row>
    <row r="115" ht="15.6" spans="21:27">
      <c r="U115" s="95"/>
      <c r="V115" s="93" t="s">
        <v>933</v>
      </c>
      <c r="W115" s="72" t="s">
        <v>379</v>
      </c>
      <c r="X115" s="88"/>
      <c r="Y115" s="88"/>
      <c r="Z115" s="88"/>
      <c r="AA115" s="88"/>
    </row>
    <row r="116" ht="15.6" spans="21:27">
      <c r="U116" s="95"/>
      <c r="V116" s="93" t="s">
        <v>936</v>
      </c>
      <c r="W116" s="72" t="s">
        <v>379</v>
      </c>
      <c r="X116" s="93" t="s">
        <v>939</v>
      </c>
      <c r="Y116" s="88"/>
      <c r="Z116" s="88"/>
      <c r="AA116" s="88"/>
    </row>
    <row r="117" ht="15.6" spans="21:27">
      <c r="U117" s="95"/>
      <c r="V117" s="93" t="s">
        <v>942</v>
      </c>
      <c r="W117" s="72" t="s">
        <v>379</v>
      </c>
      <c r="X117" s="93" t="s">
        <v>945</v>
      </c>
      <c r="Y117" s="93" t="s">
        <v>948</v>
      </c>
      <c r="Z117" s="93" t="s">
        <v>951</v>
      </c>
      <c r="AA117" s="88"/>
    </row>
    <row r="118" ht="15.6" spans="21:27">
      <c r="U118" s="95"/>
      <c r="V118" s="93" t="s">
        <v>954</v>
      </c>
      <c r="W118" s="72" t="s">
        <v>379</v>
      </c>
      <c r="X118" s="88"/>
      <c r="Y118" s="88"/>
      <c r="Z118" s="88"/>
      <c r="AA118" s="88"/>
    </row>
    <row r="119" ht="15.6" spans="21:27">
      <c r="U119" s="95"/>
      <c r="V119" s="93" t="s">
        <v>957</v>
      </c>
      <c r="W119" s="72" t="s">
        <v>379</v>
      </c>
      <c r="X119" s="88"/>
      <c r="Y119" s="88"/>
      <c r="Z119" s="88"/>
      <c r="AA119" s="88"/>
    </row>
    <row r="120" ht="15.6" spans="21:27">
      <c r="U120" s="95"/>
      <c r="V120" s="93" t="s">
        <v>960</v>
      </c>
      <c r="W120" s="72" t="s">
        <v>379</v>
      </c>
      <c r="X120" s="88"/>
      <c r="Y120" s="88"/>
      <c r="Z120" s="88"/>
      <c r="AA120" s="88"/>
    </row>
    <row r="121" ht="15.6" spans="21:27">
      <c r="U121" s="95"/>
      <c r="V121" s="93" t="s">
        <v>963</v>
      </c>
      <c r="W121" s="72" t="s">
        <v>379</v>
      </c>
      <c r="X121" s="88"/>
      <c r="Y121" s="88"/>
      <c r="Z121" s="88"/>
      <c r="AA121" s="88"/>
    </row>
    <row r="122" ht="31.2" spans="21:27">
      <c r="U122" s="95"/>
      <c r="V122" s="93" t="s">
        <v>966</v>
      </c>
      <c r="W122" s="93" t="s">
        <v>969</v>
      </c>
      <c r="X122" s="93" t="s">
        <v>972</v>
      </c>
      <c r="Y122" s="93" t="s">
        <v>974</v>
      </c>
      <c r="Z122" s="88"/>
      <c r="AA122" s="88"/>
    </row>
    <row r="123" ht="15.6" spans="21:27">
      <c r="U123" s="95"/>
      <c r="V123" s="93" t="s">
        <v>976</v>
      </c>
      <c r="W123" s="72" t="s">
        <v>379</v>
      </c>
      <c r="X123" s="93" t="s">
        <v>979</v>
      </c>
      <c r="Y123" s="93" t="s">
        <v>34</v>
      </c>
      <c r="Z123" s="88"/>
      <c r="AA123" s="88"/>
    </row>
    <row r="124" ht="15.6" spans="21:27">
      <c r="U124" s="95"/>
      <c r="V124" s="93" t="s">
        <v>984</v>
      </c>
      <c r="W124" s="72" t="s">
        <v>379</v>
      </c>
      <c r="X124" s="88"/>
      <c r="Y124" s="88"/>
      <c r="Z124" s="88"/>
      <c r="AA124" s="88"/>
    </row>
    <row r="125" ht="15.6" spans="21:27">
      <c r="U125" s="94"/>
      <c r="V125" s="93" t="s">
        <v>987</v>
      </c>
      <c r="W125" s="72" t="s">
        <v>379</v>
      </c>
      <c r="X125" s="88"/>
      <c r="Y125" s="88"/>
      <c r="Z125" s="88"/>
      <c r="AA125" s="88"/>
    </row>
    <row r="126" ht="15.6" spans="21:27">
      <c r="U126" s="96" t="s">
        <v>2211</v>
      </c>
      <c r="V126" s="93" t="s">
        <v>991</v>
      </c>
      <c r="W126" s="72" t="s">
        <v>379</v>
      </c>
      <c r="X126" s="93" t="s">
        <v>994</v>
      </c>
      <c r="Y126" s="88"/>
      <c r="Z126" s="88"/>
      <c r="AA126" s="88"/>
    </row>
    <row r="127" ht="15.6" spans="21:27">
      <c r="U127" s="79"/>
      <c r="V127" s="93" t="s">
        <v>997</v>
      </c>
      <c r="W127" s="72" t="s">
        <v>379</v>
      </c>
      <c r="X127" s="88"/>
      <c r="Y127" s="88"/>
      <c r="Z127" s="88"/>
      <c r="AA127" s="88"/>
    </row>
    <row r="128" ht="15.6" spans="21:27">
      <c r="U128" s="79"/>
      <c r="V128" s="93" t="s">
        <v>1000</v>
      </c>
      <c r="W128" s="72" t="s">
        <v>379</v>
      </c>
      <c r="X128" s="93" t="s">
        <v>1003</v>
      </c>
      <c r="Y128" s="88"/>
      <c r="Z128" s="88"/>
      <c r="AA128" s="88"/>
    </row>
    <row r="129" ht="15.6" spans="21:27">
      <c r="U129" s="79"/>
      <c r="V129" s="93" t="s">
        <v>1006</v>
      </c>
      <c r="W129" s="72" t="s">
        <v>379</v>
      </c>
      <c r="X129" s="88"/>
      <c r="Y129" s="88"/>
      <c r="Z129" s="88"/>
      <c r="AA129" s="88"/>
    </row>
    <row r="130" ht="15.6" spans="21:27">
      <c r="U130" s="79"/>
      <c r="V130" s="93" t="s">
        <v>1009</v>
      </c>
      <c r="W130" s="72" t="s">
        <v>379</v>
      </c>
      <c r="X130" s="88"/>
      <c r="Y130" s="88"/>
      <c r="Z130" s="88"/>
      <c r="AA130" s="88"/>
    </row>
    <row r="131" ht="15.6" spans="21:27">
      <c r="U131" s="79"/>
      <c r="V131" s="93" t="s">
        <v>1012</v>
      </c>
      <c r="W131" s="72" t="s">
        <v>379</v>
      </c>
      <c r="X131" s="88"/>
      <c r="Y131" s="88"/>
      <c r="Z131" s="88"/>
      <c r="AA131" s="88"/>
    </row>
    <row r="132" ht="31.2" spans="21:27">
      <c r="U132" s="79"/>
      <c r="V132" s="93" t="s">
        <v>1015</v>
      </c>
      <c r="W132" s="93" t="s">
        <v>1017</v>
      </c>
      <c r="X132" s="93" t="s">
        <v>1020</v>
      </c>
      <c r="Y132" s="93" t="s">
        <v>1023</v>
      </c>
      <c r="Z132" s="88"/>
      <c r="AA132" s="88"/>
    </row>
    <row r="133" ht="15.6" spans="21:27">
      <c r="U133" s="79"/>
      <c r="V133" s="93" t="s">
        <v>1026</v>
      </c>
      <c r="W133" s="72" t="s">
        <v>379</v>
      </c>
      <c r="X133" s="88"/>
      <c r="Y133" s="88"/>
      <c r="Z133" s="88"/>
      <c r="AA133" s="88"/>
    </row>
    <row r="134" ht="15.6" spans="21:27">
      <c r="U134" s="79"/>
      <c r="V134" s="93" t="s">
        <v>1029</v>
      </c>
      <c r="W134" s="72" t="s">
        <v>379</v>
      </c>
      <c r="X134" s="93" t="s">
        <v>1032</v>
      </c>
      <c r="Y134" s="93" t="s">
        <v>1035</v>
      </c>
      <c r="Z134" s="88"/>
      <c r="AA134" s="88"/>
    </row>
    <row r="135" ht="15.6" spans="21:27">
      <c r="U135" s="79"/>
      <c r="V135" s="93" t="s">
        <v>1038</v>
      </c>
      <c r="W135" s="72" t="s">
        <v>379</v>
      </c>
      <c r="X135" s="93" t="s">
        <v>1041</v>
      </c>
      <c r="Y135" s="88"/>
      <c r="Z135" s="88"/>
      <c r="AA135" s="88"/>
    </row>
    <row r="136" ht="15.6" spans="21:27">
      <c r="U136" s="79"/>
      <c r="V136" s="93" t="s">
        <v>1044</v>
      </c>
      <c r="W136" s="72" t="s">
        <v>379</v>
      </c>
      <c r="X136" s="88"/>
      <c r="Y136" s="88"/>
      <c r="Z136" s="88"/>
      <c r="AA136" s="88"/>
    </row>
    <row r="137" ht="15.6" spans="21:27">
      <c r="U137" s="79"/>
      <c r="V137" s="93" t="s">
        <v>1047</v>
      </c>
      <c r="W137" s="72" t="s">
        <v>379</v>
      </c>
      <c r="X137" s="88"/>
      <c r="Y137" s="88"/>
      <c r="Z137" s="88"/>
      <c r="AA137" s="88"/>
    </row>
    <row r="138" ht="31.2" spans="21:27">
      <c r="U138" s="79"/>
      <c r="V138" s="93" t="s">
        <v>1050</v>
      </c>
      <c r="W138" s="93" t="s">
        <v>1053</v>
      </c>
    </row>
    <row r="139" ht="15.6" spans="21:27">
      <c r="U139" s="79"/>
      <c r="V139" s="93" t="s">
        <v>1056</v>
      </c>
      <c r="W139" s="72" t="s">
        <v>379</v>
      </c>
      <c r="X139" s="93" t="s">
        <v>1059</v>
      </c>
    </row>
    <row r="140" ht="15.6" spans="21:27">
      <c r="U140" s="79"/>
      <c r="V140" s="93" t="s">
        <v>1062</v>
      </c>
      <c r="W140" s="72" t="s">
        <v>379</v>
      </c>
      <c r="X140" s="88"/>
      <c r="Y140" s="88"/>
      <c r="Z140" s="88"/>
      <c r="AA140" s="88"/>
    </row>
    <row r="141" ht="15.6" spans="21:27">
      <c r="U141" s="80"/>
      <c r="V141" s="93" t="s">
        <v>1066</v>
      </c>
      <c r="W141" s="72" t="s">
        <v>379</v>
      </c>
      <c r="X141" s="88"/>
      <c r="Y141" s="88"/>
      <c r="Z141" s="88"/>
      <c r="AA141" s="88"/>
    </row>
    <row r="142" ht="15.6" spans="21:27">
      <c r="U142" s="81" t="s">
        <v>2212</v>
      </c>
      <c r="V142" s="93" t="s">
        <v>1071</v>
      </c>
      <c r="W142" s="72" t="s">
        <v>379</v>
      </c>
      <c r="X142" s="93" t="s">
        <v>1074</v>
      </c>
      <c r="Y142" s="88"/>
      <c r="Z142" s="88"/>
      <c r="AA142" s="88"/>
    </row>
    <row r="143" ht="15.6" spans="21:27">
      <c r="U143" s="97"/>
      <c r="V143" s="93" t="s">
        <v>1077</v>
      </c>
      <c r="W143" s="72" t="s">
        <v>379</v>
      </c>
      <c r="X143" s="93" t="s">
        <v>1080</v>
      </c>
      <c r="Y143" s="88"/>
      <c r="Z143" s="88"/>
      <c r="AA143" s="88"/>
    </row>
    <row r="144" ht="15.6" spans="21:27">
      <c r="U144" s="97"/>
      <c r="V144" s="93" t="s">
        <v>1083</v>
      </c>
      <c r="W144" s="72" t="s">
        <v>379</v>
      </c>
      <c r="X144" s="88"/>
      <c r="Y144" s="88"/>
      <c r="Z144" s="88"/>
      <c r="AA144" s="88"/>
    </row>
    <row r="145" ht="31.2" spans="21:27">
      <c r="U145" s="97"/>
      <c r="V145" s="93" t="s">
        <v>1086</v>
      </c>
      <c r="W145" s="72" t="s">
        <v>379</v>
      </c>
      <c r="X145" s="93" t="s">
        <v>1089</v>
      </c>
      <c r="Y145" s="93" t="s">
        <v>1092</v>
      </c>
      <c r="Z145" s="88"/>
      <c r="AA145" s="88"/>
    </row>
    <row r="146" ht="15.6" spans="21:27">
      <c r="U146" s="97"/>
      <c r="V146" s="93" t="s">
        <v>1095</v>
      </c>
      <c r="W146" s="72" t="s">
        <v>379</v>
      </c>
      <c r="X146" s="88"/>
      <c r="Y146" s="88"/>
      <c r="Z146" s="88"/>
      <c r="AA146" s="88"/>
    </row>
    <row r="147" ht="15.6" spans="21:27">
      <c r="U147" s="97"/>
      <c r="V147" s="93" t="s">
        <v>1098</v>
      </c>
      <c r="W147" s="72" t="s">
        <v>379</v>
      </c>
      <c r="X147" s="88"/>
      <c r="Y147" s="88"/>
      <c r="Z147" s="88"/>
      <c r="AA147" s="88"/>
    </row>
    <row r="148" ht="15.6" spans="21:27">
      <c r="U148" s="97"/>
      <c r="V148" s="93" t="s">
        <v>1101</v>
      </c>
      <c r="W148" s="72" t="s">
        <v>379</v>
      </c>
      <c r="X148" s="88"/>
      <c r="Y148" s="88"/>
      <c r="Z148" s="88"/>
      <c r="AA148" s="88"/>
    </row>
    <row r="149" ht="15.6" spans="21:27">
      <c r="U149" s="97"/>
      <c r="V149" s="93" t="s">
        <v>1104</v>
      </c>
      <c r="W149" s="72" t="s">
        <v>379</v>
      </c>
      <c r="X149" s="93" t="s">
        <v>1107</v>
      </c>
      <c r="Y149" s="93" t="s">
        <v>1110</v>
      </c>
      <c r="Z149" s="88"/>
      <c r="AA149" s="88"/>
    </row>
    <row r="150" ht="15.6" spans="21:27">
      <c r="U150" s="97"/>
      <c r="V150" s="93" t="s">
        <v>1113</v>
      </c>
      <c r="W150" s="72" t="s">
        <v>379</v>
      </c>
      <c r="X150" s="88"/>
      <c r="Y150" s="88"/>
      <c r="Z150" s="88"/>
      <c r="AA150" s="88"/>
    </row>
    <row r="151" ht="31.2" spans="21:27">
      <c r="U151" s="97"/>
      <c r="V151" s="93" t="s">
        <v>1116</v>
      </c>
      <c r="W151" s="93" t="s">
        <v>1119</v>
      </c>
      <c r="X151" s="88"/>
      <c r="Y151" s="88"/>
      <c r="Z151" s="88"/>
      <c r="AA151" s="88"/>
    </row>
    <row r="152" ht="15.6" spans="21:27">
      <c r="U152" s="97"/>
      <c r="V152" s="93" t="s">
        <v>1122</v>
      </c>
      <c r="W152" s="72" t="s">
        <v>379</v>
      </c>
      <c r="X152" s="88"/>
      <c r="Y152" s="88"/>
      <c r="Z152" s="88"/>
      <c r="AA152" s="88"/>
    </row>
    <row r="153" ht="15.6" spans="21:27">
      <c r="U153" s="97"/>
      <c r="V153" s="93" t="s">
        <v>1125</v>
      </c>
      <c r="W153" s="72" t="s">
        <v>379</v>
      </c>
      <c r="X153" s="88"/>
      <c r="Y153" s="88"/>
      <c r="Z153" s="88"/>
      <c r="AA153" s="88"/>
    </row>
    <row r="154" ht="15.6" spans="21:27">
      <c r="U154" s="97"/>
      <c r="V154" s="93" t="s">
        <v>1128</v>
      </c>
      <c r="W154" s="72" t="s">
        <v>379</v>
      </c>
      <c r="X154" s="88"/>
      <c r="Y154" s="88"/>
      <c r="Z154" s="88"/>
      <c r="AA154" s="88"/>
    </row>
    <row r="155" ht="15.6" spans="21:27">
      <c r="U155" s="97"/>
      <c r="V155" s="93" t="s">
        <v>1131</v>
      </c>
      <c r="W155" s="72" t="s">
        <v>379</v>
      </c>
      <c r="X155" s="88"/>
      <c r="Y155" s="88"/>
      <c r="Z155" s="88"/>
      <c r="AA155" s="88"/>
    </row>
    <row r="156" ht="15.6" spans="21:27">
      <c r="U156" s="97"/>
      <c r="V156" s="93" t="s">
        <v>1134</v>
      </c>
      <c r="W156" s="72" t="s">
        <v>379</v>
      </c>
      <c r="X156" s="88"/>
      <c r="Y156" s="88"/>
      <c r="Z156" s="88"/>
      <c r="AA156" s="88"/>
    </row>
    <row r="157" ht="15.6" spans="21:27">
      <c r="U157" s="97"/>
      <c r="V157" s="93" t="s">
        <v>1137</v>
      </c>
      <c r="W157" s="72" t="s">
        <v>379</v>
      </c>
      <c r="X157" s="88"/>
      <c r="Y157" s="88"/>
      <c r="Z157" s="88"/>
      <c r="AA157" s="88"/>
    </row>
    <row r="158" ht="15.6" spans="21:27">
      <c r="U158" s="97"/>
      <c r="V158" s="93" t="s">
        <v>1140</v>
      </c>
      <c r="W158" s="72" t="s">
        <v>379</v>
      </c>
      <c r="X158" s="88"/>
      <c r="Y158" s="88"/>
      <c r="Z158" s="88"/>
      <c r="AA158" s="88"/>
    </row>
    <row r="159" ht="15.6" spans="21:27">
      <c r="U159" s="97"/>
      <c r="V159" s="93" t="s">
        <v>1143</v>
      </c>
      <c r="W159" s="72" t="s">
        <v>379</v>
      </c>
      <c r="X159" s="88"/>
      <c r="Y159" s="88"/>
      <c r="Z159" s="88"/>
      <c r="AA159" s="88"/>
    </row>
    <row r="160" ht="15.6" spans="21:27">
      <c r="U160" s="97"/>
      <c r="V160" s="93" t="s">
        <v>1146</v>
      </c>
      <c r="W160" s="72" t="s">
        <v>379</v>
      </c>
      <c r="X160" s="93" t="s">
        <v>1149</v>
      </c>
      <c r="Y160" s="88"/>
      <c r="Z160" s="88"/>
      <c r="AA160" s="88"/>
    </row>
    <row r="161" ht="15.6" spans="21:27">
      <c r="U161" s="97"/>
      <c r="V161" s="93" t="s">
        <v>1151</v>
      </c>
      <c r="W161" s="72" t="s">
        <v>379</v>
      </c>
      <c r="X161" s="93" t="s">
        <v>1154</v>
      </c>
      <c r="Y161" s="88"/>
      <c r="Z161" s="88"/>
      <c r="AA161" s="88"/>
    </row>
    <row r="162" ht="31.2" spans="21:27">
      <c r="U162" s="97"/>
      <c r="V162" s="93" t="s">
        <v>1157</v>
      </c>
      <c r="W162" s="72" t="s">
        <v>379</v>
      </c>
      <c r="X162" s="88"/>
      <c r="Y162" s="88"/>
      <c r="Z162" s="88"/>
      <c r="AA162" s="88"/>
    </row>
    <row r="163" ht="15.6" spans="21:27">
      <c r="U163" s="87"/>
      <c r="V163" s="93" t="s">
        <v>1160</v>
      </c>
      <c r="W163" s="72" t="s">
        <v>379</v>
      </c>
      <c r="X163" s="93" t="s">
        <v>1163</v>
      </c>
      <c r="Y163" s="88"/>
      <c r="Z163" s="88"/>
      <c r="AA163" s="88"/>
    </row>
    <row r="164" ht="15.6" spans="21:27">
      <c r="U164" s="96" t="s">
        <v>2213</v>
      </c>
      <c r="V164" s="93" t="s">
        <v>1167</v>
      </c>
      <c r="W164" s="72" t="s">
        <v>379</v>
      </c>
      <c r="X164" s="88"/>
      <c r="Y164" s="88"/>
      <c r="Z164" s="88"/>
      <c r="AA164" s="88"/>
    </row>
    <row r="165" ht="15.6" spans="21:27">
      <c r="U165" s="79"/>
      <c r="V165" s="93" t="s">
        <v>1170</v>
      </c>
      <c r="W165" s="72" t="s">
        <v>379</v>
      </c>
      <c r="X165" s="88"/>
      <c r="Y165" s="88"/>
      <c r="Z165" s="88"/>
      <c r="AA165" s="88"/>
    </row>
    <row r="166" ht="15.6" spans="21:27">
      <c r="U166" s="79"/>
      <c r="V166" s="93" t="s">
        <v>1173</v>
      </c>
      <c r="W166" s="72" t="s">
        <v>379</v>
      </c>
      <c r="X166" s="93" t="s">
        <v>1176</v>
      </c>
      <c r="Y166" s="93" t="s">
        <v>1179</v>
      </c>
      <c r="Z166" s="93" t="s">
        <v>1182</v>
      </c>
      <c r="AA166" s="88"/>
    </row>
    <row r="167" ht="15.6" spans="21:27">
      <c r="U167" s="79"/>
      <c r="V167" s="93" t="s">
        <v>1185</v>
      </c>
      <c r="W167" s="72" t="s">
        <v>379</v>
      </c>
      <c r="X167" s="88"/>
      <c r="Y167" s="88"/>
      <c r="Z167" s="88"/>
      <c r="AA167" s="88"/>
    </row>
    <row r="168" ht="15.6" spans="21:27">
      <c r="U168" s="79"/>
      <c r="V168" s="93" t="s">
        <v>1188</v>
      </c>
      <c r="W168" s="72" t="s">
        <v>379</v>
      </c>
      <c r="X168" s="88"/>
      <c r="Y168" s="88"/>
      <c r="Z168" s="88"/>
      <c r="AA168" s="88"/>
    </row>
    <row r="169" ht="15.6" spans="21:27">
      <c r="U169" s="79"/>
      <c r="V169" s="93" t="s">
        <v>1192</v>
      </c>
      <c r="W169" s="72" t="s">
        <v>379</v>
      </c>
      <c r="X169" s="88"/>
      <c r="Y169" s="88"/>
      <c r="Z169" s="88"/>
      <c r="AA169" s="88"/>
    </row>
    <row r="170" ht="15.6" spans="21:27">
      <c r="U170" s="79"/>
      <c r="V170" s="93" t="s">
        <v>1195</v>
      </c>
      <c r="W170" s="72" t="s">
        <v>379</v>
      </c>
      <c r="X170" s="88"/>
      <c r="Y170" s="88"/>
      <c r="Z170" s="88"/>
      <c r="AA170" s="88"/>
    </row>
    <row r="171" ht="15.6" spans="21:27">
      <c r="U171" s="79"/>
      <c r="V171" s="93" t="s">
        <v>1198</v>
      </c>
      <c r="W171" s="72" t="s">
        <v>379</v>
      </c>
      <c r="X171" s="88"/>
      <c r="Y171" s="88"/>
      <c r="Z171" s="88"/>
      <c r="AA171" s="88"/>
    </row>
    <row r="172" ht="15.6" spans="21:27">
      <c r="U172" s="79"/>
      <c r="V172" s="93" t="s">
        <v>1201</v>
      </c>
      <c r="W172" s="72" t="s">
        <v>379</v>
      </c>
      <c r="X172" s="88"/>
      <c r="Y172" s="88"/>
      <c r="Z172" s="88"/>
      <c r="AA172" s="88"/>
    </row>
    <row r="173" ht="15.6" spans="21:27">
      <c r="U173" s="79"/>
      <c r="V173" s="93" t="s">
        <v>1204</v>
      </c>
      <c r="W173" s="72" t="s">
        <v>379</v>
      </c>
      <c r="X173" s="93" t="s">
        <v>1207</v>
      </c>
      <c r="Y173" s="88"/>
      <c r="Z173" s="88"/>
      <c r="AA173" s="88"/>
    </row>
    <row r="174" ht="15.6" spans="21:27">
      <c r="U174" s="79"/>
      <c r="V174" s="93" t="s">
        <v>1210</v>
      </c>
      <c r="W174" s="72" t="s">
        <v>379</v>
      </c>
      <c r="X174" s="88"/>
      <c r="Y174" s="88"/>
      <c r="Z174" s="88"/>
      <c r="AA174" s="88"/>
    </row>
    <row r="175" ht="15.6" spans="21:27">
      <c r="U175" s="79"/>
      <c r="V175" s="93" t="s">
        <v>1213</v>
      </c>
      <c r="W175" s="72" t="s">
        <v>379</v>
      </c>
      <c r="X175" s="88"/>
      <c r="Y175" s="88"/>
      <c r="Z175" s="88"/>
      <c r="AA175" s="88"/>
    </row>
    <row r="176" ht="15.6" spans="21:27">
      <c r="U176" s="79"/>
      <c r="V176" s="93" t="s">
        <v>1216</v>
      </c>
      <c r="W176" s="72" t="s">
        <v>379</v>
      </c>
      <c r="X176" s="88"/>
      <c r="Y176" s="88"/>
      <c r="Z176" s="88"/>
      <c r="AA176" s="88"/>
    </row>
    <row r="177" ht="15.6" spans="21:27">
      <c r="U177" s="79"/>
      <c r="V177" s="93" t="s">
        <v>1219</v>
      </c>
      <c r="W177" s="72" t="s">
        <v>379</v>
      </c>
      <c r="X177" s="93" t="s">
        <v>1222</v>
      </c>
      <c r="Y177" s="93" t="s">
        <v>1225</v>
      </c>
      <c r="Z177" s="88"/>
      <c r="AA177" s="88"/>
    </row>
    <row r="178" ht="15.6" spans="21:27">
      <c r="U178" s="79"/>
      <c r="V178" s="93" t="s">
        <v>1228</v>
      </c>
      <c r="W178" s="72" t="s">
        <v>379</v>
      </c>
      <c r="X178" s="88"/>
      <c r="Y178" s="88"/>
      <c r="Z178" s="88"/>
      <c r="AA178" s="88"/>
    </row>
    <row r="179" ht="15.6" spans="21:27">
      <c r="U179" s="79"/>
      <c r="V179" s="93" t="s">
        <v>453</v>
      </c>
      <c r="W179" s="72" t="s">
        <v>379</v>
      </c>
      <c r="X179" s="88"/>
      <c r="Y179" s="88"/>
      <c r="Z179" s="88"/>
      <c r="AA179" s="88"/>
    </row>
    <row r="180" ht="15.6" spans="21:27">
      <c r="U180" s="79"/>
      <c r="V180" s="93" t="s">
        <v>1233</v>
      </c>
      <c r="W180" s="72" t="s">
        <v>379</v>
      </c>
      <c r="X180" s="88"/>
      <c r="Y180" s="88"/>
      <c r="Z180" s="88"/>
      <c r="AA180" s="88"/>
    </row>
    <row r="181" ht="15.6" spans="21:27">
      <c r="U181" s="79"/>
      <c r="V181" s="93" t="s">
        <v>1236</v>
      </c>
      <c r="W181" s="72" t="s">
        <v>379</v>
      </c>
      <c r="X181" s="93" t="s">
        <v>1239</v>
      </c>
      <c r="Y181" s="93" t="s">
        <v>1242</v>
      </c>
      <c r="Z181" s="93" t="s">
        <v>1245</v>
      </c>
      <c r="AA181" s="88"/>
    </row>
    <row r="182" ht="15.6" spans="21:27">
      <c r="U182" s="79"/>
      <c r="V182" s="93" t="s">
        <v>1248</v>
      </c>
      <c r="W182" s="72" t="s">
        <v>379</v>
      </c>
      <c r="X182" s="88"/>
      <c r="Y182" s="88"/>
      <c r="Z182" s="88"/>
      <c r="AA182" s="88"/>
    </row>
    <row r="183" ht="31.2" spans="21:27">
      <c r="U183" s="80"/>
      <c r="V183" s="93" t="s">
        <v>1251</v>
      </c>
      <c r="W183" s="72" t="s">
        <v>379</v>
      </c>
      <c r="X183" s="88"/>
      <c r="Y183" s="88"/>
      <c r="Z183" s="88"/>
      <c r="AA183" s="88"/>
    </row>
    <row r="184" ht="15.6" spans="21:27">
      <c r="U184" s="81" t="s">
        <v>1255</v>
      </c>
      <c r="V184" s="93" t="s">
        <v>1256</v>
      </c>
      <c r="W184" s="72" t="s">
        <v>379</v>
      </c>
      <c r="X184" s="93" t="s">
        <v>1259</v>
      </c>
      <c r="Y184" s="88"/>
      <c r="Z184" s="88"/>
      <c r="AA184" s="88"/>
    </row>
    <row r="185" ht="15.6" spans="21:27">
      <c r="U185" s="97"/>
      <c r="V185" s="93" t="s">
        <v>1263</v>
      </c>
      <c r="W185" s="72" t="s">
        <v>379</v>
      </c>
      <c r="X185" s="93" t="s">
        <v>1266</v>
      </c>
      <c r="Y185" s="88"/>
      <c r="Z185" s="88"/>
      <c r="AA185" s="88"/>
    </row>
    <row r="186" ht="15.6" spans="21:27">
      <c r="U186" s="97"/>
      <c r="V186" s="93" t="s">
        <v>1270</v>
      </c>
      <c r="W186" s="72" t="s">
        <v>379</v>
      </c>
      <c r="X186" s="88"/>
      <c r="Y186" s="88"/>
      <c r="Z186" s="88"/>
      <c r="AA186" s="88"/>
    </row>
    <row r="187" ht="31.2" spans="21:27">
      <c r="U187" s="97"/>
      <c r="V187" s="93" t="s">
        <v>1274</v>
      </c>
      <c r="W187" s="72" t="s">
        <v>379</v>
      </c>
      <c r="X187" s="93" t="s">
        <v>1277</v>
      </c>
      <c r="Y187" s="88"/>
      <c r="Z187" s="88"/>
      <c r="AA187" s="88"/>
    </row>
    <row r="188" ht="15.6" spans="21:27">
      <c r="U188" s="97"/>
      <c r="V188" s="93" t="s">
        <v>1280</v>
      </c>
      <c r="W188" s="72" t="s">
        <v>379</v>
      </c>
      <c r="X188" s="88"/>
      <c r="Y188" s="88"/>
      <c r="Z188" s="88"/>
      <c r="AA188" s="88"/>
    </row>
    <row r="189" ht="15.6" spans="21:27">
      <c r="U189" s="97"/>
      <c r="V189" s="93" t="s">
        <v>1283</v>
      </c>
      <c r="W189" s="72" t="s">
        <v>379</v>
      </c>
      <c r="X189" s="93" t="s">
        <v>1286</v>
      </c>
      <c r="Y189" s="88"/>
      <c r="Z189" s="88"/>
      <c r="AA189" s="88"/>
    </row>
    <row r="190" ht="15.6" spans="21:27">
      <c r="U190" s="97"/>
      <c r="V190" s="93" t="s">
        <v>1289</v>
      </c>
      <c r="W190" s="72" t="s">
        <v>379</v>
      </c>
      <c r="X190" s="88"/>
      <c r="Y190" s="88"/>
      <c r="Z190" s="88"/>
      <c r="AA190" s="88"/>
    </row>
    <row r="191" ht="15.6" spans="21:27">
      <c r="U191" s="97"/>
      <c r="V191" s="93" t="s">
        <v>1293</v>
      </c>
      <c r="W191" s="72" t="s">
        <v>379</v>
      </c>
      <c r="X191" s="88"/>
      <c r="Y191" s="88"/>
      <c r="Z191" s="88"/>
      <c r="AA191" s="88"/>
    </row>
    <row r="192" ht="15.6" spans="21:27">
      <c r="U192" s="97"/>
      <c r="V192" s="93" t="s">
        <v>1296</v>
      </c>
      <c r="W192" s="72" t="s">
        <v>379</v>
      </c>
      <c r="X192" s="88"/>
      <c r="Y192" s="88"/>
      <c r="Z192" s="88"/>
      <c r="AA192" s="88"/>
    </row>
    <row r="193" ht="31.2" spans="21:27">
      <c r="U193" s="97"/>
      <c r="V193" s="93" t="s">
        <v>1299</v>
      </c>
      <c r="W193" s="93" t="s">
        <v>1301</v>
      </c>
      <c r="X193" s="88"/>
      <c r="Y193" s="88"/>
      <c r="Z193" s="88"/>
      <c r="AA193" s="88"/>
    </row>
    <row r="194" ht="15.6" spans="21:27">
      <c r="U194" s="97"/>
      <c r="V194" s="93" t="s">
        <v>1304</v>
      </c>
      <c r="W194" s="72" t="s">
        <v>379</v>
      </c>
      <c r="X194" s="88"/>
      <c r="Y194" s="88"/>
      <c r="Z194" s="88"/>
      <c r="AA194" s="88"/>
    </row>
    <row r="195" ht="15.6" spans="21:27">
      <c r="U195" s="97"/>
      <c r="V195" s="93" t="s">
        <v>1308</v>
      </c>
      <c r="W195" s="72" t="s">
        <v>379</v>
      </c>
      <c r="X195" s="88"/>
      <c r="Y195" s="88"/>
      <c r="Z195" s="88"/>
      <c r="AA195" s="88"/>
    </row>
    <row r="196" ht="15.6" spans="21:27">
      <c r="U196" s="87"/>
      <c r="V196" s="98" t="s">
        <v>1312</v>
      </c>
      <c r="W196" s="72" t="s">
        <v>379</v>
      </c>
      <c r="X196" s="88"/>
      <c r="Y196" s="88"/>
      <c r="Z196" s="88"/>
      <c r="AA196" s="88"/>
    </row>
    <row r="198" spans="21:27">
      <c r="U198" s="71" t="s">
        <v>2214</v>
      </c>
      <c r="V198" s="72">
        <f>IF(主卡!B26="★",3,2)</f>
        <v>3</v>
      </c>
    </row>
    <row r="199" spans="21:27">
      <c r="U199" s="71" t="s">
        <v>2215</v>
      </c>
      <c r="V199" s="72">
        <f>IF(主卡!I26="★",3,2)</f>
        <v>2</v>
      </c>
    </row>
    <row r="200" spans="21:27">
      <c r="U200" s="71" t="s">
        <v>2216</v>
      </c>
      <c r="V200" s="72">
        <f>IF(主卡!P26="★",3,2)</f>
        <v>2</v>
      </c>
    </row>
    <row r="201" ht="41.4" spans="21:27">
      <c r="U201" s="99" t="s">
        <v>2217</v>
      </c>
      <c r="V201" s="72">
        <f>IF(主卡!W26="★",3,2)</f>
        <v>2</v>
      </c>
    </row>
    <row r="203" spans="21:27">
      <c r="U203" s="71" t="s">
        <v>2218</v>
      </c>
      <c r="V203" s="72" cm="1">
        <f t="array" ref="V203">_xlfn.IFS(主卡!AR10="阶段零",4,主卡!AR10="阶段一",7,主卡!AR10="阶段二",10)</f>
        <v>4</v>
      </c>
    </row>
  </sheetData>
  <sheetProtection formatCells="0" insertHyperlinks="0" autoFilter="0"/>
  <mergeCells count="20">
    <mergeCell ref="B2:O2"/>
    <mergeCell ref="P2:S2"/>
    <mergeCell ref="W92:AA92"/>
    <mergeCell ref="U1:U2"/>
    <mergeCell ref="U3:U6"/>
    <mergeCell ref="U9:U13"/>
    <mergeCell ref="U15:U31"/>
    <mergeCell ref="U33:U36"/>
    <mergeCell ref="U37:U40"/>
    <mergeCell ref="U42:U44"/>
    <mergeCell ref="U45:U47"/>
    <mergeCell ref="U49:U66"/>
    <mergeCell ref="U67:U71"/>
    <mergeCell ref="U72:U74"/>
    <mergeCell ref="U76:U83"/>
    <mergeCell ref="U93:U125"/>
    <mergeCell ref="U126:U141"/>
    <mergeCell ref="U142:U163"/>
    <mergeCell ref="U164:U183"/>
    <mergeCell ref="U184:U196"/>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5"/>
  </sheetPr>
  <dimension ref="A2:Q86"/>
  <sheetViews>
    <sheetView zoomScale="130" zoomScaleNormal="130" topLeftCell="A28" workbookViewId="0">
      <selection activeCell="K32" sqref="K32"/>
    </sheetView>
  </sheetViews>
  <sheetFormatPr defaultColWidth="9" defaultRowHeight="14.4"/>
  <cols>
    <col min="2" max="2" width="7.88888888888889" customWidth="1"/>
    <col min="3" max="3" width="8.33333333333333" customWidth="1"/>
    <col min="4" max="4" width="8.23148148148148" customWidth="1"/>
  </cols>
  <sheetData>
    <row r="2" ht="33" customHeight="1"/>
    <row r="3" ht="52.05" customHeight="1"/>
    <row r="8" spans="1:17">
      <c r="A8" t="s">
        <v>44</v>
      </c>
      <c r="B8" t="s">
        <v>2177</v>
      </c>
      <c r="C8" t="s">
        <v>2183</v>
      </c>
      <c r="D8" t="s">
        <v>2187</v>
      </c>
      <c r="E8" t="s">
        <v>2190</v>
      </c>
      <c r="F8" t="s">
        <v>2194</v>
      </c>
      <c r="G8" t="s">
        <v>2198</v>
      </c>
      <c r="H8" t="s">
        <v>2202</v>
      </c>
      <c r="J8" t="s">
        <v>44</v>
      </c>
      <c r="K8" t="s">
        <v>2177</v>
      </c>
      <c r="L8" t="s">
        <v>2183</v>
      </c>
      <c r="M8" t="s">
        <v>2187</v>
      </c>
      <c r="N8" t="s">
        <v>2190</v>
      </c>
      <c r="O8" t="s">
        <v>2194</v>
      </c>
      <c r="P8" t="s">
        <v>2198</v>
      </c>
      <c r="Q8" t="s">
        <v>2202</v>
      </c>
    </row>
    <row r="9" spans="1:17">
      <c r="A9" t="s">
        <v>46</v>
      </c>
      <c r="B9" s="42" t="s">
        <v>2178</v>
      </c>
      <c r="C9" s="61" t="s">
        <v>2219</v>
      </c>
      <c r="D9" t="s">
        <v>2220</v>
      </c>
      <c r="E9" s="42" t="s">
        <v>2191</v>
      </c>
      <c r="F9" t="s">
        <v>2221</v>
      </c>
      <c r="G9" t="s">
        <v>2199</v>
      </c>
      <c r="H9" s="42" t="s">
        <v>2222</v>
      </c>
      <c r="J9" t="s">
        <v>2223</v>
      </c>
      <c r="K9" t="s">
        <v>2224</v>
      </c>
      <c r="L9" t="s">
        <v>2225</v>
      </c>
      <c r="M9" t="s">
        <v>2226</v>
      </c>
      <c r="N9" t="s">
        <v>2227</v>
      </c>
      <c r="O9" t="s">
        <v>2228</v>
      </c>
      <c r="P9" t="s">
        <v>2229</v>
      </c>
      <c r="Q9" t="s">
        <v>2230</v>
      </c>
    </row>
    <row r="10" spans="1:17">
      <c r="A10" t="s">
        <v>2175</v>
      </c>
      <c r="B10" s="42" t="s">
        <v>2179</v>
      </c>
      <c r="C10" t="s">
        <v>2231</v>
      </c>
      <c r="D10" t="s">
        <v>2232</v>
      </c>
      <c r="E10" t="s">
        <v>2233</v>
      </c>
      <c r="F10" t="s">
        <v>2234</v>
      </c>
      <c r="G10" t="s">
        <v>2200</v>
      </c>
      <c r="H10" t="s">
        <v>2235</v>
      </c>
      <c r="J10" t="s">
        <v>44</v>
      </c>
      <c r="K10" t="s">
        <v>2223</v>
      </c>
    </row>
    <row r="11" spans="1:17">
      <c r="A11" s="42" t="s">
        <v>2236</v>
      </c>
      <c r="B11" t="s">
        <v>2237</v>
      </c>
      <c r="C11" t="s">
        <v>2238</v>
      </c>
      <c r="D11" t="s">
        <v>2239</v>
      </c>
      <c r="E11" t="s">
        <v>2240</v>
      </c>
      <c r="F11" t="s">
        <v>2241</v>
      </c>
      <c r="G11" t="s">
        <v>2242</v>
      </c>
      <c r="H11" t="s">
        <v>2203</v>
      </c>
      <c r="J11" t="s">
        <v>2177</v>
      </c>
      <c r="K11" t="s">
        <v>2224</v>
      </c>
    </row>
    <row r="12" spans="1:17">
      <c r="A12" t="s">
        <v>2176</v>
      </c>
      <c r="B12" t="s">
        <v>2243</v>
      </c>
      <c r="C12" t="s">
        <v>2184</v>
      </c>
      <c r="D12" t="s">
        <v>2189</v>
      </c>
      <c r="E12" t="s">
        <v>2192</v>
      </c>
      <c r="F12" t="s">
        <v>2195</v>
      </c>
      <c r="G12" t="s">
        <v>2244</v>
      </c>
      <c r="H12" t="s">
        <v>2204</v>
      </c>
      <c r="J12" t="s">
        <v>2183</v>
      </c>
      <c r="K12" t="s">
        <v>2225</v>
      </c>
    </row>
    <row r="13" spans="1:17">
      <c r="A13" s="42" t="s">
        <v>2245</v>
      </c>
      <c r="B13" t="s">
        <v>2246</v>
      </c>
      <c r="C13" t="s">
        <v>2185</v>
      </c>
      <c r="D13" t="s">
        <v>2247</v>
      </c>
      <c r="E13" t="s">
        <v>2193</v>
      </c>
      <c r="F13" t="s">
        <v>2248</v>
      </c>
      <c r="G13" t="s">
        <v>2249</v>
      </c>
      <c r="H13" t="s">
        <v>2250</v>
      </c>
      <c r="J13" t="s">
        <v>2187</v>
      </c>
      <c r="K13" t="s">
        <v>2226</v>
      </c>
    </row>
    <row r="14" spans="1:17">
      <c r="B14" t="s">
        <v>2180</v>
      </c>
      <c r="C14" s="42" t="s">
        <v>2186</v>
      </c>
      <c r="D14" t="s">
        <v>2188</v>
      </c>
      <c r="E14" t="s">
        <v>2251</v>
      </c>
      <c r="F14" t="s">
        <v>2196</v>
      </c>
      <c r="G14" t="s">
        <v>2252</v>
      </c>
      <c r="H14" t="s">
        <v>2253</v>
      </c>
      <c r="J14" t="s">
        <v>2190</v>
      </c>
      <c r="K14" t="s">
        <v>2227</v>
      </c>
    </row>
    <row r="15" spans="1:17">
      <c r="B15" t="s">
        <v>2182</v>
      </c>
      <c r="C15" t="s">
        <v>2254</v>
      </c>
      <c r="D15" t="s">
        <v>2255</v>
      </c>
      <c r="F15" t="s">
        <v>2197</v>
      </c>
      <c r="G15" t="s">
        <v>2256</v>
      </c>
      <c r="H15" t="s">
        <v>2257</v>
      </c>
      <c r="J15" t="s">
        <v>2194</v>
      </c>
      <c r="K15" t="s">
        <v>2228</v>
      </c>
    </row>
    <row r="16" spans="1:17">
      <c r="B16" t="s">
        <v>2181</v>
      </c>
      <c r="C16" t="s">
        <v>2258</v>
      </c>
      <c r="D16" t="s">
        <v>2259</v>
      </c>
      <c r="G16" t="s">
        <v>2201</v>
      </c>
      <c r="H16" t="s">
        <v>2260</v>
      </c>
      <c r="J16" t="s">
        <v>2198</v>
      </c>
      <c r="K16" t="s">
        <v>2229</v>
      </c>
    </row>
    <row r="17" spans="1:11">
      <c r="B17" t="s">
        <v>2261</v>
      </c>
      <c r="C17" t="s">
        <v>2262</v>
      </c>
      <c r="H17" t="s">
        <v>2263</v>
      </c>
      <c r="J17" t="s">
        <v>2202</v>
      </c>
      <c r="K17" t="s">
        <v>2230</v>
      </c>
    </row>
    <row r="18" spans="1:11">
      <c r="B18" t="s">
        <v>2264</v>
      </c>
      <c r="H18" t="s">
        <v>2265</v>
      </c>
    </row>
    <row r="19" spans="1:11">
      <c r="B19" t="s">
        <v>2266</v>
      </c>
    </row>
    <row r="20" spans="1:11">
      <c r="B20" t="s">
        <v>2267</v>
      </c>
    </row>
    <row r="22" ht="43.05" customHeight="1" spans="1:11">
      <c r="A22" s="62" t="s">
        <v>2194</v>
      </c>
      <c r="B22" s="63" t="str">
        <f>_xlfn.DISPIMG("ID_E8432A8329DC429187475324D11B3301",1)</f>
        <v>=DISPIMG("ID_E8432A8329DC429187475324D11B3301",1)</v>
      </c>
      <c r="C22" s="64" t="s">
        <v>2246</v>
      </c>
      <c r="D22" s="65" t="str">
        <f>_xlfn.DISPIMG("ID_CA80DA5E106B48DBB37704E283FF884B",1)</f>
        <v>=DISPIMG("ID_CA80DA5E106B48DBB37704E283FF884B",1)</v>
      </c>
      <c r="E22" s="66"/>
    </row>
    <row r="23" ht="43.05" customHeight="1" spans="1:11">
      <c r="A23" s="66" t="s">
        <v>2177</v>
      </c>
      <c r="B23" s="63" t="str">
        <f>_xlfn.DISPIMG("ID_B8866FF8443B4D5096579B7AE4F8D3EB",1)</f>
        <v>=DISPIMG("ID_B8866FF8443B4D5096579B7AE4F8D3EB",1)</v>
      </c>
      <c r="C23" s="64" t="s">
        <v>2267</v>
      </c>
      <c r="D23" s="65" t="str">
        <f>_xlfn.DISPIMG("ID_04E4CFF56CEF45C78BFA44EAC3A1827F",1)</f>
        <v>=DISPIMG("ID_04E4CFF56CEF45C78BFA44EAC3A1827F",1)</v>
      </c>
      <c r="E23" s="66"/>
    </row>
    <row r="24" ht="43.05" customHeight="1" spans="1:11">
      <c r="A24" s="66" t="s">
        <v>2183</v>
      </c>
      <c r="B24" s="63" t="str">
        <f>_xlfn.DISPIMG("ID_52415B6A2B1D4D28A07C36CA61249B08",1)</f>
        <v>=DISPIMG("ID_52415B6A2B1D4D28A07C36CA61249B08",1)</v>
      </c>
      <c r="C24" s="67" t="s">
        <v>2178</v>
      </c>
      <c r="D24" s="65" t="str">
        <f>_xlfn.DISPIMG("ID_8A3A3A6C6FFE4A2F9115A34132255FC3",1)</f>
        <v>=DISPIMG("ID_8A3A3A6C6FFE4A2F9115A34132255FC3",1)</v>
      </c>
      <c r="E24" s="66"/>
    </row>
    <row r="25" ht="43.05" customHeight="1" spans="1:11">
      <c r="A25" s="66" t="s">
        <v>2198</v>
      </c>
      <c r="B25" s="63" t="str">
        <f>_xlfn.DISPIMG("ID_DC3FF61C4C3A43A8878CE11429382A86",1)</f>
        <v>=DISPIMG("ID_DC3FF61C4C3A43A8878CE11429382A86",1)</v>
      </c>
      <c r="C25" t="s">
        <v>2243</v>
      </c>
      <c r="D25" s="65" t="str">
        <f>_xlfn.DISPIMG("ID_E0483A607AB043C5893713F4F421B0AF",1)</f>
        <v>=DISPIMG("ID_E0483A607AB043C5893713F4F421B0AF",1)</v>
      </c>
      <c r="E25" s="66"/>
    </row>
    <row r="26" ht="43.05" customHeight="1" spans="1:11">
      <c r="A26" s="66" t="s">
        <v>2202</v>
      </c>
      <c r="B26" s="63" t="str">
        <f>_xlfn.DISPIMG("ID_6BD44C88BDF04BC28506CFEE37C08E21",1)</f>
        <v>=DISPIMG("ID_6BD44C88BDF04BC28506CFEE37C08E21",1)</v>
      </c>
      <c r="C26" s="67" t="s">
        <v>2261</v>
      </c>
      <c r="D26" s="65" t="str">
        <f>_xlfn.DISPIMG("ID_627B5B3B6ADA47B9A3CC2575279ECC44",1)</f>
        <v>=DISPIMG("ID_627B5B3B6ADA47B9A3CC2575279ECC44",1)</v>
      </c>
      <c r="E26" s="66"/>
    </row>
    <row r="27" ht="43.05" customHeight="1" spans="1:11">
      <c r="A27" s="66" t="s">
        <v>44</v>
      </c>
      <c r="B27" s="63" t="str">
        <f>_xlfn.DISPIMG("ID_B4C652478C52453380C9AA09DFBAEA6F",1)</f>
        <v>=DISPIMG("ID_B4C652478C52453380C9AA09DFBAEA6F",1)</v>
      </c>
      <c r="C27" s="67" t="s">
        <v>2266</v>
      </c>
      <c r="D27" s="65" t="str">
        <f>_xlfn.DISPIMG("ID_51B4A4E681D44155ACD8BC7D27A22DE1",1)</f>
        <v>=DISPIMG("ID_51B4A4E681D44155ACD8BC7D27A22DE1",1)</v>
      </c>
      <c r="E27" s="66"/>
    </row>
    <row r="28" ht="43.05" customHeight="1" spans="1:11">
      <c r="A28" s="66" t="s">
        <v>2190</v>
      </c>
      <c r="B28" s="63" t="str">
        <f>_xlfn.DISPIMG("ID_A73A0903F4264DAB82ED6940717697CB",1)</f>
        <v>=DISPIMG("ID_A73A0903F4264DAB82ED6940717697CB",1)</v>
      </c>
      <c r="C28" s="67" t="s">
        <v>2179</v>
      </c>
      <c r="D28" s="65" t="str">
        <f>_xlfn.DISPIMG("ID_A619715545F6466EAF5FF4EC9A627A83",1)</f>
        <v>=DISPIMG("ID_A619715545F6466EAF5FF4EC9A627A83",1)</v>
      </c>
      <c r="E28" s="66"/>
    </row>
    <row r="29" ht="43.05" customHeight="1" spans="1:11">
      <c r="A29" s="66" t="s">
        <v>2187</v>
      </c>
      <c r="B29" s="63" t="str">
        <f>_xlfn.DISPIMG("ID_3CC9339639E34C35B185CE317598FFE5",1)</f>
        <v>=DISPIMG("ID_3CC9339639E34C35B185CE317598FFE5",1)</v>
      </c>
      <c r="C29" s="67" t="s">
        <v>2237</v>
      </c>
      <c r="D29" s="65" t="str">
        <f>_xlfn.DISPIMG("ID_67E70C85B5E94E06BEDC8322323DB34F",1)</f>
        <v>=DISPIMG("ID_67E70C85B5E94E06BEDC8322323DB34F",1)</v>
      </c>
      <c r="E29" s="66"/>
    </row>
    <row r="30" ht="43.05" customHeight="1" spans="1:11">
      <c r="C30" s="67" t="s">
        <v>2182</v>
      </c>
      <c r="D30" s="65" t="str">
        <f>_xlfn.DISPIMG("ID_9B3AF7493347416FB7CC44E188B7DAD0",1)</f>
        <v>=DISPIMG("ID_9B3AF7493347416FB7CC44E188B7DAD0",1)</v>
      </c>
      <c r="E30" s="66"/>
    </row>
    <row r="31" ht="43.05" customHeight="1" spans="1:11">
      <c r="C31" s="67" t="s">
        <v>2180</v>
      </c>
      <c r="D31" s="65" t="str">
        <f>_xlfn.DISPIMG("ID_9D483020AB87475C9D130AB233FB50FC",1)</f>
        <v>=DISPIMG("ID_9D483020AB87475C9D130AB233FB50FC",1)</v>
      </c>
      <c r="E31" s="66"/>
    </row>
    <row r="32" ht="43.05" customHeight="1" spans="1:11">
      <c r="C32" s="67" t="s">
        <v>2181</v>
      </c>
      <c r="D32" s="65" t="str">
        <f>_xlfn.DISPIMG("ID_2043D1D571B44113913F90DAD270C230",1)</f>
        <v>=DISPIMG("ID_2043D1D571B44113913F90DAD270C230",1)</v>
      </c>
      <c r="E32" s="66"/>
    </row>
    <row r="33" ht="43.05" customHeight="1" spans="3:7">
      <c r="C33" s="67" t="s">
        <v>2264</v>
      </c>
      <c r="D33" s="65" t="str">
        <f>_xlfn.DISPIMG("ID_75FFA70B2C824179836D8DA037F08694",1)</f>
        <v>=DISPIMG("ID_75FFA70B2C824179836D8DA037F08694",1)</v>
      </c>
      <c r="E33" s="66"/>
    </row>
    <row r="34" ht="43.05" customHeight="1" spans="3:7">
      <c r="C34" s="67" t="s">
        <v>2241</v>
      </c>
      <c r="D34" s="65" t="str">
        <f>_xlfn.DISPIMG("ID_55ED5011E91E401EAC898BCC296F7884",1)</f>
        <v>=DISPIMG("ID_55ED5011E91E401EAC898BCC296F7884",1)</v>
      </c>
    </row>
    <row r="35" ht="43.05" customHeight="1" spans="3:7">
      <c r="C35" s="66" t="s">
        <v>2248</v>
      </c>
      <c r="D35" s="65" t="str">
        <f>_xlfn.DISPIMG("ID_340ECEE81B904C63BC1FDB79FEE97A77",1)</f>
        <v>=DISPIMG("ID_340ECEE81B904C63BC1FDB79FEE97A77",1)</v>
      </c>
      <c r="F35" s="67"/>
      <c r="G35" s="66"/>
    </row>
    <row r="36" ht="43.05" customHeight="1" spans="3:7">
      <c r="C36" t="s">
        <v>2196</v>
      </c>
      <c r="D36" s="65" t="str">
        <f>_xlfn.DISPIMG("ID_711A68FC722D47E39FEB7C80579ECDFB",1)</f>
        <v>=DISPIMG("ID_711A68FC722D47E39FEB7C80579ECDFB",1)</v>
      </c>
    </row>
    <row r="37" ht="43.05" customHeight="1" spans="3:7">
      <c r="C37" t="s">
        <v>2221</v>
      </c>
      <c r="D37" s="65" t="str">
        <f>_xlfn.DISPIMG("ID_CDF75A9588564816BC80857A5E0A0534",1)</f>
        <v>=DISPIMG("ID_CDF75A9588564816BC80857A5E0A0534",1)</v>
      </c>
    </row>
    <row r="38" ht="43.05" customHeight="1" spans="3:7">
      <c r="C38" t="s">
        <v>2197</v>
      </c>
      <c r="D38" s="65" t="str">
        <f>_xlfn.DISPIMG("ID_F68FB23C557B439B8A2572C0FBE16F40",1)</f>
        <v>=DISPIMG("ID_F68FB23C557B439B8A2572C0FBE16F40",1)</v>
      </c>
    </row>
    <row r="39" ht="43.05" customHeight="1" spans="3:7">
      <c r="C39" t="s">
        <v>2234</v>
      </c>
      <c r="D39" s="65" t="str">
        <f>_xlfn.DISPIMG("ID_FCAFC47947C24D5D81B03CE4B8E39B3F",1)</f>
        <v>=DISPIMG("ID_FCAFC47947C24D5D81B03CE4B8E39B3F",1)</v>
      </c>
    </row>
    <row r="40" ht="43.05" customHeight="1" spans="3:7">
      <c r="C40" t="s">
        <v>2195</v>
      </c>
      <c r="D40" s="65" t="str">
        <f>_xlfn.DISPIMG("ID_D02AFEA056F34EDF9305AB2E62A6F194",1)</f>
        <v>=DISPIMG("ID_D02AFEA056F34EDF9305AB2E62A6F194",1)</v>
      </c>
    </row>
    <row r="41" ht="43.05" customHeight="1" spans="3:7">
      <c r="C41" s="67" t="s">
        <v>2254</v>
      </c>
      <c r="D41" s="65" t="str">
        <f>_xlfn.DISPIMG("ID_42628839994B45458AFF7794DE1DB7BB",1)</f>
        <v>=DISPIMG("ID_42628839994B45458AFF7794DE1DB7BB",1)</v>
      </c>
      <c r="F41" s="67"/>
    </row>
    <row r="42" ht="43.05" customHeight="1" spans="3:7">
      <c r="C42" t="s">
        <v>2231</v>
      </c>
      <c r="D42" s="65" t="str">
        <f>_xlfn.DISPIMG("ID_55E27B07EFB448A3966D1B1A8A49B567",1)</f>
        <v>=DISPIMG("ID_55E27B07EFB448A3966D1B1A8A49B567",1)</v>
      </c>
    </row>
    <row r="43" ht="43.05" customHeight="1" spans="3:7">
      <c r="C43" t="s">
        <v>2262</v>
      </c>
      <c r="D43" s="65" t="str">
        <f>_xlfn.DISPIMG("ID_96EF36D3F82249A39B95CB3CFF88103F",1)</f>
        <v>=DISPIMG("ID_96EF36D3F82249A39B95CB3CFF88103F",1)</v>
      </c>
    </row>
    <row r="44" ht="43.05" customHeight="1" spans="3:7">
      <c r="C44" t="s">
        <v>2258</v>
      </c>
      <c r="D44" s="65" t="str">
        <f>_xlfn.DISPIMG("ID_31B1E1FE11A74A38B79F6511A50CFF49",1)</f>
        <v>=DISPIMG("ID_31B1E1FE11A74A38B79F6511A50CFF49",1)</v>
      </c>
    </row>
    <row r="45" ht="43.05" customHeight="1" spans="3:7">
      <c r="C45" t="s">
        <v>2184</v>
      </c>
      <c r="D45" s="65" t="str">
        <f>_xlfn.DISPIMG("ID_D58BF42396AC4308879EE20E288199CA",1)</f>
        <v>=DISPIMG("ID_D58BF42396AC4308879EE20E288199CA",1)</v>
      </c>
    </row>
    <row r="46" ht="43.05" customHeight="1" spans="3:7">
      <c r="C46" t="s">
        <v>2238</v>
      </c>
      <c r="D46" s="65" t="str">
        <f>_xlfn.DISPIMG("ID_900B474B364742B2839E0461C50AB857",1)</f>
        <v>=DISPIMG("ID_900B474B364742B2839E0461C50AB857",1)</v>
      </c>
    </row>
    <row r="47" ht="43.05" customHeight="1" spans="3:7">
      <c r="C47" t="s">
        <v>2185</v>
      </c>
      <c r="D47" s="65" t="str">
        <f>_xlfn.DISPIMG("ID_0F6C9241EA6D40A9ABB21B4A7817E458",1)</f>
        <v>=DISPIMG("ID_0F6C9241EA6D40A9ABB21B4A7817E458",1)</v>
      </c>
    </row>
    <row r="48" ht="43.05" customHeight="1" spans="3:7">
      <c r="C48" t="s">
        <v>2186</v>
      </c>
      <c r="D48" s="65" t="str">
        <f>_xlfn.DISPIMG("ID_D7C82F3FACA14305BB5D39804CA78D94",1)</f>
        <v>=DISPIMG("ID_D7C82F3FACA14305BB5D39804CA78D94",1)</v>
      </c>
    </row>
    <row r="49" ht="43.05" customHeight="1" spans="3:6">
      <c r="C49" t="s">
        <v>2219</v>
      </c>
      <c r="D49" s="65" t="str">
        <f>_xlfn.DISPIMG("ID_87BBEF148CA74F158CF4A6DE4E9CF37D",1)</f>
        <v>=DISPIMG("ID_87BBEF148CA74F158CF4A6DE4E9CF37D",1)</v>
      </c>
    </row>
    <row r="50" ht="43.05" customHeight="1" spans="3:6">
      <c r="C50" s="67" t="s">
        <v>2199</v>
      </c>
      <c r="D50" s="65" t="str">
        <f>_xlfn.DISPIMG("ID_650E4A34B21B426196708D7D30EC7645",1)</f>
        <v>=DISPIMG("ID_650E4A34B21B426196708D7D30EC7645",1)</v>
      </c>
      <c r="F50" s="67"/>
    </row>
    <row r="51" ht="43.05" customHeight="1" spans="3:6">
      <c r="C51" t="s">
        <v>2201</v>
      </c>
      <c r="D51" s="65" t="str">
        <f>_xlfn.DISPIMG("ID_6D0E85631DA94EC1A33EDB3F8C2E46CB",1)</f>
        <v>=DISPIMG("ID_6D0E85631DA94EC1A33EDB3F8C2E46CB",1)</v>
      </c>
    </row>
    <row r="52" ht="43.05" customHeight="1" spans="3:6">
      <c r="C52" t="s">
        <v>2244</v>
      </c>
      <c r="D52" s="65" t="str">
        <f>_xlfn.DISPIMG("ID_9DE61F186B5A44EB8C8D8A9CA17CBF50",1)</f>
        <v>=DISPIMG("ID_9DE61F186B5A44EB8C8D8A9CA17CBF50",1)</v>
      </c>
    </row>
    <row r="53" ht="43.05" customHeight="1" spans="3:6">
      <c r="C53" t="s">
        <v>2200</v>
      </c>
      <c r="D53" s="65" t="str">
        <f>_xlfn.DISPIMG("ID_8CC09361A8C64EECA9B27477FBBC2B30",1)</f>
        <v>=DISPIMG("ID_8CC09361A8C64EECA9B27477FBBC2B30",1)</v>
      </c>
    </row>
    <row r="54" ht="43.05" customHeight="1" spans="3:6">
      <c r="C54" t="s">
        <v>2249</v>
      </c>
      <c r="D54" s="65" t="str">
        <f>_xlfn.DISPIMG("ID_268318A30B8C44FBA9E6E8E1FCEC6FB1",1)</f>
        <v>=DISPIMG("ID_268318A30B8C44FBA9E6E8E1FCEC6FB1",1)</v>
      </c>
    </row>
    <row r="55" ht="43.05" customHeight="1" spans="3:6">
      <c r="C55" t="s">
        <v>2242</v>
      </c>
      <c r="D55" s="65" t="str">
        <f>_xlfn.DISPIMG("ID_34AF8C72BB48405DAD5FC819D163CCCC",1)</f>
        <v>=DISPIMG("ID_34AF8C72BB48405DAD5FC819D163CCCC",1)</v>
      </c>
    </row>
    <row r="56" ht="43.05" customHeight="1" spans="3:6">
      <c r="C56" t="s">
        <v>2256</v>
      </c>
      <c r="D56" s="65" t="str">
        <f>_xlfn.DISPIMG("ID_1987BC76BF3C492595F435D716BDE814",1)</f>
        <v>=DISPIMG("ID_1987BC76BF3C492595F435D716BDE814",1)</v>
      </c>
    </row>
    <row r="57" ht="43.05" customHeight="1" spans="3:6">
      <c r="C57" t="s">
        <v>2252</v>
      </c>
      <c r="D57" s="65" t="str">
        <f>_xlfn.DISPIMG("ID_724187EA4D5B47FB9E1429E0677576D7",1)</f>
        <v>=DISPIMG("ID_724187EA4D5B47FB9E1429E0677576D7",1)</v>
      </c>
    </row>
    <row r="58" ht="43.05" customHeight="1" spans="3:6">
      <c r="C58" s="67" t="s">
        <v>2265</v>
      </c>
      <c r="D58" s="65" t="str">
        <f>_xlfn.DISPIMG("ID_0745C76CA7DB47DDB14E2AEB98F48956",1)</f>
        <v>=DISPIMG("ID_0745C76CA7DB47DDB14E2AEB98F48956",1)</v>
      </c>
      <c r="F58" s="67"/>
    </row>
    <row r="59" ht="43.05" customHeight="1" spans="3:6">
      <c r="C59" t="s">
        <v>2203</v>
      </c>
      <c r="D59" s="65" t="str">
        <f>_xlfn.DISPIMG("ID_6601B38DD1A44F4D923C0AF8EAD00C85",1)</f>
        <v>=DISPIMG("ID_6601B38DD1A44F4D923C0AF8EAD00C85",1)</v>
      </c>
    </row>
    <row r="60" ht="43.05" customHeight="1" spans="3:6">
      <c r="C60" t="s">
        <v>2222</v>
      </c>
      <c r="D60" s="65" t="str">
        <f>_xlfn.DISPIMG("ID_2BA53CCA4CE84F1EADDE6FA9F5B37FAF",1)</f>
        <v>=DISPIMG("ID_2BA53CCA4CE84F1EADDE6FA9F5B37FAF",1)</v>
      </c>
    </row>
    <row r="61" ht="43.05" customHeight="1" spans="3:6">
      <c r="C61" t="s">
        <v>2257</v>
      </c>
      <c r="D61" s="65" t="str">
        <f>_xlfn.DISPIMG("ID_A90817B127234987B5D9D9856FCE9E28",1)</f>
        <v>=DISPIMG("ID_A90817B127234987B5D9D9856FCE9E28",1)</v>
      </c>
    </row>
    <row r="62" ht="43.05" customHeight="1" spans="3:6">
      <c r="C62" t="s">
        <v>2204</v>
      </c>
      <c r="D62" s="65" t="str">
        <f>_xlfn.DISPIMG("ID_EED51BDA0129403AB88AC1181045C08D",1)</f>
        <v>=DISPIMG("ID_EED51BDA0129403AB88AC1181045C08D",1)</v>
      </c>
    </row>
    <row r="63" ht="43.05" customHeight="1" spans="3:6">
      <c r="C63" t="s">
        <v>2235</v>
      </c>
      <c r="D63" s="65" t="str">
        <f>_xlfn.DISPIMG("ID_9B0638086A6C4D9C8C8FEDB24747A8A4",1)</f>
        <v>=DISPIMG("ID_9B0638086A6C4D9C8C8FEDB24747A8A4",1)</v>
      </c>
    </row>
    <row r="64" ht="43.05" customHeight="1" spans="3:6">
      <c r="C64" t="s">
        <v>2263</v>
      </c>
      <c r="D64" s="65" t="str">
        <f>_xlfn.DISPIMG("ID_E845A5320CAD44A9BFD6E151F5F18BFC",1)</f>
        <v>=DISPIMG("ID_E845A5320CAD44A9BFD6E151F5F18BFC",1)</v>
      </c>
    </row>
    <row r="65" ht="43.05" customHeight="1" spans="3:6">
      <c r="C65" t="s">
        <v>2250</v>
      </c>
      <c r="D65" s="65" t="str">
        <f>_xlfn.DISPIMG("ID_12839D4FE4AB45359BB8E9884953DF81",1)</f>
        <v>=DISPIMG("ID_12839D4FE4AB45359BB8E9884953DF81",1)</v>
      </c>
    </row>
    <row r="66" ht="43.05" customHeight="1" spans="3:6">
      <c r="C66" t="s">
        <v>2260</v>
      </c>
      <c r="D66" s="65" t="str">
        <f>_xlfn.DISPIMG("ID_AE8F2C60D7AA41FFA9E81C3C13CEF01C",1)</f>
        <v>=DISPIMG("ID_AE8F2C60D7AA41FFA9E81C3C13CEF01C",1)</v>
      </c>
    </row>
    <row r="67" ht="43.05" customHeight="1" spans="3:6">
      <c r="C67" t="s">
        <v>2253</v>
      </c>
      <c r="D67" s="65" t="str">
        <f>_xlfn.DISPIMG("ID_587F5504AC034E57906F1999DD0D79F6",1)</f>
        <v>=DISPIMG("ID_587F5504AC034E57906F1999DD0D79F6",1)</v>
      </c>
    </row>
    <row r="68" ht="43.05" customHeight="1" spans="3:6">
      <c r="C68" t="s">
        <v>46</v>
      </c>
      <c r="D68" s="65" t="str">
        <f>_xlfn.DISPIMG("ID_411D84E06C08443995D759FB88AFFC25",1)</f>
        <v>=DISPIMG("ID_411D84E06C08443995D759FB88AFFC25",1)</v>
      </c>
      <c r="F68" s="67"/>
    </row>
    <row r="69" ht="43.05" customHeight="1" spans="3:6">
      <c r="C69" t="s">
        <v>2175</v>
      </c>
      <c r="D69" s="65" t="str">
        <f>_xlfn.DISPIMG("ID_4531C3F21E7D4959BFBDD1BEE8C35193",1)</f>
        <v>=DISPIMG("ID_4531C3F21E7D4959BFBDD1BEE8C35193",1)</v>
      </c>
    </row>
    <row r="70" ht="43.05" customHeight="1" spans="3:6">
      <c r="C70" t="s">
        <v>2236</v>
      </c>
      <c r="D70" s="65" t="str">
        <f>_xlfn.DISPIMG("ID_E5459B55432144A9BE0802B7314E7226",1)</f>
        <v>=DISPIMG("ID_E5459B55432144A9BE0802B7314E7226",1)</v>
      </c>
    </row>
    <row r="71" ht="43.05" customHeight="1" spans="3:6">
      <c r="C71" t="s">
        <v>2176</v>
      </c>
      <c r="D71" s="65" t="str">
        <f>_xlfn.DISPIMG("ID_5E2AC4CDC2E5479A8CB02CD57CAC9231",1)</f>
        <v>=DISPIMG("ID_5E2AC4CDC2E5479A8CB02CD57CAC9231",1)</v>
      </c>
    </row>
    <row r="72" ht="43.05" customHeight="1" spans="3:6">
      <c r="C72" t="s">
        <v>2245</v>
      </c>
      <c r="D72" s="65" t="str">
        <f>_xlfn.DISPIMG("ID_5114C21391D644A0B74979067F5316AE",1)</f>
        <v>=DISPIMG("ID_5114C21391D644A0B74979067F5316AE",1)</v>
      </c>
    </row>
    <row r="73" ht="43.05" customHeight="1" spans="3:6">
      <c r="C73" s="67" t="s">
        <v>2233</v>
      </c>
      <c r="D73" s="65" t="str">
        <f>_xlfn.DISPIMG("ID_0413AC295DEA416DB25AFCCF674B467D",1)</f>
        <v>=DISPIMG("ID_0413AC295DEA416DB25AFCCF674B467D",1)</v>
      </c>
      <c r="E73" s="67"/>
    </row>
    <row r="74" ht="43.05" customHeight="1" spans="3:6">
      <c r="C74" t="s">
        <v>2251</v>
      </c>
      <c r="D74" s="65" t="str">
        <f>_xlfn.DISPIMG("ID_543CEB5128D34C7B86B42FC8E8D28A51",1)</f>
        <v>=DISPIMG("ID_543CEB5128D34C7B86B42FC8E8D28A51",1)</v>
      </c>
    </row>
    <row r="75" ht="43.05" customHeight="1" spans="3:6">
      <c r="C75" t="s">
        <v>2240</v>
      </c>
      <c r="D75" s="65" t="str">
        <f>_xlfn.DISPIMG("ID_7B87AE799769450B9256FAAF182CD9AE",1)</f>
        <v>=DISPIMG("ID_7B87AE799769450B9256FAAF182CD9AE",1)</v>
      </c>
    </row>
    <row r="76" ht="43.05" customHeight="1" spans="3:6">
      <c r="C76" t="s">
        <v>2192</v>
      </c>
      <c r="D76" s="65" t="str">
        <f>_xlfn.DISPIMG("ID_F47D1CE6A416434C8C6DECDA90B84463",1)</f>
        <v>=DISPIMG("ID_F47D1CE6A416434C8C6DECDA90B84463",1)</v>
      </c>
    </row>
    <row r="77" ht="43.05" customHeight="1" spans="3:6">
      <c r="C77" t="s">
        <v>2193</v>
      </c>
      <c r="D77" s="65" t="str">
        <f>_xlfn.DISPIMG("ID_1535B9B984F542669E3F4CDECDF0E294",1)</f>
        <v>=DISPIMG("ID_1535B9B984F542669E3F4CDECDF0E294",1)</v>
      </c>
    </row>
    <row r="78" ht="43.05" customHeight="1" spans="3:6">
      <c r="C78" t="s">
        <v>2191</v>
      </c>
      <c r="D78" s="65" t="str">
        <f>_xlfn.DISPIMG("ID_429575C20C454685927B901E0BD3B163",1)</f>
        <v>=DISPIMG("ID_429575C20C454685927B901E0BD3B163",1)</v>
      </c>
    </row>
    <row r="79" ht="43.05" customHeight="1" spans="3:6">
      <c r="C79" s="67" t="s">
        <v>2255</v>
      </c>
      <c r="D79" s="65" t="str">
        <f>_xlfn.DISPIMG("ID_72337A65D96F4DCBB149A894D71C0F01",1)</f>
        <v>=DISPIMG("ID_72337A65D96F4DCBB149A894D71C0F01",1)</v>
      </c>
      <c r="E79" s="67"/>
    </row>
    <row r="80" ht="43.05" customHeight="1" spans="3:6">
      <c r="C80" t="s">
        <v>2259</v>
      </c>
      <c r="D80" s="65" t="str">
        <f>_xlfn.DISPIMG("ID_BC9BF5D8FB1C4CBA87DE995C8A8FFCAA",1)</f>
        <v>=DISPIMG("ID_BC9BF5D8FB1C4CBA87DE995C8A8FFCAA",1)</v>
      </c>
    </row>
    <row r="81" ht="43.05" customHeight="1" spans="3:4">
      <c r="C81" t="s">
        <v>2220</v>
      </c>
      <c r="D81" s="65" t="str">
        <f>_xlfn.DISPIMG("ID_90F20AB540BE45CFAC9BB23F4390FC05",1)</f>
        <v>=DISPIMG("ID_90F20AB540BE45CFAC9BB23F4390FC05",1)</v>
      </c>
    </row>
    <row r="82" ht="43.05" customHeight="1" spans="3:4">
      <c r="C82" t="s">
        <v>2232</v>
      </c>
      <c r="D82" s="65" t="str">
        <f>_xlfn.DISPIMG("ID_EDC42243F4724EBD938FA33CE8845F07",1)</f>
        <v>=DISPIMG("ID_EDC42243F4724EBD938FA33CE8845F07",1)</v>
      </c>
    </row>
    <row r="83" ht="43.05" customHeight="1" spans="3:4">
      <c r="C83" t="s">
        <v>2239</v>
      </c>
      <c r="D83" s="65" t="str">
        <f>_xlfn.DISPIMG("ID_E54B32B7B56745BDA30D02BC0C5D532C",1)</f>
        <v>=DISPIMG("ID_E54B32B7B56745BDA30D02BC0C5D532C",1)</v>
      </c>
    </row>
    <row r="84" ht="43.05" customHeight="1" spans="3:4">
      <c r="C84" t="s">
        <v>2189</v>
      </c>
      <c r="D84" s="65" t="str">
        <f>_xlfn.DISPIMG("ID_88A769A11C8243D5AA8B415ADF26F880",1)</f>
        <v>=DISPIMG("ID_88A769A11C8243D5AA8B415ADF26F880",1)</v>
      </c>
    </row>
    <row r="85" ht="43.05" customHeight="1" spans="3:4">
      <c r="C85" t="s">
        <v>2188</v>
      </c>
      <c r="D85" s="65" t="str">
        <f>_xlfn.DISPIMG("ID_947A4308C71C49A596D7AA046DD6E883",1)</f>
        <v>=DISPIMG("ID_947A4308C71C49A596D7AA046DD6E883",1)</v>
      </c>
    </row>
    <row r="86" ht="43.05" customHeight="1" spans="3:4">
      <c r="C86" t="s">
        <v>2247</v>
      </c>
      <c r="D86" s="65" t="str">
        <f>_xlfn.DISPIMG("ID_020B7383D9B74101917D14ADD1270259",1)</f>
        <v>=DISPIMG("ID_020B7383D9B74101917D14ADD1270259",1)</v>
      </c>
    </row>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sheetPr>
  <dimension ref="A1:AD66"/>
  <sheetViews>
    <sheetView workbookViewId="0">
      <pane xSplit="2" ySplit="4" topLeftCell="C45" activePane="bottomRight" state="frozen"/>
      <selection/>
      <selection pane="topRight"/>
      <selection pane="bottomLeft"/>
      <selection pane="bottomRight" activeCell="K46" sqref="K46"/>
    </sheetView>
  </sheetViews>
  <sheetFormatPr defaultColWidth="15" defaultRowHeight="14.4"/>
  <cols>
    <col min="1" max="1" width="9" customWidth="1"/>
    <col min="2" max="2" width="12.1111111111111" customWidth="1"/>
    <col min="3" max="5" width="9.44444444444444" customWidth="1"/>
    <col min="6" max="11" width="12.1111111111111" customWidth="1"/>
    <col min="12" max="12" width="9.33333333333333" customWidth="1"/>
    <col min="13" max="13" width="9.44444444444444" customWidth="1"/>
    <col min="14" max="14" width="12.3796296296296" customWidth="1"/>
    <col min="15" max="15" width="16.037037037037" customWidth="1"/>
    <col min="16" max="16" width="16.4722222222222" customWidth="1"/>
    <col min="17" max="17" width="18.9537037037037" customWidth="1"/>
    <col min="18" max="18" width="18.037037037037" customWidth="1"/>
    <col min="19" max="19" width="14.9444444444444" customWidth="1"/>
    <col min="20" max="24" width="3.66666666666667" customWidth="1"/>
    <col min="25" max="16384" width="15" customWidth="1"/>
  </cols>
  <sheetData>
    <row r="1" spans="1:30">
      <c r="A1" s="38" t="s">
        <v>2268</v>
      </c>
      <c r="B1" t="s">
        <v>77</v>
      </c>
      <c r="C1" t="s">
        <v>151</v>
      </c>
      <c r="D1" t="s">
        <v>2269</v>
      </c>
      <c r="E1" t="s">
        <v>2270</v>
      </c>
      <c r="F1" t="s">
        <v>2271</v>
      </c>
      <c r="G1" t="s">
        <v>2272</v>
      </c>
      <c r="H1" t="s">
        <v>157</v>
      </c>
      <c r="I1" t="s">
        <v>137</v>
      </c>
      <c r="J1" t="s">
        <v>157</v>
      </c>
      <c r="K1" t="s">
        <v>2273</v>
      </c>
      <c r="L1" t="s">
        <v>2274</v>
      </c>
      <c r="M1" t="s">
        <v>2275</v>
      </c>
      <c r="N1" t="s">
        <v>2276</v>
      </c>
      <c r="P1" t="s">
        <v>113</v>
      </c>
      <c r="Q1" t="s">
        <v>2277</v>
      </c>
    </row>
    <row r="2" customFormat="1" spans="1:30">
      <c r="A2" s="38"/>
      <c r="B2" s="38" t="s">
        <v>256</v>
      </c>
      <c r="C2" s="38">
        <f ca="1">主卡!Q4</f>
        <v>5</v>
      </c>
      <c r="D2" s="38">
        <f>主卡!AX10</f>
        <v>1</v>
      </c>
      <c r="E2" s="38">
        <f ca="1">C2*D3</f>
        <v>15</v>
      </c>
      <c r="F2" s="38">
        <f ca="1">(D2-1)*(C2/C3+E3)</f>
        <v>0</v>
      </c>
      <c r="G2">
        <f>主卡!AH45</f>
        <v>0</v>
      </c>
      <c r="H2" s="38" t="e">
        <f>VLOOKUP(G2,简化卡!J2:K21,2,0)</f>
        <v>#N/A</v>
      </c>
      <c r="I2" s="38">
        <f>主卡!AH35</f>
        <v>0</v>
      </c>
      <c r="J2" s="38">
        <f>IFERROR(VLOOKUP(I2,简化卡!J2:K25,2,0),0)</f>
        <v>0</v>
      </c>
      <c r="K2" s="38">
        <f>H3</f>
        <v>3</v>
      </c>
      <c r="L2" s="38" t="e">
        <f>H2*I3+J2*F3</f>
        <v>#N/A</v>
      </c>
      <c r="M2" s="38">
        <f>J3</f>
        <v>3</v>
      </c>
      <c r="N2" t="e">
        <f>H2*K3+J2*F3</f>
        <v>#N/A</v>
      </c>
      <c r="O2" s="39"/>
      <c r="P2" s="38">
        <f ca="1">主卡!Q7</f>
        <v>5</v>
      </c>
      <c r="Q2" s="38">
        <f ca="1">P2*(2/3+1/3*下拉列表!V2)*IF(L3="近战",0.5,1)</f>
        <v>1.66666666666667</v>
      </c>
      <c r="R2" s="38"/>
      <c r="Y2" s="38"/>
      <c r="Z2" s="38"/>
      <c r="AB2" s="38"/>
      <c r="AC2" s="38"/>
      <c r="AD2" s="38"/>
    </row>
    <row r="3" customFormat="1" ht="22" customHeight="1" spans="1:30">
      <c r="A3" s="38" t="s">
        <v>2143</v>
      </c>
      <c r="B3" s="38" t="str">
        <f>主卡!H9</f>
        <v>冲锋手</v>
      </c>
      <c r="C3" s="38">
        <f>VLOOKUP($B$3,$B$4:$AC$59,2,0)</f>
        <v>6</v>
      </c>
      <c r="D3" s="38">
        <f>VLOOKUP($B$3,$B$4:$AC$59,3,0)</f>
        <v>3</v>
      </c>
      <c r="E3" s="38">
        <f>VLOOKUP($B$3,$B$4:$AC$59,4,0)</f>
        <v>2</v>
      </c>
      <c r="F3" s="38">
        <f>VLOOKUP($B$3,$B$4:$AC$59,5,0)</f>
        <v>0</v>
      </c>
      <c r="G3" s="38" t="str">
        <f>VLOOKUP($B$3,$B$4:$AC$59,6,0)</f>
        <v>中甲</v>
      </c>
      <c r="H3" s="38">
        <f>VLOOKUP($B$3,$B$4:$AC$59,7,0)</f>
        <v>3</v>
      </c>
      <c r="I3" s="38">
        <f>VLOOKUP($B$3,$B$4:$AC$59,8,0)</f>
        <v>3</v>
      </c>
      <c r="J3" s="38">
        <f>VLOOKUP($B$3,$B$4:$AC$59,9,0)</f>
        <v>3</v>
      </c>
      <c r="K3" s="38">
        <f>VLOOKUP($B$3,$B$4:$AC$59,10,0)</f>
        <v>2.5</v>
      </c>
      <c r="L3" s="38" t="str">
        <f>VLOOKUP($B$3,$B$4:$AC$59,11,0)</f>
        <v>近战</v>
      </c>
      <c r="M3" s="38" t="str">
        <f>VLOOKUP($B$3,$B$4:$AC$59,12,0)</f>
        <v>=DISPIMG("ID_2FB619546A2944C291EBF3957FDE2776",1)</v>
      </c>
      <c r="N3" s="40" t="str">
        <f>VLOOKUP(B3,B4:O59,13,0)</f>
        <v>穿戴中甲，具有中生命值
擅长通过快速移动对敌人造成大量伤害的近战输出职业</v>
      </c>
      <c r="O3" s="41" t="str">
        <f>VLOOKUP($B$3,$B$4:$AC$59,14,0)</f>
        <v>伤害骰面为D6的近战物理武器
通常是各类长柄武器，如长枪和戟。
能够在中等距离发动灵活的突刺，将移动与伤害合为一体。</v>
      </c>
      <c r="S3" s="42" t="str">
        <f>VLOOKUP($B$3,$B$4:$AC$59,18,0)</f>
        <v>你的回合结束时，如果你本回合主动移动过至少3个战术格，获得4SP。
每进入一个新的阶段，获得的SP+1</v>
      </c>
      <c r="Y3" s="38"/>
      <c r="Z3" s="38"/>
      <c r="AB3" s="38"/>
      <c r="AC3" s="38"/>
    </row>
    <row r="4" customFormat="1" ht="23.7" spans="1:30">
      <c r="A4" s="1" t="s">
        <v>2278</v>
      </c>
      <c r="B4" s="2" t="s">
        <v>2279</v>
      </c>
      <c r="C4" s="2" t="s">
        <v>2280</v>
      </c>
      <c r="D4" s="2" t="s">
        <v>2281</v>
      </c>
      <c r="E4" s="2" t="s">
        <v>2282</v>
      </c>
      <c r="F4" s="2" t="s">
        <v>2283</v>
      </c>
      <c r="G4" s="2" t="s">
        <v>2284</v>
      </c>
      <c r="H4" s="2" t="s">
        <v>2285</v>
      </c>
      <c r="I4" s="2" t="s">
        <v>2286</v>
      </c>
      <c r="J4" s="2" t="s">
        <v>2287</v>
      </c>
      <c r="K4" s="2" t="s">
        <v>2288</v>
      </c>
      <c r="L4" s="2" t="s">
        <v>2289</v>
      </c>
      <c r="M4" s="43" t="s">
        <v>67</v>
      </c>
      <c r="N4" s="43" t="s">
        <v>71</v>
      </c>
      <c r="O4" s="43" t="s">
        <v>2290</v>
      </c>
      <c r="P4" s="43" t="s">
        <v>2291</v>
      </c>
      <c r="Q4" s="43" t="s">
        <v>2292</v>
      </c>
      <c r="R4" s="43" t="s">
        <v>2293</v>
      </c>
      <c r="S4" s="43" t="s">
        <v>2294</v>
      </c>
      <c r="T4" s="44">
        <v>17</v>
      </c>
      <c r="U4" s="44">
        <v>18</v>
      </c>
      <c r="V4" s="44">
        <v>19</v>
      </c>
      <c r="W4" s="44">
        <v>20</v>
      </c>
      <c r="X4" s="44">
        <v>21</v>
      </c>
    </row>
    <row r="5" customFormat="1" ht="178.5" spans="1:30">
      <c r="A5" s="3" t="s">
        <v>2177</v>
      </c>
      <c r="B5" s="9" t="s">
        <v>2178</v>
      </c>
      <c r="C5" s="45" cm="1">
        <f t="array" ref="C5">_xlfn.IFS(G5="轻甲",8,G5="中甲",6,G5="重甲",4)</f>
        <v>6</v>
      </c>
      <c r="D5" s="46">
        <v>3</v>
      </c>
      <c r="E5" s="47" cm="1">
        <f t="array" ref="E5">_xlfn.IFS(P5="低血量",1,P5="中血量",2,P5="高血量",3)</f>
        <v>3</v>
      </c>
      <c r="F5" s="47">
        <v>0</v>
      </c>
      <c r="G5" s="48" t="s">
        <v>2295</v>
      </c>
      <c r="H5" s="47">
        <v>3</v>
      </c>
      <c r="I5" s="47" cm="1">
        <f t="array" ref="I5">_xlfn.IFS(G5="轻甲",2.5,G5="中甲",3,G5="重甲",3.5)+Q5</f>
        <v>3</v>
      </c>
      <c r="J5" s="47">
        <v>3</v>
      </c>
      <c r="K5" s="47" cm="1">
        <f t="array" ref="K5">_xlfn.IFS(G5="轻甲",2.5,G5="中甲",3,G5="重甲",3.5)+R5</f>
        <v>2.5</v>
      </c>
      <c r="L5" s="47" t="s">
        <v>2296</v>
      </c>
      <c r="M5" s="28" t="str">
        <f>_xlfn.DISPIMG("ID_4A9D6CEFCEC74728B7ADADA2F836EFF5",1)</f>
        <v>=DISPIMG("ID_4A9D6CEFCEC74728B7ADADA2F836EFF5",1)</v>
      </c>
      <c r="N5" s="49" t="s">
        <v>2297</v>
      </c>
      <c r="O5" s="49" t="s">
        <v>2298</v>
      </c>
      <c r="P5" s="48" t="s">
        <v>2299</v>
      </c>
      <c r="Q5" s="45">
        <v>0</v>
      </c>
      <c r="R5" s="45">
        <v>-0.5</v>
      </c>
      <c r="S5" s="49" t="s">
        <v>2300</v>
      </c>
      <c r="T5" s="45"/>
      <c r="U5" s="45"/>
      <c r="V5" s="45"/>
      <c r="W5" s="45"/>
      <c r="X5" s="50"/>
    </row>
    <row r="6" customFormat="1" ht="206.5" spans="1:30">
      <c r="A6" s="51"/>
      <c r="B6" s="9" t="s">
        <v>2179</v>
      </c>
      <c r="C6" s="45" cm="1">
        <f t="array" ref="C6">_xlfn.IFS(G6="轻甲",8,G6="中甲",6,G6="重甲",4)</f>
        <v>6</v>
      </c>
      <c r="D6" s="46">
        <v>3</v>
      </c>
      <c r="E6" s="47" cm="1">
        <f t="array" ref="E6">_xlfn.IFS(P6="低血量",1,P6="中血量",2,P6="高血量",3)</f>
        <v>3</v>
      </c>
      <c r="F6" s="46">
        <v>0</v>
      </c>
      <c r="G6" s="52" t="s">
        <v>2295</v>
      </c>
      <c r="H6" s="46">
        <v>3</v>
      </c>
      <c r="I6" s="47" cm="1">
        <f t="array" ref="I6">_xlfn.IFS(G6="轻甲",2.5,G6="中甲",3,G6="重甲",3.5)+Q6</f>
        <v>3</v>
      </c>
      <c r="J6" s="46">
        <v>3</v>
      </c>
      <c r="K6" s="47" cm="1">
        <f t="array" ref="K6">_xlfn.IFS(G6="轻甲",2.5,G6="中甲",3,G6="重甲",3.5)+R6</f>
        <v>2.5</v>
      </c>
      <c r="L6" s="46" t="s">
        <v>2296</v>
      </c>
      <c r="M6" s="28" t="str">
        <f>_xlfn.DISPIMG("ID_24B8006D8B31447DB954B3F97BE5472C",1)</f>
        <v>=DISPIMG("ID_24B8006D8B31447DB954B3F97BE5472C",1)</v>
      </c>
      <c r="N6" s="53" t="s">
        <v>2301</v>
      </c>
      <c r="O6" s="53" t="s">
        <v>2302</v>
      </c>
      <c r="P6" s="52" t="s">
        <v>2299</v>
      </c>
      <c r="Q6" s="45">
        <v>0</v>
      </c>
      <c r="R6" s="45">
        <v>-0.5</v>
      </c>
      <c r="S6" s="53" t="s">
        <v>2303</v>
      </c>
      <c r="T6" s="28"/>
      <c r="U6" s="28"/>
      <c r="V6" s="28"/>
      <c r="W6" s="28"/>
      <c r="X6" s="29"/>
    </row>
    <row r="7" customFormat="1" ht="30" customHeight="1" spans="1:30">
      <c r="A7" s="51"/>
      <c r="B7" s="9" t="s">
        <v>2237</v>
      </c>
      <c r="C7" s="45" t="e" cm="1">
        <f t="array" ref="C7">_xlfn.IFS(G7="轻甲",8,G7="中甲",6,G7="重甲",4)</f>
        <v>#N/A</v>
      </c>
      <c r="D7" s="46">
        <v>3.5</v>
      </c>
      <c r="E7" s="47" t="e" cm="1">
        <f t="array" ref="E7">_xlfn.IFS(P7="低血量",1,P7="中血量",2,P7="高血量",3)</f>
        <v>#N/A</v>
      </c>
      <c r="F7" s="46"/>
      <c r="G7" s="46"/>
      <c r="H7" s="46"/>
      <c r="I7" s="47" t="e" cm="1">
        <f t="array" ref="I7">_xlfn.IFS(G7="轻甲",2.5,G7="中甲",3,G7="重甲",3.5)+Q7</f>
        <v>#N/A</v>
      </c>
      <c r="J7" s="46"/>
      <c r="K7" s="47" t="e" cm="1">
        <f t="array" ref="K7">_xlfn.IFS(G7="轻甲",2.5,G7="中甲",3,G7="重甲",3.5)+R7</f>
        <v>#N/A</v>
      </c>
      <c r="L7" s="46"/>
      <c r="M7" s="28"/>
      <c r="N7" s="28"/>
      <c r="O7" s="28"/>
      <c r="P7" s="46"/>
      <c r="Q7" s="28"/>
      <c r="R7" s="28"/>
      <c r="S7" s="28"/>
      <c r="T7" s="28"/>
      <c r="U7" s="28"/>
      <c r="V7" s="28"/>
      <c r="W7" s="28"/>
      <c r="X7" s="29"/>
    </row>
    <row r="8" customFormat="1" ht="30" customHeight="1" spans="1:30">
      <c r="A8" s="51"/>
      <c r="B8" s="9" t="s">
        <v>2243</v>
      </c>
      <c r="C8" s="45" t="e" cm="1">
        <f t="array" ref="C8">_xlfn.IFS(G8="轻甲",8,G8="中甲",6,G8="重甲",4)</f>
        <v>#N/A</v>
      </c>
      <c r="D8" s="46">
        <v>3.5</v>
      </c>
      <c r="E8" s="47" t="e" cm="1">
        <f t="array" ref="E8">_xlfn.IFS(P8="低血量",1,P8="中血量",2,P8="高血量",3)</f>
        <v>#N/A</v>
      </c>
      <c r="F8" s="46"/>
      <c r="G8" s="46"/>
      <c r="H8" s="46"/>
      <c r="I8" s="47" t="e" cm="1">
        <f t="array" ref="I8">_xlfn.IFS(G8="轻甲",2.5,G8="中甲",3,G8="重甲",3.5)+Q8</f>
        <v>#N/A</v>
      </c>
      <c r="J8" s="46"/>
      <c r="K8" s="47" t="e" cm="1">
        <f t="array" ref="K8">_xlfn.IFS(G8="轻甲",2.5,G8="中甲",3,G8="重甲",3.5)+R8</f>
        <v>#N/A</v>
      </c>
      <c r="L8" s="46"/>
      <c r="M8" s="28"/>
      <c r="N8" s="28"/>
      <c r="O8" s="28"/>
      <c r="P8" s="46"/>
      <c r="Q8" s="28"/>
      <c r="R8" s="28"/>
      <c r="S8" s="28"/>
      <c r="T8" s="28"/>
      <c r="U8" s="28"/>
      <c r="V8" s="28"/>
      <c r="W8" s="28"/>
      <c r="X8" s="29"/>
    </row>
    <row r="9" customFormat="1" ht="30" customHeight="1" spans="1:30">
      <c r="A9" s="51"/>
      <c r="B9" s="9" t="s">
        <v>2246</v>
      </c>
      <c r="C9" s="45" t="e" cm="1">
        <f t="array" ref="C9">_xlfn.IFS(G9="轻甲",8,G9="中甲",6,G9="重甲",4)</f>
        <v>#N/A</v>
      </c>
      <c r="D9" s="46">
        <v>3.5</v>
      </c>
      <c r="E9" s="47" t="e" cm="1">
        <f t="array" ref="E9">_xlfn.IFS(P9="低血量",1,P9="中血量",2,P9="高血量",3)</f>
        <v>#N/A</v>
      </c>
      <c r="F9" s="46"/>
      <c r="G9" s="46"/>
      <c r="H9" s="46"/>
      <c r="I9" s="47" t="e" cm="1">
        <f t="array" ref="I9">_xlfn.IFS(G9="轻甲",2.5,G9="中甲",3,G9="重甲",3.5)+Q9</f>
        <v>#N/A</v>
      </c>
      <c r="J9" s="46"/>
      <c r="K9" s="47" t="e" cm="1">
        <f t="array" ref="K9">_xlfn.IFS(G9="轻甲",2.5,G9="中甲",3,G9="重甲",3.5)+R9</f>
        <v>#N/A</v>
      </c>
      <c r="L9" s="46"/>
      <c r="M9" s="28"/>
      <c r="N9" s="28"/>
      <c r="O9" s="28"/>
      <c r="P9" s="46"/>
      <c r="Q9" s="28"/>
      <c r="R9" s="28"/>
      <c r="S9" s="28"/>
      <c r="T9" s="28"/>
      <c r="U9" s="28"/>
      <c r="V9" s="28"/>
      <c r="W9" s="28"/>
      <c r="X9" s="29"/>
    </row>
    <row r="10" customFormat="1" ht="206.5" spans="1:30">
      <c r="A10" s="51"/>
      <c r="B10" s="9" t="s">
        <v>2180</v>
      </c>
      <c r="C10" s="45" cm="1">
        <f t="array" ref="C10">_xlfn.IFS(G10="轻甲",8,G10="中甲",6,G10="重甲",4)</f>
        <v>6</v>
      </c>
      <c r="D10" s="46">
        <v>3.5</v>
      </c>
      <c r="E10" s="47" cm="1">
        <f t="array" ref="E10">_xlfn.IFS(P10="低血量",1,P10="中血量",2,P10="高血量",3)</f>
        <v>3</v>
      </c>
      <c r="F10" s="46">
        <v>0</v>
      </c>
      <c r="G10" s="52" t="s">
        <v>2295</v>
      </c>
      <c r="H10" s="46">
        <v>3</v>
      </c>
      <c r="I10" s="47" cm="1">
        <f t="array" ref="I10">_xlfn.IFS(G10="轻甲",2.5,G10="中甲",3,G10="重甲",3.5)+Q10</f>
        <v>3</v>
      </c>
      <c r="J10" s="46">
        <v>3</v>
      </c>
      <c r="K10" s="47" cm="1">
        <f t="array" ref="K10">_xlfn.IFS(G10="轻甲",2.5,G10="中甲",3,G10="重甲",3.5)+R10</f>
        <v>2.5</v>
      </c>
      <c r="L10" s="46" t="s">
        <v>2296</v>
      </c>
      <c r="M10" s="28" t="str">
        <f>_xlfn.DISPIMG("ID_52910500F1A84228907C033B8440549C",1)</f>
        <v>=DISPIMG("ID_52910500F1A84228907C033B8440549C",1)</v>
      </c>
      <c r="N10" s="53" t="s">
        <v>2304</v>
      </c>
      <c r="O10" s="53" t="s">
        <v>2305</v>
      </c>
      <c r="P10" s="52" t="s">
        <v>2299</v>
      </c>
      <c r="Q10" s="45">
        <v>0</v>
      </c>
      <c r="R10" s="45">
        <v>-0.5</v>
      </c>
      <c r="S10" s="53" t="s">
        <v>2306</v>
      </c>
      <c r="T10" s="28"/>
      <c r="U10" s="28"/>
      <c r="V10" s="28"/>
      <c r="W10" s="28"/>
      <c r="X10" s="29"/>
    </row>
    <row r="11" customFormat="1" ht="30" customHeight="1" spans="1:30">
      <c r="A11" s="51"/>
      <c r="B11" s="9" t="s">
        <v>2182</v>
      </c>
      <c r="C11" s="45">
        <v>6</v>
      </c>
      <c r="D11" s="46">
        <v>3</v>
      </c>
      <c r="E11" s="47">
        <v>2</v>
      </c>
      <c r="F11" s="46">
        <v>0</v>
      </c>
      <c r="G11" s="46" t="s">
        <v>2295</v>
      </c>
      <c r="H11" s="46"/>
      <c r="I11" s="47" cm="1">
        <f t="array" ref="I11">_xlfn.IFS(G11="轻甲",2.5,G11="中甲",3,G11="重甲",3.5)+Q11</f>
        <v>2.5</v>
      </c>
      <c r="J11" s="46"/>
      <c r="K11" s="47" cm="1">
        <f t="array" ref="K11">_xlfn.IFS(G11="轻甲",2.5,G11="中甲",3,G11="重甲",3.5)+R11</f>
        <v>3</v>
      </c>
      <c r="L11" s="46" t="s">
        <v>2296</v>
      </c>
      <c r="M11" s="28" t="str">
        <f>_xlfn.DISPIMG("ID_52910500F1A84228907C033B8440549C",1)</f>
        <v>=DISPIMG("ID_52910500F1A84228907C033B8440549C",1)</v>
      </c>
      <c r="N11" s="54" t="s">
        <v>2307</v>
      </c>
      <c r="O11" s="54" t="s">
        <v>2308</v>
      </c>
      <c r="P11" s="46" t="s">
        <v>2309</v>
      </c>
      <c r="Q11" s="28">
        <v>-0.5</v>
      </c>
      <c r="R11" s="28">
        <v>0</v>
      </c>
      <c r="S11" s="54" t="s">
        <v>2310</v>
      </c>
      <c r="T11" s="28"/>
      <c r="U11" s="28"/>
      <c r="V11" s="28"/>
      <c r="W11" s="28"/>
      <c r="X11" s="29"/>
    </row>
    <row r="12" customFormat="1" ht="206.5" spans="1:30">
      <c r="A12" s="51"/>
      <c r="B12" s="9" t="s">
        <v>2181</v>
      </c>
      <c r="C12" s="45" cm="1">
        <f t="array" ref="C12">_xlfn.IFS(G12="轻甲",8,G12="中甲",6,G12="重甲",4)</f>
        <v>6</v>
      </c>
      <c r="D12" s="46">
        <v>3</v>
      </c>
      <c r="E12" s="47" cm="1">
        <f t="array" ref="E12">_xlfn.IFS(P12="低血量",1,P12="中血量",2,P12="高血量",3)</f>
        <v>3</v>
      </c>
      <c r="F12" s="46">
        <v>0</v>
      </c>
      <c r="G12" s="52" t="s">
        <v>2295</v>
      </c>
      <c r="H12" s="46">
        <v>3</v>
      </c>
      <c r="I12" s="47" cm="1">
        <f t="array" ref="I12">_xlfn.IFS(G12="轻甲",2.5,G12="中甲",3,G12="重甲",3.5)+Q12</f>
        <v>3</v>
      </c>
      <c r="J12" s="46">
        <v>3</v>
      </c>
      <c r="K12" s="47" cm="1">
        <f t="array" ref="K12">_xlfn.IFS(G12="轻甲",2.5,G12="中甲",3,G12="重甲",3.5)+R12</f>
        <v>2.5</v>
      </c>
      <c r="L12" s="46" t="s">
        <v>2296</v>
      </c>
      <c r="M12" s="28" t="str">
        <f>_xlfn.DISPIMG("ID_4383669F852E4F94AAD5CEABA729CAAF",1)</f>
        <v>=DISPIMG("ID_4383669F852E4F94AAD5CEABA729CAAF",1)</v>
      </c>
      <c r="N12" s="53" t="s">
        <v>2311</v>
      </c>
      <c r="O12" s="53" t="s">
        <v>2312</v>
      </c>
      <c r="P12" s="52" t="s">
        <v>2299</v>
      </c>
      <c r="Q12" s="45">
        <v>0</v>
      </c>
      <c r="R12" s="45">
        <v>-0.5</v>
      </c>
      <c r="S12" s="53" t="s">
        <v>2313</v>
      </c>
      <c r="T12" s="28"/>
      <c r="U12" s="28"/>
      <c r="V12" s="28"/>
      <c r="W12" s="28"/>
      <c r="X12" s="29"/>
    </row>
    <row r="13" customFormat="1" ht="30" customHeight="1" spans="1:30">
      <c r="A13" s="51"/>
      <c r="B13" s="9"/>
      <c r="C13" s="45">
        <v>6</v>
      </c>
      <c r="D13" s="46">
        <v>3</v>
      </c>
      <c r="E13" s="47">
        <v>2</v>
      </c>
      <c r="F13" s="46">
        <v>0</v>
      </c>
      <c r="G13" s="46" t="s">
        <v>2295</v>
      </c>
      <c r="H13" s="46"/>
      <c r="I13" s="47" cm="1">
        <f t="array" ref="I13">_xlfn.IFS(G13="轻甲",2.5,G13="中甲",3,G13="重甲",3.5)+Q13</f>
        <v>2.5</v>
      </c>
      <c r="J13" s="46"/>
      <c r="K13" s="47" cm="1">
        <f t="array" ref="K13">_xlfn.IFS(G13="轻甲",2.5,G13="中甲",3,G13="重甲",3.5)+R13</f>
        <v>3</v>
      </c>
      <c r="L13" s="46" t="s">
        <v>2296</v>
      </c>
      <c r="M13" s="28" t="str">
        <f>_xlfn.DISPIMG("ID_4383669F852E4F94AAD5CEABA729CAAF",1)</f>
        <v>=DISPIMG("ID_4383669F852E4F94AAD5CEABA729CAAF",1)</v>
      </c>
      <c r="N13" s="28"/>
      <c r="O13" s="28"/>
      <c r="P13" s="46" t="s">
        <v>2309</v>
      </c>
      <c r="Q13" s="28">
        <v>-0.5</v>
      </c>
      <c r="R13" s="28"/>
      <c r="S13" s="28"/>
      <c r="T13" s="28"/>
      <c r="U13" s="28"/>
      <c r="V13" s="28"/>
      <c r="W13" s="28"/>
      <c r="X13" s="29"/>
    </row>
    <row r="14" customFormat="1" ht="30" customHeight="1" spans="1:30">
      <c r="A14" s="51"/>
      <c r="B14" s="9" t="s">
        <v>2264</v>
      </c>
      <c r="C14" s="45" t="e" cm="1">
        <f t="array" ref="C14">_xlfn.IFS(G14="轻甲",8,G14="中甲",6,G14="重甲",4)</f>
        <v>#N/A</v>
      </c>
      <c r="D14" s="46">
        <v>3.5</v>
      </c>
      <c r="E14" s="47" t="e" cm="1">
        <f t="array" ref="E14">_xlfn.IFS(P14="低血量",1,P14="中血量",2,P14="高血量",3)</f>
        <v>#N/A</v>
      </c>
      <c r="F14" s="46"/>
      <c r="G14" s="46"/>
      <c r="H14" s="46"/>
      <c r="I14" s="47" t="e" cm="1">
        <f t="array" ref="I14">_xlfn.IFS(G14="轻甲",2.5,G14="中甲",3,G14="重甲",3.5)+Q14</f>
        <v>#N/A</v>
      </c>
      <c r="J14" s="46"/>
      <c r="K14" s="47" t="e" cm="1">
        <f t="array" ref="K14">_xlfn.IFS(G14="轻甲",2.5,G14="中甲",3,G14="重甲",3.5)+R14</f>
        <v>#N/A</v>
      </c>
      <c r="L14" s="46" t="s">
        <v>2296</v>
      </c>
      <c r="M14" s="28"/>
      <c r="N14" s="28"/>
      <c r="O14" s="28"/>
      <c r="P14" s="46"/>
      <c r="Q14" s="28"/>
      <c r="R14" s="28"/>
      <c r="S14" s="28"/>
      <c r="T14" s="28"/>
      <c r="U14" s="28"/>
      <c r="V14" s="28"/>
      <c r="W14" s="28"/>
      <c r="X14" s="29"/>
    </row>
    <row r="15" customFormat="1" ht="30" customHeight="1" spans="1:30">
      <c r="A15" s="51"/>
      <c r="B15" s="9" t="s">
        <v>2266</v>
      </c>
      <c r="C15" s="45" t="e" cm="1">
        <f t="array" ref="C15">_xlfn.IFS(G15="轻甲",8,G15="中甲",6,G15="重甲",4)</f>
        <v>#N/A</v>
      </c>
      <c r="D15" s="46">
        <v>3.5</v>
      </c>
      <c r="E15" s="47" t="e" cm="1">
        <f t="array" ref="E15">_xlfn.IFS(P15="低血量",1,P15="中血量",2,P15="高血量",3)</f>
        <v>#N/A</v>
      </c>
      <c r="F15" s="46"/>
      <c r="G15" s="46"/>
      <c r="H15" s="46"/>
      <c r="I15" s="47" t="e" cm="1">
        <f t="array" ref="I15">_xlfn.IFS(G15="轻甲",2.5,G15="中甲",3,G15="重甲",3.5)+Q15</f>
        <v>#N/A</v>
      </c>
      <c r="J15" s="46"/>
      <c r="K15" s="47" t="e" cm="1">
        <f t="array" ref="K15">_xlfn.IFS(G15="轻甲",2.5,G15="中甲",3,G15="重甲",3.5)+R15</f>
        <v>#N/A</v>
      </c>
      <c r="L15" s="46" t="s">
        <v>2296</v>
      </c>
      <c r="M15" s="28"/>
      <c r="N15" s="28"/>
      <c r="O15" s="28"/>
      <c r="P15" s="46"/>
      <c r="Q15" s="28"/>
      <c r="R15" s="28"/>
      <c r="S15" s="28"/>
      <c r="T15" s="28"/>
      <c r="U15" s="28"/>
      <c r="V15" s="28"/>
      <c r="W15" s="28"/>
      <c r="X15" s="29"/>
    </row>
    <row r="16" customFormat="1" ht="30" customHeight="1" spans="1:30">
      <c r="A16" s="55"/>
      <c r="B16" s="9" t="s">
        <v>2267</v>
      </c>
      <c r="C16" s="45" t="e" cm="1">
        <f t="array" ref="C16">_xlfn.IFS(G16="轻甲",8,G16="中甲",6,G16="重甲",4)</f>
        <v>#N/A</v>
      </c>
      <c r="D16" s="46">
        <v>3.5</v>
      </c>
      <c r="E16" s="47" t="e" cm="1">
        <f t="array" ref="E16">_xlfn.IFS(P16="低血量",1,P16="中血量",2,P16="高血量",3)</f>
        <v>#N/A</v>
      </c>
      <c r="F16" s="46"/>
      <c r="G16" s="46"/>
      <c r="H16" s="46"/>
      <c r="I16" s="47" t="e" cm="1">
        <f t="array" ref="I16">_xlfn.IFS(G16="轻甲",2.5,G16="中甲",3,G16="重甲",3.5)+Q16</f>
        <v>#N/A</v>
      </c>
      <c r="J16" s="46"/>
      <c r="K16" s="47" t="e" cm="1">
        <f t="array" ref="K16">_xlfn.IFS(G16="轻甲",2.5,G16="中甲",3,G16="重甲",3.5)+R16</f>
        <v>#N/A</v>
      </c>
      <c r="L16" s="46" t="s">
        <v>2296</v>
      </c>
      <c r="M16" s="28"/>
      <c r="N16" s="28"/>
      <c r="O16" s="28"/>
      <c r="P16" s="46"/>
      <c r="Q16" s="28"/>
      <c r="R16" s="28"/>
      <c r="S16" s="28"/>
      <c r="T16" s="28"/>
      <c r="U16" s="28"/>
      <c r="V16" s="28"/>
      <c r="W16" s="28"/>
      <c r="X16" s="29"/>
    </row>
    <row r="17" customFormat="1" ht="178.5" spans="1:24">
      <c r="A17" s="3" t="s">
        <v>44</v>
      </c>
      <c r="B17" s="9" t="s">
        <v>46</v>
      </c>
      <c r="C17" s="45" cm="1">
        <f t="array" ref="C17">_xlfn.IFS(G17="轻甲",8,G17="中甲",6,G17="重甲",4)</f>
        <v>6</v>
      </c>
      <c r="D17" s="46">
        <v>3</v>
      </c>
      <c r="E17" s="47" cm="1">
        <f t="array" ref="E17">_xlfn.IFS(P17="低血量",1,P17="中血量",2,P17="高血量",3)</f>
        <v>2</v>
      </c>
      <c r="F17" s="46">
        <v>0</v>
      </c>
      <c r="G17" s="52" t="s">
        <v>2295</v>
      </c>
      <c r="H17" s="46">
        <v>3</v>
      </c>
      <c r="I17" s="47" cm="1">
        <f t="array" ref="I17">_xlfn.IFS(G17="轻甲",2.5,G17="中甲",3,G17="重甲",3.5)+Q17</f>
        <v>3</v>
      </c>
      <c r="J17" s="46">
        <v>3</v>
      </c>
      <c r="K17" s="47" cm="1">
        <f t="array" ref="K17">_xlfn.IFS(G17="轻甲",2.5,G17="中甲",3,G17="重甲",3.5)+R17</f>
        <v>2.5</v>
      </c>
      <c r="L17" s="46" t="s">
        <v>2296</v>
      </c>
      <c r="M17" s="28" t="str">
        <f>_xlfn.DISPIMG("ID_2FB619546A2944C291EBF3957FDE2776",1)</f>
        <v>=DISPIMG("ID_2FB619546A2944C291EBF3957FDE2776",1)</v>
      </c>
      <c r="N17" s="53" t="s">
        <v>2314</v>
      </c>
      <c r="O17" s="53" t="s">
        <v>2315</v>
      </c>
      <c r="P17" s="52" t="s">
        <v>2309</v>
      </c>
      <c r="Q17" s="45">
        <v>0</v>
      </c>
      <c r="R17" s="45">
        <v>-0.5</v>
      </c>
      <c r="S17" s="53" t="s">
        <v>2316</v>
      </c>
      <c r="T17" s="28"/>
      <c r="U17" s="28"/>
      <c r="V17" s="28"/>
      <c r="W17" s="28"/>
      <c r="X17" s="29"/>
    </row>
    <row r="18" customFormat="1" ht="290.5" spans="1:24">
      <c r="A18" s="51"/>
      <c r="B18" s="9" t="s">
        <v>2175</v>
      </c>
      <c r="C18" s="45" cm="1">
        <f t="array" ref="C18">_xlfn.IFS(G18="轻甲",8,G18="中甲",6,G18="重甲",4)</f>
        <v>6</v>
      </c>
      <c r="D18" s="46">
        <v>3</v>
      </c>
      <c r="E18" s="47" cm="1">
        <f t="array" ref="E18">_xlfn.IFS(P18="低血量",1,P18="中血量",2,P18="高血量",3)</f>
        <v>2</v>
      </c>
      <c r="F18" s="46">
        <v>0</v>
      </c>
      <c r="G18" s="52" t="s">
        <v>2295</v>
      </c>
      <c r="H18" s="46">
        <v>3</v>
      </c>
      <c r="I18" s="47" cm="1">
        <f t="array" ref="I18">_xlfn.IFS(G18="轻甲",2.5,G18="中甲",3,G18="重甲",3.5)+Q18</f>
        <v>3</v>
      </c>
      <c r="J18" s="46">
        <v>3</v>
      </c>
      <c r="K18" s="47" cm="1">
        <f t="array" ref="K18">_xlfn.IFS(G18="轻甲",2.5,G18="中甲",3,G18="重甲",3.5)+R18</f>
        <v>2.5</v>
      </c>
      <c r="L18" s="46" t="s">
        <v>2296</v>
      </c>
      <c r="M18" s="28" t="str">
        <f>_xlfn.DISPIMG("ID_C0C2B1CB4BFC4BDEB3FFD3331D674E7B",1)</f>
        <v>=DISPIMG("ID_C0C2B1CB4BFC4BDEB3FFD3331D674E7B",1)</v>
      </c>
      <c r="N18" s="53" t="s">
        <v>2317</v>
      </c>
      <c r="O18" s="53" t="s">
        <v>2318</v>
      </c>
      <c r="P18" s="52" t="s">
        <v>2309</v>
      </c>
      <c r="Q18" s="45">
        <v>0</v>
      </c>
      <c r="R18" s="45">
        <v>-0.5</v>
      </c>
      <c r="S18" s="53" t="s">
        <v>2319</v>
      </c>
      <c r="T18" s="28"/>
      <c r="U18" s="28"/>
      <c r="V18" s="28"/>
      <c r="W18" s="28"/>
      <c r="X18" s="29"/>
    </row>
    <row r="19" customFormat="1" ht="30" hidden="1" customHeight="1" spans="1:24">
      <c r="A19" s="51"/>
      <c r="B19" s="10" t="s">
        <v>2236</v>
      </c>
      <c r="C19" s="45" t="e" cm="1">
        <f t="array" ref="C19">_xlfn.IFS(G19="轻甲",8,G19="中甲",6,G19="重甲",4)</f>
        <v>#N/A</v>
      </c>
      <c r="D19" s="46">
        <v>3.5</v>
      </c>
      <c r="E19" s="47" t="e" cm="1">
        <f t="array" ref="E19">_xlfn.IFS(P19="低血量",1,P19="中血量",2,P19="高血量",3)</f>
        <v>#N/A</v>
      </c>
      <c r="F19" s="46"/>
      <c r="G19" s="46"/>
      <c r="H19" s="46"/>
      <c r="I19" s="47" t="e" cm="1">
        <f t="array" ref="I19">_xlfn.IFS(G19="轻甲",2.5,G19="中甲",3,G19="重甲",3.5)+Q19</f>
        <v>#N/A</v>
      </c>
      <c r="J19" s="46"/>
      <c r="K19" s="47" t="e" cm="1">
        <f t="array" ref="K19">_xlfn.IFS(G19="轻甲",2.5,G19="中甲",3,G19="重甲",3.5)+R19</f>
        <v>#N/A</v>
      </c>
      <c r="L19" s="46"/>
      <c r="M19" s="28"/>
      <c r="N19" s="28"/>
      <c r="O19" s="28"/>
      <c r="P19" s="46"/>
      <c r="Q19" s="28"/>
      <c r="R19" s="28"/>
      <c r="S19" s="28"/>
      <c r="T19" s="28"/>
      <c r="U19" s="28"/>
      <c r="V19" s="28"/>
      <c r="W19" s="28"/>
      <c r="X19" s="29"/>
    </row>
    <row r="20" customFormat="1" ht="54" customHeight="1" spans="1:24">
      <c r="A20" s="51"/>
      <c r="B20" s="9" t="s">
        <v>2176</v>
      </c>
      <c r="C20" s="45" cm="1">
        <f t="array" ref="C20">_xlfn.IFS(G20="轻甲",8,G20="中甲",6,G20="重甲",4)</f>
        <v>8</v>
      </c>
      <c r="D20" s="46">
        <v>2.5</v>
      </c>
      <c r="E20" s="47" cm="1">
        <f t="array" ref="E20">_xlfn.IFS(P20="低血量",1,P20="中血量",2,P20="高血量",3)</f>
        <v>2</v>
      </c>
      <c r="F20" s="46">
        <v>0</v>
      </c>
      <c r="G20" s="52" t="s">
        <v>2320</v>
      </c>
      <c r="H20" s="46">
        <v>3</v>
      </c>
      <c r="I20" s="47" cm="1">
        <f t="array" ref="I20">_xlfn.IFS(G20="轻甲",2.5,G20="中甲",3,G20="重甲",3.5)+Q20</f>
        <v>2.5</v>
      </c>
      <c r="J20" s="46">
        <v>3</v>
      </c>
      <c r="K20" s="47" cm="1">
        <f t="array" ref="K20">_xlfn.IFS(G20="轻甲",2.5,G20="中甲",3,G20="重甲",3.5)+R20</f>
        <v>2</v>
      </c>
      <c r="L20" s="52" t="s">
        <v>2321</v>
      </c>
      <c r="M20" s="28" t="str">
        <f>_xlfn.DISPIMG("ID_2BC845A659C64344BF2C62DCAEDC0B72",1)</f>
        <v>=DISPIMG("ID_2BC845A659C64344BF2C62DCAEDC0B72",1)</v>
      </c>
      <c r="N20" s="53" t="s">
        <v>2322</v>
      </c>
      <c r="O20" s="53" t="s">
        <v>2323</v>
      </c>
      <c r="P20" s="52" t="s">
        <v>2309</v>
      </c>
      <c r="Q20" s="45">
        <v>0</v>
      </c>
      <c r="R20" s="45">
        <v>-0.5</v>
      </c>
      <c r="S20" s="53" t="s">
        <v>2324</v>
      </c>
      <c r="T20" s="28"/>
      <c r="U20" s="28"/>
      <c r="V20" s="28"/>
      <c r="W20" s="28"/>
      <c r="X20" s="29"/>
    </row>
    <row r="21" customFormat="1" ht="30" hidden="1" customHeight="1" spans="1:24">
      <c r="A21" s="55"/>
      <c r="B21" s="10" t="s">
        <v>2245</v>
      </c>
      <c r="C21" s="45" t="e" cm="1">
        <f t="array" ref="C21">_xlfn.IFS(G21="轻甲",8,G21="中甲",6,G21="重甲",4)</f>
        <v>#N/A</v>
      </c>
      <c r="D21" s="46">
        <v>3.5</v>
      </c>
      <c r="E21" s="47" t="e" cm="1">
        <f t="array" ref="E21">_xlfn.IFS(P21="低血量",1,P21="中血量",2,P21="高血量",3)</f>
        <v>#N/A</v>
      </c>
      <c r="F21" s="46"/>
      <c r="G21" s="46"/>
      <c r="H21" s="46"/>
      <c r="I21" s="47" t="e" cm="1">
        <f t="array" ref="I21">_xlfn.IFS(G21="轻甲",2.5,G21="中甲",3,G21="重甲",3.5)+Q21</f>
        <v>#N/A</v>
      </c>
      <c r="J21" s="46"/>
      <c r="K21" s="47" t="e" cm="1">
        <f t="array" ref="K21">_xlfn.IFS(G21="轻甲",2.5,G21="中甲",3,G21="重甲",3.5)+R21</f>
        <v>#N/A</v>
      </c>
      <c r="L21" s="46"/>
      <c r="M21" s="28"/>
      <c r="N21" s="28"/>
      <c r="O21" s="28"/>
      <c r="P21" s="46"/>
      <c r="Q21" s="28"/>
      <c r="R21" s="28"/>
      <c r="S21" s="28"/>
      <c r="T21" s="28"/>
      <c r="U21" s="28"/>
      <c r="V21" s="28"/>
      <c r="W21" s="28"/>
      <c r="X21" s="29"/>
    </row>
    <row r="22" customFormat="1" ht="30" hidden="1" customHeight="1" spans="1:24">
      <c r="A22" s="3" t="s">
        <v>2183</v>
      </c>
      <c r="B22" s="11" t="s">
        <v>2219</v>
      </c>
      <c r="C22" s="45" t="e" cm="1">
        <f t="array" ref="C22">_xlfn.IFS(G22="轻甲",8,G22="中甲",6,G22="重甲",4)</f>
        <v>#N/A</v>
      </c>
      <c r="D22" s="46">
        <v>3.5</v>
      </c>
      <c r="E22" s="47" t="e" cm="1">
        <f t="array" ref="E22">_xlfn.IFS(P22="低血量",1,P22="中血量",2,P22="高血量",3)</f>
        <v>#N/A</v>
      </c>
      <c r="F22" s="46"/>
      <c r="G22" s="46"/>
      <c r="H22" s="46"/>
      <c r="I22" s="47" t="e" cm="1">
        <f t="array" ref="I22">_xlfn.IFS(G22="轻甲",2.5,G22="中甲",3,G22="重甲",3.5)+Q22</f>
        <v>#N/A</v>
      </c>
      <c r="J22" s="46"/>
      <c r="K22" s="47" t="e" cm="1">
        <f t="array" ref="K22">_xlfn.IFS(G22="轻甲",2.5,G22="中甲",3,G22="重甲",3.5)+R22</f>
        <v>#N/A</v>
      </c>
      <c r="L22" s="46"/>
      <c r="M22" s="28"/>
      <c r="N22" s="28"/>
      <c r="O22" s="28"/>
      <c r="P22" s="46"/>
      <c r="Q22" s="28"/>
      <c r="R22" s="28"/>
      <c r="S22" s="28"/>
      <c r="T22" s="28"/>
      <c r="U22" s="28"/>
      <c r="V22" s="28"/>
      <c r="W22" s="28"/>
      <c r="X22" s="29"/>
    </row>
    <row r="23" customFormat="1" ht="30" hidden="1" customHeight="1" spans="1:24">
      <c r="A23" s="51"/>
      <c r="B23" s="9" t="s">
        <v>2231</v>
      </c>
      <c r="C23" s="45" t="e" cm="1">
        <f t="array" ref="C23">_xlfn.IFS(G23="轻甲",8,G23="中甲",6,G23="重甲",4)</f>
        <v>#N/A</v>
      </c>
      <c r="D23" s="46">
        <v>3.5</v>
      </c>
      <c r="E23" s="47" t="e" cm="1">
        <f t="array" ref="E23">_xlfn.IFS(P23="低血量",1,P23="中血量",2,P23="高血量",3)</f>
        <v>#N/A</v>
      </c>
      <c r="F23" s="46"/>
      <c r="G23" s="46"/>
      <c r="H23" s="46"/>
      <c r="I23" s="47" t="e" cm="1">
        <f t="array" ref="I23">_xlfn.IFS(G23="轻甲",2.5,G23="中甲",3,G23="重甲",3.5)+Q23</f>
        <v>#N/A</v>
      </c>
      <c r="J23" s="46"/>
      <c r="K23" s="47" t="e" cm="1">
        <f t="array" ref="K23">_xlfn.IFS(G23="轻甲",2.5,G23="中甲",3,G23="重甲",3.5)+R23</f>
        <v>#N/A</v>
      </c>
      <c r="L23" s="46"/>
      <c r="M23" s="28"/>
      <c r="N23" s="28"/>
      <c r="O23" s="28"/>
      <c r="P23" s="46"/>
      <c r="Q23" s="28"/>
      <c r="R23" s="28"/>
      <c r="S23" s="28"/>
      <c r="T23" s="28"/>
      <c r="U23" s="28"/>
      <c r="V23" s="28"/>
      <c r="W23" s="28"/>
      <c r="X23" s="29"/>
    </row>
    <row r="24" customFormat="1" ht="30" hidden="1" customHeight="1" spans="1:24">
      <c r="A24" s="51"/>
      <c r="B24" s="9" t="s">
        <v>2238</v>
      </c>
      <c r="C24" s="45" t="e" cm="1">
        <f t="array" ref="C24">_xlfn.IFS(G24="轻甲",8,G24="中甲",6,G24="重甲",4)</f>
        <v>#N/A</v>
      </c>
      <c r="D24" s="46">
        <v>3.5</v>
      </c>
      <c r="E24" s="47" t="e" cm="1">
        <f t="array" ref="E24">_xlfn.IFS(P24="低血量",1,P24="中血量",2,P24="高血量",3)</f>
        <v>#N/A</v>
      </c>
      <c r="F24" s="46"/>
      <c r="G24" s="46"/>
      <c r="H24" s="46"/>
      <c r="I24" s="47" t="e" cm="1">
        <f t="array" ref="I24">_xlfn.IFS(G24="轻甲",2.5,G24="中甲",3,G24="重甲",3.5)+Q24</f>
        <v>#N/A</v>
      </c>
      <c r="J24" s="46"/>
      <c r="K24" s="47" t="e" cm="1">
        <f t="array" ref="K24">_xlfn.IFS(G24="轻甲",2.5,G24="中甲",3,G24="重甲",3.5)+R24</f>
        <v>#N/A</v>
      </c>
      <c r="L24" s="46"/>
      <c r="M24" s="28"/>
      <c r="N24" s="28"/>
      <c r="O24" s="28"/>
      <c r="P24" s="46"/>
      <c r="Q24" s="28"/>
      <c r="R24" s="28"/>
      <c r="S24" s="28"/>
      <c r="T24" s="28"/>
      <c r="U24" s="28"/>
      <c r="V24" s="28"/>
      <c r="W24" s="28"/>
      <c r="X24" s="29"/>
    </row>
    <row r="25" customFormat="1" ht="178.5" spans="1:24">
      <c r="A25" s="51"/>
      <c r="B25" s="9" t="s">
        <v>2184</v>
      </c>
      <c r="C25" s="45" cm="1">
        <f t="array" ref="C25">_xlfn.IFS(G25="轻甲",8,G25="中甲",6,G25="重甲",4)</f>
        <v>8</v>
      </c>
      <c r="D25" s="46">
        <v>2.5</v>
      </c>
      <c r="E25" s="47" cm="1">
        <f t="array" ref="E25">_xlfn.IFS(P25="低血量",1,P25="中血量",2,P25="高血量",3)</f>
        <v>1</v>
      </c>
      <c r="F25" s="46">
        <v>0</v>
      </c>
      <c r="G25" s="52" t="s">
        <v>2320</v>
      </c>
      <c r="H25" s="46">
        <v>3</v>
      </c>
      <c r="I25" s="47" cm="1">
        <f t="array" ref="I25">_xlfn.IFS(G25="轻甲",2.5,G25="中甲",3,G25="重甲",3.5)+Q25</f>
        <v>2.5</v>
      </c>
      <c r="J25" s="46">
        <v>3</v>
      </c>
      <c r="K25" s="47" cm="1">
        <f t="array" ref="K25">_xlfn.IFS(G25="轻甲",2.5,G25="中甲",3,G25="重甲",3.5)+R25</f>
        <v>2.5</v>
      </c>
      <c r="L25" s="46" t="s">
        <v>2321</v>
      </c>
      <c r="M25" s="28" t="str">
        <f>_xlfn.DISPIMG("ID_3597642F8FED46D888F8807B11582304",1)</f>
        <v>=DISPIMG("ID_3597642F8FED46D888F8807B11582304",1)</v>
      </c>
      <c r="N25" s="53" t="s">
        <v>2325</v>
      </c>
      <c r="O25" s="53" t="s">
        <v>2326</v>
      </c>
      <c r="P25" s="52" t="s">
        <v>2327</v>
      </c>
      <c r="Q25" s="45">
        <v>0</v>
      </c>
      <c r="R25" s="45">
        <v>0</v>
      </c>
      <c r="S25" s="53" t="s">
        <v>2303</v>
      </c>
      <c r="T25" s="28"/>
      <c r="U25" s="28"/>
      <c r="V25" s="28"/>
      <c r="W25" s="28"/>
      <c r="X25" s="56"/>
    </row>
    <row r="26" customFormat="1" ht="192.5" spans="1:24">
      <c r="A26" s="51"/>
      <c r="B26" s="9" t="s">
        <v>2185</v>
      </c>
      <c r="C26" s="45" cm="1">
        <f t="array" ref="C26">_xlfn.IFS(G26="轻甲",8,G26="中甲",6,G26="重甲",4)</f>
        <v>8</v>
      </c>
      <c r="D26" s="46">
        <v>2.5</v>
      </c>
      <c r="E26" s="47" cm="1">
        <f t="array" ref="E26">_xlfn.IFS(P26="低血量",1,P26="中血量",2,P26="高血量",3)</f>
        <v>1</v>
      </c>
      <c r="F26" s="46">
        <v>0</v>
      </c>
      <c r="G26" s="52" t="s">
        <v>2320</v>
      </c>
      <c r="H26" s="46">
        <v>3</v>
      </c>
      <c r="I26" s="47" cm="1">
        <f t="array" ref="I26">_xlfn.IFS(G26="轻甲",2.5,G26="中甲",3,G26="重甲",3.5)+Q26</f>
        <v>2.5</v>
      </c>
      <c r="J26" s="46">
        <v>3</v>
      </c>
      <c r="K26" s="47" cm="1">
        <f t="array" ref="K26">_xlfn.IFS(G26="轻甲",2.5,G26="中甲",3,G26="重甲",3.5)+R26</f>
        <v>2.5</v>
      </c>
      <c r="L26" s="46" t="s">
        <v>2321</v>
      </c>
      <c r="M26" s="28" t="str">
        <f>_xlfn.DISPIMG("ID_938E7B6EC6DC43989029F357530E9FF5",1)</f>
        <v>=DISPIMG("ID_938E7B6EC6DC43989029F357530E9FF5",1)</v>
      </c>
      <c r="N26" s="53" t="s">
        <v>2328</v>
      </c>
      <c r="O26" s="53" t="s">
        <v>2329</v>
      </c>
      <c r="P26" s="52" t="s">
        <v>2327</v>
      </c>
      <c r="Q26" s="45">
        <v>0</v>
      </c>
      <c r="R26" s="45">
        <v>0</v>
      </c>
      <c r="S26" s="53" t="s">
        <v>2330</v>
      </c>
      <c r="T26" s="28"/>
      <c r="U26" s="28"/>
      <c r="V26" s="28"/>
      <c r="W26" s="28"/>
      <c r="X26" s="56"/>
    </row>
    <row r="27" customFormat="1" ht="220.5" spans="1:24">
      <c r="A27" s="51"/>
      <c r="B27" s="10" t="s">
        <v>2186</v>
      </c>
      <c r="C27" s="45" cm="1">
        <f t="array" ref="C27">_xlfn.IFS(G27="轻甲",8,G27="中甲",6,G27="重甲",4)</f>
        <v>8</v>
      </c>
      <c r="D27" s="46">
        <v>3</v>
      </c>
      <c r="E27" s="47" cm="1">
        <f t="array" ref="E27">_xlfn.IFS(P27="低血量",1,P27="中血量",2,P27="高血量",3)</f>
        <v>2</v>
      </c>
      <c r="F27" s="46">
        <v>0</v>
      </c>
      <c r="G27" s="52" t="s">
        <v>2320</v>
      </c>
      <c r="H27" s="46">
        <v>3</v>
      </c>
      <c r="I27" s="47" cm="1">
        <f t="array" ref="I27">_xlfn.IFS(G27="轻甲",2.5,G27="中甲",3,G27="重甲",3.5)+Q27</f>
        <v>3</v>
      </c>
      <c r="J27" s="46">
        <v>3</v>
      </c>
      <c r="K27" s="47" cm="1">
        <f t="array" ref="K27">_xlfn.IFS(G27="轻甲",2.5,G27="中甲",3,G27="重甲",3.5)+R27</f>
        <v>2.5</v>
      </c>
      <c r="L27" s="46" t="s">
        <v>2321</v>
      </c>
      <c r="M27" s="28" t="str">
        <f>_xlfn.DISPIMG("ID_830792E060BC459CABC1255919BA0274",1)</f>
        <v>=DISPIMG("ID_830792E060BC459CABC1255919BA0274",1)</v>
      </c>
      <c r="N27" s="53" t="s">
        <v>2331</v>
      </c>
      <c r="O27" s="53" t="s">
        <v>2332</v>
      </c>
      <c r="P27" s="52" t="s">
        <v>2309</v>
      </c>
      <c r="Q27" s="45">
        <v>0.5</v>
      </c>
      <c r="R27" s="45">
        <v>0</v>
      </c>
      <c r="S27" s="53" t="s">
        <v>2333</v>
      </c>
      <c r="T27" s="28"/>
      <c r="U27" s="28"/>
      <c r="V27" s="28"/>
      <c r="W27" s="28"/>
      <c r="X27" s="56"/>
    </row>
    <row r="28" customFormat="1" ht="30" customHeight="1" spans="1:24">
      <c r="A28" s="51"/>
      <c r="B28" s="9" t="s">
        <v>2254</v>
      </c>
      <c r="C28" s="45" t="e" cm="1">
        <f t="array" ref="C28">_xlfn.IFS(G28="轻甲",8,G28="中甲",6,G28="重甲",4)</f>
        <v>#N/A</v>
      </c>
      <c r="D28" s="46">
        <v>3.5</v>
      </c>
      <c r="E28" s="47" t="e" cm="1">
        <f t="array" ref="E28">_xlfn.IFS(P28="低血量",1,P28="中血量",2,P28="高血量",3)</f>
        <v>#N/A</v>
      </c>
      <c r="F28" s="46"/>
      <c r="G28" s="46"/>
      <c r="H28" s="46"/>
      <c r="I28" s="47" t="e" cm="1">
        <f t="array" ref="I28">_xlfn.IFS(G28="轻甲",2.5,G28="中甲",3,G28="重甲",3.5)+Q28</f>
        <v>#N/A</v>
      </c>
      <c r="J28" s="46"/>
      <c r="K28" s="47" t="e" cm="1">
        <f t="array" ref="K28">_xlfn.IFS(G28="轻甲",2.5,G28="中甲",3,G28="重甲",3.5)+R28</f>
        <v>#N/A</v>
      </c>
      <c r="L28" s="46" t="s">
        <v>2321</v>
      </c>
      <c r="M28" s="28"/>
      <c r="N28" s="28"/>
      <c r="O28" s="28"/>
      <c r="P28" s="46"/>
      <c r="Q28" s="28"/>
      <c r="R28" s="28"/>
      <c r="S28" s="28"/>
      <c r="T28" s="28"/>
      <c r="U28" s="28"/>
      <c r="V28" s="28"/>
      <c r="W28" s="28"/>
      <c r="X28" s="29"/>
    </row>
    <row r="29" customFormat="1" ht="30" customHeight="1" spans="1:24">
      <c r="A29" s="51"/>
      <c r="B29" s="9" t="s">
        <v>2258</v>
      </c>
      <c r="C29" s="45" t="e" cm="1">
        <f t="array" ref="C29">_xlfn.IFS(G29="轻甲",8,G29="中甲",6,G29="重甲",4)</f>
        <v>#N/A</v>
      </c>
      <c r="D29" s="46">
        <v>3.5</v>
      </c>
      <c r="E29" s="47" t="e" cm="1">
        <f t="array" ref="E29">_xlfn.IFS(P29="低血量",1,P29="中血量",2,P29="高血量",3)</f>
        <v>#N/A</v>
      </c>
      <c r="F29" s="46"/>
      <c r="G29" s="46"/>
      <c r="H29" s="46"/>
      <c r="I29" s="47" t="e" cm="1">
        <f t="array" ref="I29">_xlfn.IFS(G29="轻甲",2.5,G29="中甲",3,G29="重甲",3.5)+Q29</f>
        <v>#N/A</v>
      </c>
      <c r="J29" s="46"/>
      <c r="K29" s="47" t="e" cm="1">
        <f t="array" ref="K29">_xlfn.IFS(G29="轻甲",2.5,G29="中甲",3,G29="重甲",3.5)+R29</f>
        <v>#N/A</v>
      </c>
      <c r="L29" s="46" t="s">
        <v>2321</v>
      </c>
      <c r="M29" s="28"/>
      <c r="N29" s="28"/>
      <c r="O29" s="28"/>
      <c r="P29" s="46"/>
      <c r="Q29" s="28"/>
      <c r="R29" s="28"/>
      <c r="S29" s="28"/>
      <c r="T29" s="28"/>
      <c r="U29" s="28"/>
      <c r="V29" s="28"/>
      <c r="W29" s="28"/>
      <c r="X29" s="29"/>
    </row>
    <row r="30" customFormat="1" ht="30" customHeight="1" spans="1:24">
      <c r="A30" s="55"/>
      <c r="B30" s="9" t="s">
        <v>2262</v>
      </c>
      <c r="C30" s="45" t="e" cm="1">
        <f t="array" ref="C30">_xlfn.IFS(G30="轻甲",8,G30="中甲",6,G30="重甲",4)</f>
        <v>#N/A</v>
      </c>
      <c r="D30" s="46">
        <v>3.5</v>
      </c>
      <c r="E30" s="47" t="e" cm="1">
        <f t="array" ref="E30">_xlfn.IFS(P30="低血量",1,P30="中血量",2,P30="高血量",3)</f>
        <v>#N/A</v>
      </c>
      <c r="F30" s="46"/>
      <c r="G30" s="46"/>
      <c r="H30" s="46"/>
      <c r="I30" s="47" t="e" cm="1">
        <f t="array" ref="I30">_xlfn.IFS(G30="轻甲",2.5,G30="中甲",3,G30="重甲",3.5)+Q30</f>
        <v>#N/A</v>
      </c>
      <c r="J30" s="46"/>
      <c r="K30" s="47" t="e" cm="1">
        <f t="array" ref="K30">_xlfn.IFS(G30="轻甲",2.5,G30="中甲",3,G30="重甲",3.5)+R30</f>
        <v>#N/A</v>
      </c>
      <c r="L30" s="46" t="s">
        <v>2321</v>
      </c>
      <c r="M30" s="28"/>
      <c r="N30" s="28"/>
      <c r="O30" s="28"/>
      <c r="P30" s="46"/>
      <c r="Q30" s="28"/>
      <c r="R30" s="28"/>
      <c r="S30" s="28"/>
      <c r="T30" s="28"/>
      <c r="U30" s="28"/>
      <c r="V30" s="28"/>
      <c r="W30" s="28"/>
      <c r="X30" s="29"/>
    </row>
    <row r="31" customFormat="1" ht="164.5" spans="1:24">
      <c r="A31" s="3" t="s">
        <v>2190</v>
      </c>
      <c r="B31" s="10" t="s">
        <v>2191</v>
      </c>
      <c r="C31" s="45" cm="1">
        <f t="array" ref="C31">_xlfn.IFS(G31="轻甲",8,G31="中甲",6,G31="重甲",4)</f>
        <v>8</v>
      </c>
      <c r="D31" s="46">
        <v>2.5</v>
      </c>
      <c r="E31" s="47" cm="1">
        <f t="array" ref="E31">_xlfn.IFS(P31="低血量",1,P31="中血量",2,P31="高血量",3)</f>
        <v>2</v>
      </c>
      <c r="F31" s="46">
        <v>0</v>
      </c>
      <c r="G31" s="52" t="s">
        <v>2320</v>
      </c>
      <c r="H31" s="46">
        <v>3</v>
      </c>
      <c r="I31" s="47" cm="1">
        <f t="array" ref="I31">_xlfn.IFS(G31="轻甲",2.5,G31="中甲",3,G31="重甲",3.5)+Q31</f>
        <v>2.5</v>
      </c>
      <c r="J31" s="46">
        <v>3</v>
      </c>
      <c r="K31" s="47" cm="1">
        <f t="array" ref="K31">_xlfn.IFS(G31="轻甲",2.5,G31="中甲",3,G31="重甲",3.5)+R31</f>
        <v>2.5</v>
      </c>
      <c r="L31" s="46" t="s">
        <v>2321</v>
      </c>
      <c r="M31" s="28" t="str">
        <f>_xlfn.DISPIMG("ID_35897E01DB4D4CEF8EB5F93DA898214A",1)</f>
        <v>=DISPIMG("ID_35897E01DB4D4CEF8EB5F93DA898214A",1)</v>
      </c>
      <c r="N31" s="53" t="s">
        <v>2334</v>
      </c>
      <c r="O31" s="53" t="s">
        <v>2335</v>
      </c>
      <c r="P31" s="52" t="s">
        <v>2309</v>
      </c>
      <c r="Q31" s="45">
        <v>0</v>
      </c>
      <c r="R31" s="45">
        <v>0</v>
      </c>
      <c r="S31" s="53" t="s">
        <v>2306</v>
      </c>
      <c r="T31" s="28"/>
      <c r="U31" s="28"/>
      <c r="V31" s="28"/>
      <c r="W31" s="28"/>
      <c r="X31" s="29"/>
    </row>
    <row r="32" customFormat="1" ht="30" hidden="1" customHeight="1" spans="1:24">
      <c r="A32" s="51"/>
      <c r="B32" s="9" t="s">
        <v>2233</v>
      </c>
      <c r="C32" s="45" t="e" cm="1">
        <f t="array" ref="C32">_xlfn.IFS(G32="轻甲",8,G32="中甲",6,G32="重甲",4)</f>
        <v>#N/A</v>
      </c>
      <c r="D32" s="46">
        <v>3.5</v>
      </c>
      <c r="E32" s="47" t="e" cm="1">
        <f t="array" ref="E32">_xlfn.IFS(P32="低血量",1,P32="中血量",2,P32="高血量",3)</f>
        <v>#N/A</v>
      </c>
      <c r="F32" s="46"/>
      <c r="G32" s="46"/>
      <c r="H32" s="46"/>
      <c r="I32" s="47" t="e" cm="1">
        <f t="array" ref="I32">_xlfn.IFS(G32="轻甲",2.5,G32="中甲",3,G32="重甲",3.5)+Q32</f>
        <v>#N/A</v>
      </c>
      <c r="J32" s="46"/>
      <c r="K32" s="47" t="e" cm="1">
        <f t="array" ref="K32">_xlfn.IFS(G32="轻甲",2.5,G32="中甲",3,G32="重甲",3.5)+R32</f>
        <v>#N/A</v>
      </c>
      <c r="L32" s="46" t="s">
        <v>2321</v>
      </c>
      <c r="M32" s="28"/>
      <c r="N32" s="28"/>
      <c r="O32" s="28"/>
      <c r="P32" s="46"/>
      <c r="Q32" s="28"/>
      <c r="R32" s="28"/>
      <c r="S32" s="28"/>
      <c r="T32" s="28"/>
      <c r="U32" s="28"/>
      <c r="V32" s="28"/>
      <c r="W32" s="28"/>
      <c r="X32" s="29"/>
    </row>
    <row r="33" customFormat="1" ht="30" hidden="1" customHeight="1" spans="1:24">
      <c r="A33" s="51"/>
      <c r="B33" s="9" t="s">
        <v>2240</v>
      </c>
      <c r="C33" s="45" t="e" cm="1">
        <f t="array" ref="C33">_xlfn.IFS(G33="轻甲",8,G33="中甲",6,G33="重甲",4)</f>
        <v>#N/A</v>
      </c>
      <c r="D33" s="46">
        <v>3.5</v>
      </c>
      <c r="E33" s="47" t="e" cm="1">
        <f t="array" ref="E33">_xlfn.IFS(P33="低血量",1,P33="中血量",2,P33="高血量",3)</f>
        <v>#N/A</v>
      </c>
      <c r="F33" s="46"/>
      <c r="G33" s="46"/>
      <c r="H33" s="46"/>
      <c r="I33" s="47" t="e" cm="1">
        <f t="array" ref="I33">_xlfn.IFS(G33="轻甲",2.5,G33="中甲",3,G33="重甲",3.5)+Q33</f>
        <v>#N/A</v>
      </c>
      <c r="J33" s="46"/>
      <c r="K33" s="47" t="e" cm="1">
        <f t="array" ref="K33">_xlfn.IFS(G33="轻甲",2.5,G33="中甲",3,G33="重甲",3.5)+R33</f>
        <v>#N/A</v>
      </c>
      <c r="L33" s="46" t="s">
        <v>2321</v>
      </c>
      <c r="M33" s="28"/>
      <c r="N33" s="28"/>
      <c r="O33" s="28"/>
      <c r="P33" s="46"/>
      <c r="Q33" s="28"/>
      <c r="R33" s="28"/>
      <c r="S33" s="28"/>
      <c r="T33" s="28"/>
      <c r="U33" s="28"/>
      <c r="V33" s="28"/>
      <c r="W33" s="28"/>
      <c r="X33" s="29"/>
    </row>
    <row r="34" customFormat="1" ht="178.5" spans="1:24">
      <c r="A34" s="51"/>
      <c r="B34" s="9" t="s">
        <v>2192</v>
      </c>
      <c r="C34" s="45" cm="1">
        <f t="array" ref="C34">_xlfn.IFS(G34="轻甲",8,G34="中甲",6,G34="重甲",4)</f>
        <v>8</v>
      </c>
      <c r="D34" s="46">
        <v>2.5</v>
      </c>
      <c r="E34" s="47" cm="1">
        <f t="array" ref="E34">_xlfn.IFS(P34="低血量",1,P34="中血量",2,P34="高血量",3)</f>
        <v>2</v>
      </c>
      <c r="F34" s="46">
        <v>1</v>
      </c>
      <c r="G34" s="46" t="s">
        <v>2320</v>
      </c>
      <c r="H34" s="46">
        <v>3</v>
      </c>
      <c r="I34" s="47" cm="1">
        <f t="array" ref="I34">_xlfn.IFS(G34="轻甲",2.5,G34="中甲",3,G34="重甲",3.5)+Q34</f>
        <v>2.5</v>
      </c>
      <c r="J34" s="46">
        <v>3</v>
      </c>
      <c r="K34" s="47" cm="1">
        <f t="array" ref="K34">_xlfn.IFS(G34="轻甲",2.5,G34="中甲",3,G34="重甲",3.5)+R34</f>
        <v>2.5</v>
      </c>
      <c r="L34" s="46" t="s">
        <v>2321</v>
      </c>
      <c r="M34" s="28" t="str">
        <f>_xlfn.DISPIMG("ID_72E69CFB77F04EFCB61F520C8BA6E728",1)</f>
        <v>=DISPIMG("ID_72E69CFB77F04EFCB61F520C8BA6E728",1)</v>
      </c>
      <c r="N34" s="53" t="s">
        <v>2336</v>
      </c>
      <c r="O34" s="53" t="s">
        <v>2337</v>
      </c>
      <c r="P34" s="52" t="s">
        <v>2309</v>
      </c>
      <c r="Q34" s="45">
        <v>0</v>
      </c>
      <c r="R34" s="45">
        <v>0</v>
      </c>
      <c r="S34" s="53" t="s">
        <v>2306</v>
      </c>
      <c r="T34" s="28"/>
      <c r="U34" s="28"/>
      <c r="V34" s="28"/>
      <c r="W34" s="28"/>
      <c r="X34" s="29"/>
    </row>
    <row r="35" customFormat="1" ht="192.5" spans="1:24">
      <c r="A35" s="51"/>
      <c r="B35" s="9" t="s">
        <v>2193</v>
      </c>
      <c r="C35" s="45" cm="1">
        <f t="array" ref="C35">_xlfn.IFS(G35="轻甲",8,G35="中甲",6,G35="重甲",4)</f>
        <v>8</v>
      </c>
      <c r="D35" s="46">
        <v>2.5</v>
      </c>
      <c r="E35" s="47" cm="1">
        <f t="array" ref="E35">_xlfn.IFS(P35="低血量",1,P35="中血量",2,P35="高血量",3)</f>
        <v>1</v>
      </c>
      <c r="F35" s="46">
        <v>0</v>
      </c>
      <c r="G35" s="52" t="s">
        <v>2320</v>
      </c>
      <c r="H35" s="46">
        <v>3</v>
      </c>
      <c r="I35" s="47" cm="1">
        <f t="array" ref="I35">_xlfn.IFS(G35="轻甲",2.5,G35="中甲",3,G35="重甲",3.5)+Q35</f>
        <v>2.5</v>
      </c>
      <c r="J35" s="46">
        <v>3</v>
      </c>
      <c r="K35" s="47" cm="1">
        <f t="array" ref="K35">_xlfn.IFS(G35="轻甲",2.5,G35="中甲",3,G35="重甲",3.5)+R35</f>
        <v>2.5</v>
      </c>
      <c r="L35" s="46" t="s">
        <v>2321</v>
      </c>
      <c r="M35" s="28" t="str">
        <f>_xlfn.DISPIMG("ID_73B0392D2D594B229D110AC5FC6E2D87",1)</f>
        <v>=DISPIMG("ID_73B0392D2D594B229D110AC5FC6E2D87",1)</v>
      </c>
      <c r="N35" s="53" t="s">
        <v>2338</v>
      </c>
      <c r="O35" s="53" t="s">
        <v>2339</v>
      </c>
      <c r="P35" s="52" t="s">
        <v>2327</v>
      </c>
      <c r="Q35" s="45">
        <v>0</v>
      </c>
      <c r="R35" s="45">
        <v>0</v>
      </c>
      <c r="S35" s="57" t="s">
        <v>2340</v>
      </c>
      <c r="T35" s="28"/>
      <c r="U35" s="28"/>
      <c r="V35" s="28"/>
      <c r="W35" s="28"/>
      <c r="X35" s="29"/>
    </row>
    <row r="36" customFormat="1" ht="30" customHeight="1" spans="1:24">
      <c r="A36" s="55"/>
      <c r="B36" s="9" t="s">
        <v>2251</v>
      </c>
      <c r="C36" s="45" t="e" cm="1">
        <f t="array" ref="C36">_xlfn.IFS(G36="轻甲",8,G36="中甲",6,G36="重甲",4)</f>
        <v>#N/A</v>
      </c>
      <c r="D36" s="46">
        <v>3.5</v>
      </c>
      <c r="E36" s="47" t="e" cm="1">
        <f t="array" ref="E36">_xlfn.IFS(P36="低血量",1,P36="中血量",2,P36="高血量",3)</f>
        <v>#N/A</v>
      </c>
      <c r="F36" s="46"/>
      <c r="G36" s="46"/>
      <c r="H36" s="46"/>
      <c r="I36" s="47" t="e" cm="1">
        <f t="array" ref="I36">_xlfn.IFS(G36="轻甲",2.5,G36="中甲",3,G36="重甲",3.5)+Q36</f>
        <v>#N/A</v>
      </c>
      <c r="J36" s="46"/>
      <c r="K36" s="47" t="e" cm="1">
        <f t="array" ref="K36">_xlfn.IFS(G36="轻甲",2.5,G36="中甲",3,G36="重甲",3.5)+R36</f>
        <v>#N/A</v>
      </c>
      <c r="L36" s="46" t="s">
        <v>2321</v>
      </c>
      <c r="M36" s="28"/>
      <c r="N36" s="28"/>
      <c r="O36" s="28"/>
      <c r="P36" s="46"/>
      <c r="Q36" s="28"/>
      <c r="R36" s="58"/>
      <c r="S36" s="58"/>
      <c r="T36" s="28"/>
      <c r="U36" s="28"/>
      <c r="V36" s="28"/>
      <c r="W36" s="28"/>
      <c r="X36" s="29"/>
    </row>
    <row r="37" customFormat="1" ht="164.5" spans="1:24">
      <c r="A37" s="3" t="s">
        <v>2194</v>
      </c>
      <c r="B37" s="9" t="s">
        <v>2195</v>
      </c>
      <c r="C37" s="45" cm="1">
        <f t="array" ref="C37">_xlfn.IFS(G37="轻甲",8,G37="中甲",6,G37="重甲",4)</f>
        <v>8</v>
      </c>
      <c r="D37" s="46">
        <v>2.5</v>
      </c>
      <c r="E37" s="47" cm="1">
        <f t="array" ref="E37">_xlfn.IFS(P37="低血量",1,P37="中血量",2,P37="高血量",3)</f>
        <v>2</v>
      </c>
      <c r="F37" s="46">
        <v>0</v>
      </c>
      <c r="G37" s="52" t="s">
        <v>2320</v>
      </c>
      <c r="H37" s="46">
        <v>3</v>
      </c>
      <c r="I37" s="47" cm="1">
        <f t="array" ref="I37">_xlfn.IFS(G37="轻甲",2.5,G37="中甲",3,G37="重甲",3.5)+Q37</f>
        <v>2.5</v>
      </c>
      <c r="J37" s="46">
        <v>3</v>
      </c>
      <c r="K37" s="47" cm="1">
        <f t="array" ref="K37">_xlfn.IFS(G37="轻甲",2.5,G37="中甲",3,G37="重甲",3.5)+R37</f>
        <v>2.5</v>
      </c>
      <c r="L37" s="46" t="s">
        <v>2321</v>
      </c>
      <c r="M37" s="28" t="str">
        <f>_xlfn.DISPIMG("ID_1AAE383C3C174195AECECD5B32C17557",1)</f>
        <v>=DISPIMG("ID_1AAE383C3C174195AECECD5B32C17557",1)</v>
      </c>
      <c r="N37" s="53" t="s">
        <v>2341</v>
      </c>
      <c r="O37" s="53" t="s">
        <v>2342</v>
      </c>
      <c r="P37" s="52" t="s">
        <v>2309</v>
      </c>
      <c r="Q37" s="45">
        <v>0</v>
      </c>
      <c r="R37" s="45">
        <v>0</v>
      </c>
      <c r="S37" s="53" t="s">
        <v>2343</v>
      </c>
      <c r="T37" s="28"/>
      <c r="U37" s="28"/>
      <c r="V37" s="28"/>
      <c r="W37" s="28"/>
      <c r="X37" s="29"/>
    </row>
    <row r="38" customFormat="1" ht="192.5" spans="1:24">
      <c r="A38" s="51"/>
      <c r="B38" s="9" t="s">
        <v>2196</v>
      </c>
      <c r="C38" s="45" cm="1">
        <f t="array" ref="C38">_xlfn.IFS(G38="轻甲",8,G38="中甲",6,G38="重甲",4)</f>
        <v>8</v>
      </c>
      <c r="D38" s="46">
        <v>2.5</v>
      </c>
      <c r="E38" s="47" cm="1">
        <f t="array" ref="E38">_xlfn.IFS(P38="低血量",1,P38="中血量",2,P38="高血量",3)</f>
        <v>2</v>
      </c>
      <c r="F38" s="46">
        <v>0</v>
      </c>
      <c r="G38" s="52" t="s">
        <v>2320</v>
      </c>
      <c r="H38" s="46">
        <v>3</v>
      </c>
      <c r="I38" s="47" cm="1">
        <f t="array" ref="I38">_xlfn.IFS(G38="轻甲",2.5,G38="中甲",3,G38="重甲",3.5)+Q38</f>
        <v>2.5</v>
      </c>
      <c r="J38" s="46">
        <v>3</v>
      </c>
      <c r="K38" s="47" cm="1">
        <f t="array" ref="K38">_xlfn.IFS(G38="轻甲",2.5,G38="中甲",3,G38="重甲",3.5)+R38</f>
        <v>3</v>
      </c>
      <c r="L38" s="46" t="s">
        <v>2321</v>
      </c>
      <c r="M38" s="28" t="str">
        <f>_xlfn.DISPIMG("ID_B50E86722A1F47D690B053F14E5AF737",1)</f>
        <v>=DISPIMG("ID_B50E86722A1F47D690B053F14E5AF737",1)</v>
      </c>
      <c r="N38" s="53" t="s">
        <v>2344</v>
      </c>
      <c r="O38" s="53" t="s">
        <v>2345</v>
      </c>
      <c r="P38" s="52" t="s">
        <v>2309</v>
      </c>
      <c r="Q38" s="45">
        <v>0</v>
      </c>
      <c r="R38" s="45">
        <v>0.5</v>
      </c>
      <c r="S38" s="57" t="s">
        <v>2346</v>
      </c>
      <c r="T38" s="28"/>
      <c r="U38" s="28"/>
      <c r="V38" s="28"/>
      <c r="W38" s="28"/>
      <c r="X38" s="29"/>
    </row>
    <row r="39" customFormat="1" ht="206.5" spans="1:24">
      <c r="A39" s="55"/>
      <c r="B39" s="9" t="s">
        <v>2197</v>
      </c>
      <c r="C39" s="45" cm="1">
        <f t="array" ref="C39">_xlfn.IFS(G39="轻甲",8,G39="中甲",6,G39="重甲",4)</f>
        <v>8</v>
      </c>
      <c r="D39" s="46">
        <v>2.5</v>
      </c>
      <c r="E39" s="47" cm="1">
        <f t="array" ref="E39">_xlfn.IFS(P39="低血量",1,P39="中血量",2,P39="高血量",3)</f>
        <v>3</v>
      </c>
      <c r="F39" s="46">
        <v>0</v>
      </c>
      <c r="G39" s="52" t="s">
        <v>2320</v>
      </c>
      <c r="H39" s="46">
        <v>3</v>
      </c>
      <c r="I39" s="47" cm="1">
        <f t="array" ref="I39">_xlfn.IFS(G39="轻甲",2.5,G39="中甲",3,G39="重甲",3.5)+Q39</f>
        <v>2.5</v>
      </c>
      <c r="J39" s="46">
        <v>3</v>
      </c>
      <c r="K39" s="47" cm="1">
        <f t="array" ref="K39">_xlfn.IFS(G39="轻甲",2.5,G39="中甲",3,G39="重甲",3.5)+R39</f>
        <v>3</v>
      </c>
      <c r="L39" s="46" t="s">
        <v>2321</v>
      </c>
      <c r="M39" s="28" t="str">
        <f>_xlfn.DISPIMG("ID_72E69CFB77F04EFCB61F520C8BA6E728",1)</f>
        <v>=DISPIMG("ID_72E69CFB77F04EFCB61F520C8BA6E728",1)</v>
      </c>
      <c r="N39" s="53" t="s">
        <v>2347</v>
      </c>
      <c r="O39" s="53" t="s">
        <v>2348</v>
      </c>
      <c r="P39" s="52" t="s">
        <v>2299</v>
      </c>
      <c r="Q39" s="45">
        <v>0</v>
      </c>
      <c r="R39" s="45">
        <v>0.5</v>
      </c>
      <c r="S39" s="57" t="s">
        <v>2349</v>
      </c>
      <c r="U39" s="28"/>
      <c r="V39" s="28"/>
      <c r="W39" s="28"/>
      <c r="X39" s="29"/>
    </row>
    <row r="40" customFormat="1" ht="30" customHeight="1" spans="1:24">
      <c r="A40" s="3" t="s">
        <v>2187</v>
      </c>
      <c r="B40" s="9" t="s">
        <v>2220</v>
      </c>
      <c r="C40" s="45" t="e" cm="1">
        <f t="array" ref="C40">_xlfn.IFS(G40="轻甲",8,G40="中甲",6,G40="重甲",4)</f>
        <v>#N/A</v>
      </c>
      <c r="D40" s="46">
        <v>3.5</v>
      </c>
      <c r="E40" s="47" t="e" cm="1">
        <f t="array" ref="E40">_xlfn.IFS(P40="低血量",1,P40="中血量",2,P40="高血量",3)</f>
        <v>#N/A</v>
      </c>
      <c r="F40" s="46"/>
      <c r="G40" s="46"/>
      <c r="H40" s="46"/>
      <c r="I40" s="47" t="e" cm="1">
        <f t="array" ref="I40">_xlfn.IFS(G40="轻甲",2.5,G40="中甲",3,G40="重甲",3.5)+Q40</f>
        <v>#N/A</v>
      </c>
      <c r="J40" s="46"/>
      <c r="K40" s="47" t="e" cm="1">
        <f t="array" ref="K40">_xlfn.IFS(G40="轻甲",2.5,G40="中甲",3,G40="重甲",3.5)+R40</f>
        <v>#N/A</v>
      </c>
      <c r="L40" s="46"/>
      <c r="M40" s="28"/>
      <c r="N40" s="28"/>
      <c r="O40" s="28"/>
      <c r="P40" s="46"/>
      <c r="Q40" s="28"/>
      <c r="R40" s="28"/>
      <c r="S40" s="28"/>
      <c r="T40" s="28"/>
      <c r="U40" s="28"/>
      <c r="V40" s="28"/>
      <c r="W40" s="28"/>
      <c r="X40" s="29"/>
    </row>
    <row r="41" customFormat="1" ht="30" customHeight="1" spans="1:24">
      <c r="A41" s="51"/>
      <c r="B41" s="9" t="s">
        <v>2232</v>
      </c>
      <c r="C41" s="45" t="e" cm="1">
        <f t="array" ref="C41">_xlfn.IFS(G41="轻甲",8,G41="中甲",6,G41="重甲",4)</f>
        <v>#N/A</v>
      </c>
      <c r="D41" s="46">
        <v>3.5</v>
      </c>
      <c r="E41" s="47" t="e" cm="1">
        <f t="array" ref="E41">_xlfn.IFS(P41="低血量",1,P41="中血量",2,P41="高血量",3)</f>
        <v>#N/A</v>
      </c>
      <c r="F41" s="46"/>
      <c r="G41" s="46"/>
      <c r="H41" s="46"/>
      <c r="I41" s="47" t="e" cm="1">
        <f t="array" ref="I41">_xlfn.IFS(G41="轻甲",2.5,G41="中甲",3,G41="重甲",3.5)+Q41</f>
        <v>#N/A</v>
      </c>
      <c r="J41" s="46"/>
      <c r="K41" s="47" t="e" cm="1">
        <f t="array" ref="K41">_xlfn.IFS(G41="轻甲",2.5,G41="中甲",3,G41="重甲",3.5)+R41</f>
        <v>#N/A</v>
      </c>
      <c r="L41" s="46"/>
      <c r="M41" s="28"/>
      <c r="N41" s="28"/>
      <c r="O41" s="28"/>
      <c r="P41" s="46"/>
      <c r="Q41" s="28"/>
      <c r="R41" s="28"/>
      <c r="S41" s="28"/>
      <c r="T41" s="28"/>
      <c r="U41" s="28"/>
      <c r="V41" s="28"/>
      <c r="W41" s="28"/>
      <c r="X41" s="29"/>
    </row>
    <row r="42" customFormat="1" ht="30" customHeight="1" spans="1:24">
      <c r="A42" s="51"/>
      <c r="B42" s="9" t="s">
        <v>2239</v>
      </c>
      <c r="C42" s="45" t="e" cm="1">
        <f t="array" ref="C42">_xlfn.IFS(G42="轻甲",8,G42="中甲",6,G42="重甲",4)</f>
        <v>#N/A</v>
      </c>
      <c r="D42" s="46">
        <v>3.5</v>
      </c>
      <c r="E42" s="47" t="e" cm="1">
        <f t="array" ref="E42">_xlfn.IFS(P42="低血量",1,P42="中血量",2,P42="高血量",3)</f>
        <v>#N/A</v>
      </c>
      <c r="F42" s="46"/>
      <c r="G42" s="46"/>
      <c r="H42" s="46"/>
      <c r="I42" s="47" t="e" cm="1">
        <f t="array" ref="I42">_xlfn.IFS(G42="轻甲",2.5,G42="中甲",3,G42="重甲",3.5)+Q42</f>
        <v>#N/A</v>
      </c>
      <c r="J42" s="46"/>
      <c r="K42" s="47" t="e" cm="1">
        <f t="array" ref="K42">_xlfn.IFS(G42="轻甲",2.5,G42="中甲",3,G42="重甲",3.5)+R42</f>
        <v>#N/A</v>
      </c>
      <c r="L42" s="46"/>
      <c r="M42" s="28"/>
      <c r="N42" s="28"/>
      <c r="O42" s="28"/>
      <c r="P42" s="46"/>
      <c r="Q42" s="28"/>
      <c r="R42" s="28"/>
      <c r="S42" s="28"/>
      <c r="T42" s="28"/>
      <c r="U42" s="28"/>
      <c r="V42" s="28"/>
      <c r="W42" s="28"/>
      <c r="X42" s="29"/>
    </row>
    <row r="43" customFormat="1" ht="30" customHeight="1" spans="1:24">
      <c r="A43" s="51"/>
      <c r="B43" s="9"/>
      <c r="C43" s="45" t="e" cm="1">
        <f t="array" ref="C43">_xlfn.IFS(G43="轻甲",8,G43="中甲",6,G43="重甲",4)</f>
        <v>#N/A</v>
      </c>
      <c r="D43" s="46">
        <v>3.5</v>
      </c>
      <c r="E43" s="47" t="e" cm="1">
        <f t="array" ref="E43">_xlfn.IFS(P43="低血量",1,P43="中血量",2,P43="高血量",3)</f>
        <v>#N/A</v>
      </c>
      <c r="F43" s="46"/>
      <c r="G43" s="46"/>
      <c r="H43" s="46"/>
      <c r="I43" s="47" t="e" cm="1">
        <f t="array" ref="I43">_xlfn.IFS(G43="轻甲",2.5,G43="中甲",3,G43="重甲",3.5)+Q43</f>
        <v>#N/A</v>
      </c>
      <c r="J43" s="46"/>
      <c r="K43" s="47" t="e" cm="1">
        <f t="array" ref="K43">_xlfn.IFS(G43="轻甲",2.5,G43="中甲",3,G43="重甲",3.5)+R43</f>
        <v>#N/A</v>
      </c>
      <c r="L43" s="46"/>
      <c r="M43" s="28"/>
      <c r="N43" s="28"/>
      <c r="O43" s="28"/>
      <c r="P43" s="46"/>
      <c r="Q43" s="28"/>
      <c r="R43" s="28"/>
      <c r="S43" s="28"/>
      <c r="T43" s="28"/>
      <c r="U43" s="28"/>
      <c r="V43" s="28"/>
      <c r="W43" s="28"/>
      <c r="X43" s="29"/>
    </row>
    <row r="44" customFormat="1" ht="30" customHeight="1" spans="1:24">
      <c r="A44" s="51"/>
      <c r="B44" s="9" t="s">
        <v>2247</v>
      </c>
      <c r="C44" s="45" t="e" cm="1">
        <f t="array" ref="C44">_xlfn.IFS(G44="轻甲",8,G44="中甲",6,G44="重甲",4)</f>
        <v>#N/A</v>
      </c>
      <c r="D44" s="46">
        <v>3.5</v>
      </c>
      <c r="E44" s="47" t="e" cm="1">
        <f t="array" ref="E44">_xlfn.IFS(P44="低血量",1,P44="中血量",2,P44="高血量",3)</f>
        <v>#N/A</v>
      </c>
      <c r="F44" s="46"/>
      <c r="G44" s="46"/>
      <c r="H44" s="46"/>
      <c r="I44" s="47" t="e" cm="1">
        <f t="array" ref="I44">_xlfn.IFS(G44="轻甲",2.5,G44="中甲",3,G44="重甲",3.5)+Q44</f>
        <v>#N/A</v>
      </c>
      <c r="J44" s="46"/>
      <c r="K44" s="47" t="e" cm="1">
        <f t="array" ref="K44">_xlfn.IFS(G44="轻甲",2.5,G44="中甲",3,G44="重甲",3.5)+R44</f>
        <v>#N/A</v>
      </c>
      <c r="L44" s="46"/>
      <c r="M44" s="28"/>
      <c r="N44" s="28"/>
      <c r="O44" s="28"/>
      <c r="P44" s="46"/>
      <c r="Q44" s="28"/>
      <c r="R44" s="28"/>
      <c r="S44" s="28"/>
      <c r="T44" s="28"/>
      <c r="U44" s="28"/>
      <c r="V44" s="28"/>
      <c r="W44" s="28"/>
      <c r="X44" s="29"/>
    </row>
    <row r="45" customFormat="1" ht="234.5" spans="1:24">
      <c r="A45" s="51"/>
      <c r="B45" s="9" t="s">
        <v>2188</v>
      </c>
      <c r="C45" s="45" cm="1">
        <f t="array" ref="C45">_xlfn.IFS(G45="轻甲",8,G45="中甲",6,G45="重甲",4)</f>
        <v>4</v>
      </c>
      <c r="D45" s="46">
        <v>3.5</v>
      </c>
      <c r="E45" s="47" cm="1">
        <f t="array" ref="E45">_xlfn.IFS(P45="低血量",1,P45="中血量",2,P45="高血量",3)</f>
        <v>3</v>
      </c>
      <c r="F45" s="46">
        <v>1</v>
      </c>
      <c r="G45" s="52" t="s">
        <v>1474</v>
      </c>
      <c r="H45" s="46">
        <v>3</v>
      </c>
      <c r="I45" s="47" cm="1">
        <f t="array" ref="I45">_xlfn.IFS(G45="轻甲",2.5,G45="中甲",3,G45="重甲",3.5)+Q45</f>
        <v>3.5</v>
      </c>
      <c r="J45" s="46">
        <v>3</v>
      </c>
      <c r="K45" s="47" cm="1">
        <f t="array" ref="K45">_xlfn.IFS(G45="轻甲",2.5,G45="中甲",3,G45="重甲",3.5)+R45</f>
        <v>3</v>
      </c>
      <c r="L45" s="46" t="s">
        <v>2296</v>
      </c>
      <c r="M45" s="28" t="str">
        <f>_xlfn.DISPIMG("ID_78A52085924E44D4B46A9FFB3D1216A5",1)</f>
        <v>=DISPIMG("ID_78A52085924E44D4B46A9FFB3D1216A5",1)</v>
      </c>
      <c r="N45" s="53" t="s">
        <v>2350</v>
      </c>
      <c r="O45" s="53" t="s">
        <v>2351</v>
      </c>
      <c r="P45" s="52" t="s">
        <v>2299</v>
      </c>
      <c r="Q45" s="45">
        <v>0</v>
      </c>
      <c r="R45" s="45">
        <v>-0.5</v>
      </c>
      <c r="S45" s="53" t="s">
        <v>2352</v>
      </c>
      <c r="T45" s="28"/>
      <c r="U45" s="28"/>
      <c r="V45" s="28"/>
      <c r="W45" s="28"/>
      <c r="X45" s="29"/>
    </row>
    <row r="46" customFormat="1" ht="192.5" spans="1:24">
      <c r="A46" s="51"/>
      <c r="B46" s="59" t="s">
        <v>2189</v>
      </c>
      <c r="C46" s="45" cm="1">
        <f t="array" ref="C46">_xlfn.IFS(G46="轻甲",8,G46="中甲",6,G46="重甲",4)</f>
        <v>4</v>
      </c>
      <c r="D46" s="46">
        <v>3.5</v>
      </c>
      <c r="E46" s="47" cm="1">
        <f t="array" ref="E46">_xlfn.IFS(P46="低血量",1,P46="中血量",2,P46="高血量",3)</f>
        <v>3</v>
      </c>
      <c r="F46" s="46">
        <v>1</v>
      </c>
      <c r="G46" s="52" t="s">
        <v>1474</v>
      </c>
      <c r="H46" s="46">
        <v>3</v>
      </c>
      <c r="I46" s="47" cm="1">
        <f t="array" ref="I46">_xlfn.IFS(G46="轻甲",2.5,G46="中甲",3,G46="重甲",3.5)+Q46</f>
        <v>3</v>
      </c>
      <c r="J46" s="46">
        <v>3</v>
      </c>
      <c r="K46" s="47" cm="1">
        <f t="array" ref="K46">_xlfn.IFS(G46="轻甲",2.5,G46="中甲",3,G46="重甲",3.5)+R46</f>
        <v>3.5</v>
      </c>
      <c r="L46" s="46" t="s">
        <v>2296</v>
      </c>
      <c r="M46" s="28" t="str">
        <f>_xlfn.DISPIMG("ID_DC1FACA775E44A638A4093C721438612",1)</f>
        <v>=DISPIMG("ID_DC1FACA775E44A638A4093C721438612",1)</v>
      </c>
      <c r="N46" s="53" t="s">
        <v>2353</v>
      </c>
      <c r="O46" s="53" t="s">
        <v>2354</v>
      </c>
      <c r="P46" s="52" t="s">
        <v>2299</v>
      </c>
      <c r="Q46" s="45">
        <v>-0.5</v>
      </c>
      <c r="R46" s="45">
        <v>0</v>
      </c>
      <c r="S46" s="53" t="s">
        <v>2355</v>
      </c>
      <c r="T46" s="28"/>
      <c r="U46" s="28"/>
      <c r="V46" s="28"/>
      <c r="W46" s="28"/>
      <c r="X46" s="29"/>
    </row>
    <row r="47" customFormat="1" ht="30" customHeight="1" spans="1:24">
      <c r="A47" s="55"/>
      <c r="B47" s="9" t="s">
        <v>2259</v>
      </c>
      <c r="C47" s="45" t="e" cm="1">
        <f t="array" ref="C47">_xlfn.IFS(G47="轻甲",8,G47="中甲",6,G47="重甲",4)</f>
        <v>#N/A</v>
      </c>
      <c r="D47" s="46">
        <v>3.5</v>
      </c>
      <c r="E47" s="47" t="e" cm="1">
        <f t="array" ref="E47">_xlfn.IFS(P47="低血量",1,P47="中血量",2,P47="高血量",3)</f>
        <v>#N/A</v>
      </c>
      <c r="F47" s="46"/>
      <c r="G47" s="46"/>
      <c r="H47" s="46"/>
      <c r="I47" s="47" t="e" cm="1">
        <f t="array" ref="I47">_xlfn.IFS(G47="轻甲",2.5,G47="中甲",3,G47="重甲",3.5)+Q47</f>
        <v>#N/A</v>
      </c>
      <c r="J47" s="46"/>
      <c r="K47" s="47" t="e" cm="1">
        <f t="array" ref="K47">_xlfn.IFS(G47="轻甲",2.5,G47="中甲",3,G47="重甲",3.5)+R47</f>
        <v>#N/A</v>
      </c>
      <c r="L47" s="46"/>
      <c r="M47" s="28"/>
      <c r="N47" s="28"/>
      <c r="O47" s="28"/>
      <c r="P47" s="46"/>
      <c r="Q47" s="28"/>
      <c r="R47" s="28"/>
      <c r="S47" s="28"/>
      <c r="T47" s="28"/>
      <c r="U47" s="28"/>
      <c r="V47" s="28"/>
      <c r="W47" s="28"/>
      <c r="X47" s="29"/>
    </row>
    <row r="48" customFormat="1" ht="150.5" spans="1:24">
      <c r="A48" s="3" t="s">
        <v>2198</v>
      </c>
      <c r="B48" s="9" t="s">
        <v>2199</v>
      </c>
      <c r="C48" s="45" cm="1">
        <f t="array" ref="C48">_xlfn.IFS(G48="轻甲",8,G48="中甲",6,G48="重甲",4)</f>
        <v>8</v>
      </c>
      <c r="D48" s="46">
        <v>2.5</v>
      </c>
      <c r="E48" s="47" cm="1">
        <f t="array" ref="E48">_xlfn.IFS(P48="低血量",1,P48="中血量",2,P48="高血量",3)</f>
        <v>3</v>
      </c>
      <c r="F48" s="46">
        <v>0</v>
      </c>
      <c r="G48" s="52" t="s">
        <v>2320</v>
      </c>
      <c r="H48" s="46">
        <v>3</v>
      </c>
      <c r="I48" s="47" cm="1">
        <f t="array" ref="I48">_xlfn.IFS(G48="轻甲",2.5,G48="中甲",3,G48="重甲",3.5)+Q48</f>
        <v>2.5</v>
      </c>
      <c r="J48" s="46">
        <v>3</v>
      </c>
      <c r="K48" s="47" cm="1">
        <f t="array" ref="K48">_xlfn.IFS(G48="轻甲",2.5,G48="中甲",3,G48="重甲",3.5)+R48</f>
        <v>3</v>
      </c>
      <c r="L48" s="46" t="s">
        <v>2321</v>
      </c>
      <c r="M48" s="28" t="str">
        <f>_xlfn.DISPIMG("ID_36B14F9BB2414A61887561355AF4AE58",1)</f>
        <v>=DISPIMG("ID_36B14F9BB2414A61887561355AF4AE58",1)</v>
      </c>
      <c r="N48" s="53" t="s">
        <v>2356</v>
      </c>
      <c r="O48" s="53" t="s">
        <v>2357</v>
      </c>
      <c r="P48" s="52" t="s">
        <v>2299</v>
      </c>
      <c r="Q48" s="45">
        <v>0</v>
      </c>
      <c r="R48" s="45">
        <v>0.5</v>
      </c>
      <c r="S48" s="53" t="s">
        <v>2306</v>
      </c>
      <c r="T48" s="28"/>
      <c r="U48" s="28"/>
      <c r="V48" s="28"/>
      <c r="W48" s="28"/>
      <c r="X48" s="29"/>
    </row>
    <row r="49" customFormat="1" ht="178.5" spans="1:24">
      <c r="A49" s="51"/>
      <c r="B49" s="9" t="s">
        <v>2200</v>
      </c>
      <c r="C49" s="45" cm="1">
        <f t="array" ref="C49">_xlfn.IFS(G49="轻甲",8,G49="中甲",6,G49="重甲",4)</f>
        <v>8</v>
      </c>
      <c r="D49" s="46">
        <v>2.5</v>
      </c>
      <c r="E49" s="47" cm="1">
        <f t="array" ref="E49">_xlfn.IFS(P49="低血量",1,P49="中血量",2,P49="高血量",3)</f>
        <v>3</v>
      </c>
      <c r="F49" s="46">
        <v>0</v>
      </c>
      <c r="G49" s="52" t="s">
        <v>2320</v>
      </c>
      <c r="H49" s="46">
        <v>3</v>
      </c>
      <c r="I49" s="47" cm="1">
        <f t="array" ref="I49">_xlfn.IFS(G49="轻甲",2.5,G49="中甲",3,G49="重甲",3.5)+Q49</f>
        <v>2.5</v>
      </c>
      <c r="J49" s="46">
        <v>3</v>
      </c>
      <c r="K49" s="47" cm="1">
        <f t="array" ref="K49">_xlfn.IFS(G49="轻甲",2.5,G49="中甲",3,G49="重甲",3.5)+R49</f>
        <v>3</v>
      </c>
      <c r="L49" s="46" t="s">
        <v>2321</v>
      </c>
      <c r="M49" s="28" t="str">
        <f>_xlfn.DISPIMG("ID_3404A736235E4D9AAEFEADCFD1863B98",1)</f>
        <v>=DISPIMG("ID_3404A736235E4D9AAEFEADCFD1863B98",1)</v>
      </c>
      <c r="N49" s="53" t="s">
        <v>2358</v>
      </c>
      <c r="O49" s="53" t="s">
        <v>2359</v>
      </c>
      <c r="P49" s="52" t="s">
        <v>2299</v>
      </c>
      <c r="Q49" s="45">
        <v>0</v>
      </c>
      <c r="R49" s="45">
        <v>0.5</v>
      </c>
      <c r="S49" s="57" t="s">
        <v>2306</v>
      </c>
      <c r="T49" s="58"/>
      <c r="U49" s="28"/>
      <c r="V49" s="28"/>
      <c r="W49" s="28"/>
      <c r="X49" s="29"/>
    </row>
    <row r="50" customFormat="1" ht="30" hidden="1" customHeight="1" spans="1:24">
      <c r="A50" s="51"/>
      <c r="B50" s="9" t="s">
        <v>2242</v>
      </c>
      <c r="C50" s="45" t="e" cm="1">
        <f t="array" ref="C50">_xlfn.IFS(G50="轻甲",8,G50="中甲",6,G50="重甲",4)</f>
        <v>#N/A</v>
      </c>
      <c r="D50" s="46">
        <v>3.5</v>
      </c>
      <c r="E50" s="47" t="e" cm="1">
        <f t="array" ref="E50">_xlfn.IFS(P50="低血量",1,P50="中血量",2,P50="高血量",3)</f>
        <v>#N/A</v>
      </c>
      <c r="F50" s="46"/>
      <c r="G50" s="46"/>
      <c r="H50" s="46"/>
      <c r="I50" s="47" t="e" cm="1">
        <f t="array" ref="I50">_xlfn.IFS(G50="轻甲",2.5,G50="中甲",3,G50="重甲",3.5)+Q50</f>
        <v>#N/A</v>
      </c>
      <c r="J50" s="46"/>
      <c r="K50" s="47" t="e" cm="1">
        <f t="array" ref="K50">_xlfn.IFS(G50="轻甲",2.5,G50="中甲",3,G50="重甲",3.5)+R50</f>
        <v>#N/A</v>
      </c>
      <c r="L50" s="46"/>
      <c r="M50" s="28"/>
      <c r="N50" s="28"/>
      <c r="O50" s="28"/>
      <c r="P50" s="46"/>
      <c r="Q50" s="28"/>
      <c r="R50" s="28"/>
      <c r="S50" s="58"/>
      <c r="T50" s="58"/>
      <c r="U50" s="28"/>
      <c r="V50" s="28"/>
      <c r="W50" s="28"/>
      <c r="X50" s="29"/>
    </row>
    <row r="51" customFormat="1" ht="30" hidden="1" customHeight="1" spans="1:24">
      <c r="A51" s="51"/>
      <c r="B51" s="9" t="s">
        <v>2244</v>
      </c>
      <c r="C51" s="45" t="e" cm="1">
        <f t="array" ref="C51">_xlfn.IFS(G51="轻甲",8,G51="中甲",6,G51="重甲",4)</f>
        <v>#N/A</v>
      </c>
      <c r="D51" s="46">
        <v>3.5</v>
      </c>
      <c r="E51" s="47" t="e" cm="1">
        <f t="array" ref="E51">_xlfn.IFS(P51="低血量",1,P51="中血量",2,P51="高血量",3)</f>
        <v>#N/A</v>
      </c>
      <c r="F51" s="46"/>
      <c r="G51" s="46"/>
      <c r="H51" s="46"/>
      <c r="I51" s="47" t="e" cm="1">
        <f t="array" ref="I51">_xlfn.IFS(G51="轻甲",2.5,G51="中甲",3,G51="重甲",3.5)+Q51</f>
        <v>#N/A</v>
      </c>
      <c r="J51" s="46"/>
      <c r="K51" s="47" t="e" cm="1">
        <f t="array" ref="K51">_xlfn.IFS(G51="轻甲",2.5,G51="中甲",3,G51="重甲",3.5)+R51</f>
        <v>#N/A</v>
      </c>
      <c r="L51" s="46"/>
      <c r="M51" s="28"/>
      <c r="N51" s="28"/>
      <c r="O51" s="28"/>
      <c r="P51" s="46"/>
      <c r="Q51" s="28"/>
      <c r="R51" s="28"/>
      <c r="S51" s="28"/>
      <c r="T51" s="28"/>
      <c r="U51" s="28"/>
      <c r="V51" s="28"/>
      <c r="W51" s="28"/>
      <c r="X51" s="29"/>
    </row>
    <row r="52" customFormat="1" ht="30" hidden="1" customHeight="1" spans="1:24">
      <c r="A52" s="51"/>
      <c r="B52" s="9" t="s">
        <v>2249</v>
      </c>
      <c r="C52" s="45" t="e" cm="1">
        <f t="array" ref="C52">_xlfn.IFS(G52="轻甲",8,G52="中甲",6,G52="重甲",4)</f>
        <v>#N/A</v>
      </c>
      <c r="D52" s="46">
        <v>3.5</v>
      </c>
      <c r="E52" s="47" t="e" cm="1">
        <f t="array" ref="E52">_xlfn.IFS(P52="低血量",1,P52="中血量",2,P52="高血量",3)</f>
        <v>#N/A</v>
      </c>
      <c r="F52" s="46"/>
      <c r="G52" s="46"/>
      <c r="H52" s="46"/>
      <c r="I52" s="47" t="e" cm="1">
        <f t="array" ref="I52">_xlfn.IFS(G52="轻甲",2.5,G52="中甲",3,G52="重甲",3.5)+Q52</f>
        <v>#N/A</v>
      </c>
      <c r="J52" s="46"/>
      <c r="K52" s="47" t="e" cm="1">
        <f t="array" ref="K52">_xlfn.IFS(G52="轻甲",2.5,G52="中甲",3,G52="重甲",3.5)+R52</f>
        <v>#N/A</v>
      </c>
      <c r="L52" s="46"/>
      <c r="M52" s="28"/>
      <c r="N52" s="28"/>
      <c r="O52" s="28"/>
      <c r="P52" s="46"/>
      <c r="Q52" s="28"/>
      <c r="R52" s="28"/>
      <c r="S52" s="28"/>
      <c r="T52" s="28"/>
      <c r="U52" s="28"/>
      <c r="V52" s="28"/>
      <c r="W52" s="28"/>
      <c r="X52" s="29"/>
    </row>
    <row r="53" customFormat="1" ht="30" hidden="1" customHeight="1" spans="1:24">
      <c r="A53" s="51"/>
      <c r="B53" s="9" t="s">
        <v>2252</v>
      </c>
      <c r="C53" s="45" t="e" cm="1">
        <f t="array" ref="C53">_xlfn.IFS(G53="轻甲",8,G53="中甲",6,G53="重甲",4)</f>
        <v>#N/A</v>
      </c>
      <c r="D53" s="46">
        <v>3.5</v>
      </c>
      <c r="E53" s="47" t="e" cm="1">
        <f t="array" ref="E53">_xlfn.IFS(P53="低血量",1,P53="中血量",2,P53="高血量",3)</f>
        <v>#N/A</v>
      </c>
      <c r="F53" s="46"/>
      <c r="G53" s="46"/>
      <c r="H53" s="46"/>
      <c r="I53" s="47" t="e" cm="1">
        <f t="array" ref="I53">_xlfn.IFS(G53="轻甲",2.5,G53="中甲",3,G53="重甲",3.5)+Q53</f>
        <v>#N/A</v>
      </c>
      <c r="J53" s="46"/>
      <c r="K53" s="47" t="e" cm="1">
        <f t="array" ref="K53">_xlfn.IFS(G53="轻甲",2.5,G53="中甲",3,G53="重甲",3.5)+R53</f>
        <v>#N/A</v>
      </c>
      <c r="L53" s="46"/>
      <c r="M53" s="28"/>
      <c r="N53" s="28"/>
      <c r="O53" s="28"/>
      <c r="P53" s="46"/>
      <c r="Q53" s="28"/>
      <c r="R53" s="28"/>
      <c r="S53" s="28"/>
      <c r="T53" s="28"/>
      <c r="U53" s="28"/>
      <c r="V53" s="28"/>
      <c r="W53" s="28"/>
      <c r="X53" s="29"/>
    </row>
    <row r="54" customFormat="1" ht="30" hidden="1" customHeight="1" spans="1:24">
      <c r="A54" s="51"/>
      <c r="B54" s="9" t="s">
        <v>2256</v>
      </c>
      <c r="C54" s="45" t="e" cm="1">
        <f t="array" ref="C54">_xlfn.IFS(G54="轻甲",8,G54="中甲",6,G54="重甲",4)</f>
        <v>#N/A</v>
      </c>
      <c r="D54" s="46">
        <v>3.5</v>
      </c>
      <c r="E54" s="47" t="e" cm="1">
        <f t="array" ref="E54">_xlfn.IFS(P54="低血量",1,P54="中血量",2,P54="高血量",3)</f>
        <v>#N/A</v>
      </c>
      <c r="F54" s="46"/>
      <c r="G54" s="46"/>
      <c r="H54" s="46"/>
      <c r="I54" s="47" t="e" cm="1">
        <f t="array" ref="I54">_xlfn.IFS(G54="轻甲",2.5,G54="中甲",3,G54="重甲",3.5)+Q54</f>
        <v>#N/A</v>
      </c>
      <c r="J54" s="46"/>
      <c r="K54" s="47" t="e" cm="1">
        <f t="array" ref="K54">_xlfn.IFS(G54="轻甲",2.5,G54="中甲",3,G54="重甲",3.5)+R54</f>
        <v>#N/A</v>
      </c>
      <c r="L54" s="46"/>
      <c r="M54" s="28"/>
      <c r="N54" s="28"/>
      <c r="O54" s="28"/>
      <c r="P54" s="46"/>
      <c r="Q54" s="28"/>
      <c r="R54" s="28"/>
      <c r="S54" s="28"/>
      <c r="T54" s="28"/>
      <c r="U54" s="28"/>
      <c r="V54" s="28"/>
      <c r="W54" s="28"/>
      <c r="X54" s="29"/>
    </row>
    <row r="55" customFormat="1" ht="206.5" spans="1:24">
      <c r="A55" s="55"/>
      <c r="B55" s="9" t="s">
        <v>2201</v>
      </c>
      <c r="C55" s="45" cm="1">
        <f t="array" ref="C55">_xlfn.IFS(G55="轻甲",8,G55="中甲",6,G55="重甲",4)</f>
        <v>8</v>
      </c>
      <c r="D55" s="46">
        <v>2.5</v>
      </c>
      <c r="E55" s="47" cm="1">
        <f t="array" ref="E55">_xlfn.IFS(P55="低血量",1,P55="中血量",2,P55="高血量",3)</f>
        <v>3</v>
      </c>
      <c r="F55" s="46">
        <v>0</v>
      </c>
      <c r="G55" s="52" t="s">
        <v>2320</v>
      </c>
      <c r="H55" s="46">
        <v>3</v>
      </c>
      <c r="I55" s="47" cm="1">
        <f t="array" ref="I55">_xlfn.IFS(G55="轻甲",2.5,G55="中甲",3,G55="重甲",3.5)+Q55</f>
        <v>2.5</v>
      </c>
      <c r="J55" s="46">
        <v>3</v>
      </c>
      <c r="K55" s="47" cm="1">
        <f t="array" ref="K55">_xlfn.IFS(G55="轻甲",2.5,G55="中甲",3,G55="重甲",3.5)+R55</f>
        <v>3</v>
      </c>
      <c r="L55" s="46" t="s">
        <v>2321</v>
      </c>
      <c r="M55" s="28" t="str">
        <f>_xlfn.DISPIMG("ID_36B14F9BB2414A61887561355AF4AE58",1)</f>
        <v>=DISPIMG("ID_36B14F9BB2414A61887561355AF4AE58",1)</v>
      </c>
      <c r="N55" s="53" t="s">
        <v>2360</v>
      </c>
      <c r="O55" s="53" t="s">
        <v>2361</v>
      </c>
      <c r="P55" s="52" t="s">
        <v>2299</v>
      </c>
      <c r="Q55" s="45">
        <v>0</v>
      </c>
      <c r="R55" s="45">
        <v>0.5</v>
      </c>
      <c r="S55" s="53" t="s">
        <v>2306</v>
      </c>
      <c r="T55" s="28"/>
      <c r="U55" s="28"/>
      <c r="V55" s="28"/>
      <c r="W55" s="28"/>
      <c r="X55" s="29"/>
    </row>
    <row r="56" customFormat="1" ht="30" customHeight="1" spans="1:24">
      <c r="A56" s="3" t="s">
        <v>2202</v>
      </c>
      <c r="B56" s="10" t="s">
        <v>2222</v>
      </c>
      <c r="C56" s="45" t="e" cm="1">
        <f t="array" ref="C56">_xlfn.IFS(G56="轻甲",8,G56="中甲",6,G56="重甲",4)</f>
        <v>#N/A</v>
      </c>
      <c r="D56" s="46">
        <v>3.5</v>
      </c>
      <c r="E56" s="47" t="e" cm="1">
        <f t="array" ref="E56">_xlfn.IFS(P56="低血量",1,P56="中血量",2,P56="高血量",3)</f>
        <v>#N/A</v>
      </c>
      <c r="F56" s="46"/>
      <c r="G56" s="46"/>
      <c r="H56" s="46"/>
      <c r="I56" s="47" t="e" cm="1">
        <f t="array" ref="I56">_xlfn.IFS(G56="轻甲",2.5,G56="中甲",3,G56="重甲",3.5)+Q56</f>
        <v>#N/A</v>
      </c>
      <c r="J56" s="46"/>
      <c r="K56" s="47" t="e" cm="1">
        <f t="array" ref="K56">_xlfn.IFS(G56="轻甲",2.5,G56="中甲",3,G56="重甲",3.5)+R56</f>
        <v>#N/A</v>
      </c>
      <c r="L56" s="46"/>
      <c r="M56" s="28"/>
      <c r="N56" s="28"/>
      <c r="O56" s="28"/>
      <c r="P56" s="46"/>
      <c r="Q56" s="28"/>
      <c r="R56" s="28"/>
      <c r="S56" s="28"/>
      <c r="T56" s="28"/>
      <c r="U56" s="28"/>
      <c r="V56" s="28"/>
      <c r="W56" s="28"/>
      <c r="X56" s="29"/>
    </row>
    <row r="57" customFormat="1" ht="30" customHeight="1" spans="1:24">
      <c r="A57" s="51"/>
      <c r="B57" s="9" t="s">
        <v>2235</v>
      </c>
      <c r="C57" s="45" t="e" cm="1">
        <f t="array" ref="C57">_xlfn.IFS(G57="轻甲",8,G57="中甲",6,G57="重甲",4)</f>
        <v>#N/A</v>
      </c>
      <c r="D57" s="46">
        <v>3.5</v>
      </c>
      <c r="E57" s="47" t="e" cm="1">
        <f t="array" ref="E57">_xlfn.IFS(P57="低血量",1,P57="中血量",2,P57="高血量",3)</f>
        <v>#N/A</v>
      </c>
      <c r="F57" s="46"/>
      <c r="G57" s="46"/>
      <c r="H57" s="46"/>
      <c r="I57" s="47" t="e" cm="1">
        <f t="array" ref="I57">_xlfn.IFS(G57="轻甲",2.5,G57="中甲",3,G57="重甲",3.5)+Q57</f>
        <v>#N/A</v>
      </c>
      <c r="J57" s="46"/>
      <c r="K57" s="47" t="e" cm="1">
        <f t="array" ref="K57">_xlfn.IFS(G57="轻甲",2.5,G57="中甲",3,G57="重甲",3.5)+R57</f>
        <v>#N/A</v>
      </c>
      <c r="L57" s="46"/>
      <c r="M57" s="28"/>
      <c r="N57" s="28"/>
      <c r="O57" s="28"/>
      <c r="P57" s="46"/>
      <c r="Q57" s="28"/>
      <c r="R57" s="28"/>
      <c r="S57" s="28"/>
      <c r="T57" s="28"/>
      <c r="U57" s="28"/>
      <c r="V57" s="28"/>
      <c r="W57" s="28"/>
      <c r="X57" s="29"/>
    </row>
    <row r="58" customFormat="1" ht="192.5" spans="1:24">
      <c r="A58" s="51"/>
      <c r="B58" s="9" t="s">
        <v>2203</v>
      </c>
      <c r="C58" s="45" cm="1">
        <f t="array" ref="C58">_xlfn.IFS(G58="轻甲",8,G58="中甲",6,G58="重甲",4)</f>
        <v>8</v>
      </c>
      <c r="D58" s="46">
        <v>2.5</v>
      </c>
      <c r="E58" s="47" cm="1">
        <f t="array" ref="E58">_xlfn.IFS(P58="低血量",1,P58="中血量",2,P58="高血量",3)</f>
        <v>2</v>
      </c>
      <c r="F58" s="46">
        <v>0</v>
      </c>
      <c r="G58" s="52" t="s">
        <v>2320</v>
      </c>
      <c r="H58" s="46">
        <v>3</v>
      </c>
      <c r="I58" s="47" cm="1">
        <f t="array" ref="I58">_xlfn.IFS(G58="轻甲",2.5,G58="中甲",3,G58="重甲",3.5)+Q58</f>
        <v>2.5</v>
      </c>
      <c r="J58" s="46">
        <v>3</v>
      </c>
      <c r="K58" s="47" cm="1">
        <f t="array" ref="K58">_xlfn.IFS(G58="轻甲",2.5,G58="中甲",3,G58="重甲",3.5)+R58</f>
        <v>2.5</v>
      </c>
      <c r="L58" s="46" t="s">
        <v>2296</v>
      </c>
      <c r="M58" s="28" t="str">
        <f>_xlfn.DISPIMG("ID_3A4B0B08689E41B09A66E7B2A6D99B65",1)</f>
        <v>=DISPIMG("ID_3A4B0B08689E41B09A66E7B2A6D99B65",1)</v>
      </c>
      <c r="N58" s="53" t="s">
        <v>2362</v>
      </c>
      <c r="O58" s="53" t="s">
        <v>2363</v>
      </c>
      <c r="P58" s="52" t="s">
        <v>2309</v>
      </c>
      <c r="Q58" s="45">
        <v>0</v>
      </c>
      <c r="R58" s="45">
        <v>0</v>
      </c>
      <c r="S58" s="53" t="s">
        <v>2364</v>
      </c>
      <c r="T58" s="28"/>
      <c r="U58" s="28"/>
      <c r="V58" s="28"/>
      <c r="W58" s="28"/>
      <c r="X58" s="29"/>
    </row>
    <row r="59" customFormat="1" ht="152.25" spans="1:24">
      <c r="A59" s="51"/>
      <c r="B59" s="9" t="s">
        <v>2204</v>
      </c>
      <c r="C59" s="45" cm="1">
        <f t="array" ref="C59">_xlfn.IFS(G59="轻甲",8,G59="中甲",6,G59="重甲",4)</f>
        <v>8</v>
      </c>
      <c r="D59" s="46">
        <v>2.5</v>
      </c>
      <c r="E59" s="47" cm="1">
        <f t="array" ref="E59">_xlfn.IFS(P59="低血量",1,P59="中血量",2,P59="高血量",3)</f>
        <v>3</v>
      </c>
      <c r="F59" s="46">
        <v>0</v>
      </c>
      <c r="G59" s="52" t="s">
        <v>2320</v>
      </c>
      <c r="H59" s="46">
        <v>3</v>
      </c>
      <c r="I59" s="47" cm="1">
        <f t="array" ref="I59">_xlfn.IFS(G59="轻甲",2.5,G59="中甲",3,G59="重甲",3.5)+Q59</f>
        <v>2</v>
      </c>
      <c r="J59" s="46">
        <v>3</v>
      </c>
      <c r="K59" s="47" cm="1">
        <f t="array" ref="K59">_xlfn.IFS(G59="轻甲",2.5,G59="中甲",3,G59="重甲",3.5)+R59</f>
        <v>2</v>
      </c>
      <c r="L59" s="46" t="s">
        <v>2321</v>
      </c>
      <c r="M59" s="28" t="str">
        <f>_xlfn.DISPIMG("ID_ADB1DCD5768E4474B40F26C3DB75A3D0",1)</f>
        <v>=DISPIMG("ID_ADB1DCD5768E4474B40F26C3DB75A3D0",1)</v>
      </c>
      <c r="N59" s="53" t="s">
        <v>2365</v>
      </c>
      <c r="O59" s="53" t="s">
        <v>2366</v>
      </c>
      <c r="P59" s="52" t="s">
        <v>2299</v>
      </c>
      <c r="Q59" s="45">
        <v>-0.5</v>
      </c>
      <c r="R59" s="45">
        <v>-0.5</v>
      </c>
      <c r="S59" s="53" t="s">
        <v>2367</v>
      </c>
      <c r="T59" s="28"/>
      <c r="U59" s="28"/>
      <c r="V59" s="28"/>
      <c r="W59" s="28"/>
      <c r="X59" s="29"/>
    </row>
    <row r="60" customFormat="1" ht="30" customHeight="1" spans="1:24">
      <c r="A60" s="51"/>
      <c r="B60" s="9" t="s">
        <v>2250</v>
      </c>
      <c r="C60" s="28"/>
      <c r="D60" s="28"/>
      <c r="E60" s="28"/>
      <c r="F60" s="28"/>
      <c r="G60" s="28"/>
      <c r="H60" s="28"/>
      <c r="I60" s="28"/>
      <c r="J60" s="28"/>
      <c r="K60" s="28"/>
      <c r="L60" s="28"/>
      <c r="M60" s="28"/>
      <c r="N60" s="28"/>
      <c r="O60" s="28"/>
      <c r="P60" s="28"/>
      <c r="Q60" s="28"/>
      <c r="R60" s="28"/>
      <c r="S60" s="54"/>
      <c r="T60" s="28"/>
      <c r="U60" s="28"/>
      <c r="V60" s="28"/>
      <c r="W60" s="28"/>
      <c r="X60" s="29"/>
    </row>
    <row r="61" customFormat="1" ht="30" customHeight="1" spans="1:24">
      <c r="A61" s="51"/>
      <c r="B61" s="9" t="s">
        <v>2253</v>
      </c>
      <c r="C61" s="28"/>
      <c r="D61" s="28"/>
      <c r="E61" s="28"/>
      <c r="F61" s="28"/>
      <c r="G61" s="28"/>
      <c r="H61" s="28"/>
      <c r="I61" s="28"/>
      <c r="J61" s="28"/>
      <c r="K61" s="28"/>
      <c r="L61" s="28"/>
      <c r="M61" s="28"/>
      <c r="N61" s="28"/>
      <c r="O61" s="28"/>
      <c r="P61" s="28"/>
      <c r="Q61" s="28"/>
      <c r="R61" s="28"/>
      <c r="S61" s="54"/>
      <c r="T61" s="28"/>
      <c r="U61" s="28"/>
      <c r="V61" s="28"/>
      <c r="W61" s="28"/>
      <c r="X61" s="29"/>
    </row>
    <row r="62" customFormat="1" ht="30" customHeight="1" spans="1:24">
      <c r="A62" s="51"/>
      <c r="B62" s="9" t="s">
        <v>2257</v>
      </c>
      <c r="C62" s="28"/>
      <c r="D62" s="28"/>
      <c r="E62" s="28"/>
      <c r="F62" s="28"/>
      <c r="G62" s="28"/>
      <c r="H62" s="28"/>
      <c r="I62" s="28"/>
      <c r="J62" s="28"/>
      <c r="K62" s="28"/>
      <c r="L62" s="28"/>
      <c r="M62" s="28"/>
      <c r="N62" s="28"/>
      <c r="O62" s="28"/>
      <c r="P62" s="28"/>
      <c r="Q62" s="28"/>
      <c r="R62" s="28"/>
      <c r="S62" s="54"/>
      <c r="T62" s="28"/>
      <c r="U62" s="28"/>
      <c r="V62" s="28"/>
      <c r="W62" s="28"/>
      <c r="X62" s="29"/>
    </row>
    <row r="63" customFormat="1" ht="30" customHeight="1" spans="1:24">
      <c r="A63" s="51"/>
      <c r="B63" s="9" t="s">
        <v>2260</v>
      </c>
      <c r="C63" s="28"/>
      <c r="D63" s="28"/>
      <c r="E63" s="28"/>
      <c r="F63" s="28"/>
      <c r="G63" s="28"/>
      <c r="H63" s="28"/>
      <c r="I63" s="28"/>
      <c r="J63" s="28"/>
      <c r="K63" s="28"/>
      <c r="L63" s="28"/>
      <c r="M63" s="28"/>
      <c r="N63" s="28"/>
      <c r="O63" s="28"/>
      <c r="P63" s="28"/>
      <c r="Q63" s="28"/>
      <c r="R63" s="28"/>
      <c r="S63" s="54"/>
      <c r="T63" s="28"/>
      <c r="U63" s="28"/>
      <c r="V63" s="28"/>
      <c r="W63" s="28"/>
      <c r="X63" s="29"/>
    </row>
    <row r="64" customFormat="1" ht="30" customHeight="1" spans="1:24">
      <c r="A64" s="51"/>
      <c r="B64" s="9" t="s">
        <v>2263</v>
      </c>
      <c r="C64" s="28"/>
      <c r="D64" s="28"/>
      <c r="E64" s="28"/>
      <c r="F64" s="28"/>
      <c r="G64" s="28"/>
      <c r="H64" s="28"/>
      <c r="I64" s="28"/>
      <c r="J64" s="28"/>
      <c r="K64" s="28"/>
      <c r="L64" s="28"/>
      <c r="M64" s="28"/>
      <c r="N64" s="28"/>
      <c r="O64" s="28"/>
      <c r="P64" s="28"/>
      <c r="Q64" s="28"/>
      <c r="R64" s="28"/>
      <c r="S64" s="54"/>
      <c r="T64" s="28"/>
      <c r="U64" s="28"/>
      <c r="V64" s="28"/>
      <c r="W64" s="28"/>
      <c r="X64" s="29"/>
    </row>
    <row r="65" customFormat="1" ht="30" customHeight="1" spans="1:24">
      <c r="A65" s="55"/>
      <c r="B65" s="13" t="s">
        <v>2265</v>
      </c>
      <c r="C65" s="36"/>
      <c r="D65" s="36"/>
      <c r="E65" s="36"/>
      <c r="F65" s="36"/>
      <c r="G65" s="36"/>
      <c r="H65" s="36"/>
      <c r="I65" s="36"/>
      <c r="J65" s="36"/>
      <c r="K65" s="36"/>
      <c r="L65" s="36"/>
      <c r="M65" s="36"/>
      <c r="N65" s="36"/>
      <c r="O65" s="36"/>
      <c r="P65" s="36"/>
      <c r="Q65" s="36"/>
      <c r="R65" s="36"/>
      <c r="S65" s="60"/>
      <c r="T65" s="36"/>
      <c r="U65" s="36"/>
      <c r="V65" s="36"/>
      <c r="W65" s="36"/>
      <c r="X65" s="37"/>
    </row>
    <row r="66" ht="15.15" spans="1:24">
      <c r="S66" s="42"/>
    </row>
  </sheetData>
  <sheetProtection formatCells="0" formatColumns="0" formatRows="0" insertRows="0" insertColumns="0" insertHyperlinks="0" deleteColumns="0" deleteRows="0" sort="0" autoFilter="0" pivotTables="0"/>
  <mergeCells count="9">
    <mergeCell ref="A1:A2"/>
    <mergeCell ref="A5:A16"/>
    <mergeCell ref="A17:A21"/>
    <mergeCell ref="A22:A30"/>
    <mergeCell ref="A31:A36"/>
    <mergeCell ref="A37:A39"/>
    <mergeCell ref="A40:A47"/>
    <mergeCell ref="A48:A55"/>
    <mergeCell ref="A56:A65"/>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5"/>
    <pageSetUpPr autoPageBreaks="0"/>
  </sheetPr>
  <dimension ref="A1:V75"/>
  <sheetViews>
    <sheetView zoomScale="85" zoomScaleNormal="85" workbookViewId="0">
      <selection activeCell="E61" sqref="E61"/>
    </sheetView>
  </sheetViews>
  <sheetFormatPr defaultColWidth="15" defaultRowHeight="30" customHeight="1"/>
  <cols>
    <col min="1" max="16384" width="15" customWidth="1"/>
  </cols>
  <sheetData>
    <row r="1" customHeight="1" spans="1:22">
      <c r="C1" t="s">
        <v>2368</v>
      </c>
      <c r="D1" t="s">
        <v>2369</v>
      </c>
      <c r="E1" t="s">
        <v>2370</v>
      </c>
      <c r="F1" t="s">
        <v>2371</v>
      </c>
      <c r="G1" t="s">
        <v>2372</v>
      </c>
      <c r="H1" t="s">
        <v>2373</v>
      </c>
      <c r="I1" t="s">
        <v>2374</v>
      </c>
      <c r="J1" t="s">
        <v>2375</v>
      </c>
      <c r="K1" t="s">
        <v>2376</v>
      </c>
      <c r="L1" t="s">
        <v>2377</v>
      </c>
      <c r="M1" t="s">
        <v>2378</v>
      </c>
      <c r="N1" t="s">
        <v>2379</v>
      </c>
      <c r="O1" t="s">
        <v>2380</v>
      </c>
      <c r="P1" t="s">
        <v>2381</v>
      </c>
      <c r="Q1" t="s">
        <v>2382</v>
      </c>
      <c r="R1" t="s">
        <v>2383</v>
      </c>
      <c r="S1" t="s">
        <v>2384</v>
      </c>
      <c r="T1" t="s">
        <v>2385</v>
      </c>
      <c r="U1" t="s">
        <v>2386</v>
      </c>
      <c r="V1" t="s">
        <v>2387</v>
      </c>
    </row>
    <row r="2" customHeight="1" spans="1:22">
      <c r="A2" s="1" t="s">
        <v>2278</v>
      </c>
      <c r="B2" s="2" t="s">
        <v>2279</v>
      </c>
      <c r="C2">
        <v>2</v>
      </c>
      <c r="D2">
        <v>3</v>
      </c>
      <c r="E2">
        <v>4</v>
      </c>
      <c r="F2">
        <v>5</v>
      </c>
      <c r="G2">
        <v>6</v>
      </c>
      <c r="H2">
        <v>7</v>
      </c>
      <c r="I2">
        <v>8</v>
      </c>
      <c r="J2">
        <v>9</v>
      </c>
      <c r="K2">
        <v>10</v>
      </c>
      <c r="L2">
        <v>11</v>
      </c>
      <c r="M2">
        <v>12</v>
      </c>
      <c r="N2">
        <v>13</v>
      </c>
      <c r="O2">
        <v>14</v>
      </c>
      <c r="P2">
        <v>15</v>
      </c>
      <c r="Q2">
        <v>16</v>
      </c>
      <c r="R2">
        <v>17</v>
      </c>
      <c r="S2">
        <v>18</v>
      </c>
      <c r="T2">
        <v>19</v>
      </c>
      <c r="U2">
        <v>20</v>
      </c>
      <c r="V2">
        <v>21</v>
      </c>
    </row>
    <row r="3" customHeight="1" spans="1:22">
      <c r="A3" s="3" t="s">
        <v>2177</v>
      </c>
      <c r="B3" s="4" t="s">
        <v>2178</v>
      </c>
      <c r="C3" s="5"/>
      <c r="D3" s="5"/>
      <c r="E3" s="5"/>
      <c r="F3" s="5"/>
      <c r="G3" s="5"/>
      <c r="H3" s="5"/>
      <c r="I3" s="5"/>
      <c r="J3" s="5"/>
      <c r="K3" s="5"/>
      <c r="L3" s="5"/>
      <c r="M3" s="5"/>
      <c r="N3" s="5"/>
      <c r="O3" s="5"/>
      <c r="P3" s="5"/>
      <c r="Q3" s="5"/>
      <c r="R3" s="5"/>
      <c r="S3" s="5"/>
      <c r="T3" s="5"/>
      <c r="U3" s="5"/>
      <c r="V3" s="6"/>
    </row>
    <row r="4" customHeight="1" spans="1:22">
      <c r="A4" s="3"/>
      <c r="B4" s="4" t="s">
        <v>2179</v>
      </c>
      <c r="C4" s="7"/>
      <c r="D4" s="7"/>
      <c r="E4" s="7"/>
      <c r="F4" s="7"/>
      <c r="G4" s="7"/>
      <c r="H4" s="7"/>
      <c r="I4" s="7"/>
      <c r="J4" s="7"/>
      <c r="K4" s="7"/>
      <c r="L4" s="7"/>
      <c r="M4" s="7"/>
      <c r="N4" s="7"/>
      <c r="O4" s="7"/>
      <c r="P4" s="7"/>
      <c r="Q4" s="7"/>
      <c r="R4" s="7"/>
      <c r="S4" s="7"/>
      <c r="T4" s="7"/>
      <c r="U4" s="7"/>
      <c r="V4" s="8"/>
    </row>
    <row r="5" hidden="1" customHeight="1" spans="1:22">
      <c r="A5" s="3"/>
      <c r="B5" s="9" t="s">
        <v>2237</v>
      </c>
      <c r="C5" s="7"/>
      <c r="D5" s="7"/>
      <c r="E5" s="7"/>
      <c r="F5" s="7"/>
      <c r="G5" s="7"/>
      <c r="H5" s="7"/>
      <c r="I5" s="7"/>
      <c r="J5" s="7"/>
      <c r="K5" s="7"/>
      <c r="L5" s="7"/>
      <c r="M5" s="7"/>
      <c r="N5" s="7"/>
      <c r="O5" s="7"/>
      <c r="P5" s="7"/>
      <c r="Q5" s="7"/>
      <c r="R5" s="7"/>
      <c r="S5" s="7"/>
      <c r="T5" s="7"/>
      <c r="U5" s="7"/>
      <c r="V5" s="8"/>
    </row>
    <row r="6" hidden="1" customHeight="1" spans="1:22">
      <c r="A6" s="3"/>
      <c r="B6" s="9" t="s">
        <v>2243</v>
      </c>
      <c r="C6" s="7"/>
      <c r="D6" s="7"/>
      <c r="E6" s="7"/>
      <c r="F6" s="7"/>
      <c r="G6" s="7"/>
      <c r="H6" s="7"/>
      <c r="I6" s="7"/>
      <c r="J6" s="7"/>
      <c r="K6" s="7"/>
      <c r="L6" s="7"/>
      <c r="M6" s="7"/>
      <c r="N6" s="7"/>
      <c r="O6" s="7"/>
      <c r="P6" s="7"/>
      <c r="Q6" s="7"/>
      <c r="R6" s="7"/>
      <c r="S6" s="7"/>
      <c r="T6" s="7"/>
      <c r="U6" s="7"/>
      <c r="V6" s="8"/>
    </row>
    <row r="7" hidden="1" customHeight="1" spans="1:22">
      <c r="A7" s="3"/>
      <c r="B7" s="9" t="s">
        <v>2246</v>
      </c>
      <c r="C7" s="7"/>
      <c r="D7" s="7"/>
      <c r="E7" s="7"/>
      <c r="F7" s="7"/>
      <c r="G7" s="7"/>
      <c r="H7" s="7"/>
      <c r="I7" s="7"/>
      <c r="J7" s="7"/>
      <c r="K7" s="7"/>
      <c r="L7" s="7"/>
      <c r="M7" s="7"/>
      <c r="N7" s="7"/>
      <c r="O7" s="7"/>
      <c r="P7" s="7"/>
      <c r="Q7" s="7"/>
      <c r="R7" s="7"/>
      <c r="S7" s="7"/>
      <c r="T7" s="7"/>
      <c r="U7" s="7"/>
      <c r="V7" s="8"/>
    </row>
    <row r="8" customHeight="1" spans="1:22">
      <c r="A8" s="3"/>
      <c r="B8" s="9" t="s">
        <v>2180</v>
      </c>
      <c r="C8" s="7"/>
      <c r="D8" s="7"/>
      <c r="E8" s="7"/>
      <c r="F8" s="7"/>
      <c r="G8" s="7"/>
      <c r="H8" s="7"/>
      <c r="I8" s="7"/>
      <c r="J8" s="7"/>
      <c r="K8" s="7"/>
      <c r="L8" s="7"/>
      <c r="M8" s="7"/>
      <c r="N8" s="7"/>
      <c r="O8" s="7"/>
      <c r="P8" s="7"/>
      <c r="Q8" s="7"/>
      <c r="R8" s="7"/>
      <c r="S8" s="7"/>
      <c r="T8" s="7"/>
      <c r="U8" s="7"/>
      <c r="V8" s="8"/>
    </row>
    <row r="9" hidden="1" customHeight="1" spans="1:22">
      <c r="A9" s="3"/>
      <c r="B9" s="9" t="s">
        <v>2182</v>
      </c>
      <c r="C9" s="7"/>
      <c r="D9" s="7"/>
      <c r="E9" s="7"/>
      <c r="F9" s="7"/>
      <c r="G9" s="7"/>
      <c r="H9" s="7"/>
      <c r="I9" s="7"/>
      <c r="J9" s="7"/>
      <c r="K9" s="7"/>
      <c r="L9" s="7"/>
      <c r="M9" s="7"/>
      <c r="N9" s="7"/>
      <c r="O9" s="7"/>
      <c r="P9" s="7"/>
      <c r="Q9" s="7"/>
      <c r="R9" s="7"/>
      <c r="S9" s="7"/>
      <c r="T9" s="7"/>
      <c r="U9" s="7"/>
      <c r="V9" s="8"/>
    </row>
    <row r="10" customHeight="1" spans="1:22">
      <c r="A10" s="3"/>
      <c r="B10" s="9" t="s">
        <v>2181</v>
      </c>
      <c r="C10" s="7"/>
      <c r="D10" s="7"/>
      <c r="E10" s="7"/>
      <c r="F10" s="7"/>
      <c r="G10" s="7"/>
      <c r="H10" s="7"/>
      <c r="I10" s="7"/>
      <c r="J10" s="7"/>
      <c r="K10" s="7"/>
      <c r="L10" s="7"/>
      <c r="M10" s="7"/>
      <c r="N10" s="7"/>
      <c r="O10" s="7"/>
      <c r="P10" s="7"/>
      <c r="Q10" s="7"/>
      <c r="R10" s="7"/>
      <c r="S10" s="7"/>
      <c r="T10" s="7"/>
      <c r="U10" s="7"/>
      <c r="V10" s="8"/>
    </row>
    <row r="11" hidden="1" customHeight="1" spans="1:22">
      <c r="A11" s="3"/>
      <c r="B11" s="9" t="s">
        <v>2261</v>
      </c>
      <c r="C11" s="7"/>
      <c r="D11" s="7"/>
      <c r="E11" s="7"/>
      <c r="F11" s="7"/>
      <c r="G11" s="7"/>
      <c r="H11" s="7"/>
      <c r="I11" s="7"/>
      <c r="J11" s="7"/>
      <c r="K11" s="7"/>
      <c r="L11" s="7"/>
      <c r="M11" s="7"/>
      <c r="N11" s="7"/>
      <c r="O11" s="7"/>
      <c r="P11" s="7"/>
      <c r="Q11" s="7"/>
      <c r="R11" s="7"/>
      <c r="S11" s="7"/>
      <c r="T11" s="7"/>
      <c r="U11" s="7"/>
      <c r="V11" s="8"/>
    </row>
    <row r="12" hidden="1" customHeight="1" spans="1:22">
      <c r="A12" s="3"/>
      <c r="B12" s="9" t="s">
        <v>2264</v>
      </c>
      <c r="C12" s="7"/>
      <c r="D12" s="7"/>
      <c r="E12" s="7"/>
      <c r="F12" s="7"/>
      <c r="G12" s="7"/>
      <c r="H12" s="7"/>
      <c r="I12" s="7"/>
      <c r="J12" s="7"/>
      <c r="K12" s="7"/>
      <c r="L12" s="7"/>
      <c r="M12" s="7"/>
      <c r="N12" s="7"/>
      <c r="O12" s="7"/>
      <c r="P12" s="7"/>
      <c r="Q12" s="7"/>
      <c r="R12" s="7"/>
      <c r="S12" s="7"/>
      <c r="T12" s="7"/>
      <c r="U12" s="7"/>
      <c r="V12" s="8"/>
    </row>
    <row r="13" hidden="1" customHeight="1" spans="1:22">
      <c r="A13" s="3"/>
      <c r="B13" s="9" t="s">
        <v>2266</v>
      </c>
      <c r="C13" s="7"/>
      <c r="D13" s="7"/>
      <c r="E13" s="7"/>
      <c r="F13" s="7"/>
      <c r="G13" s="7"/>
      <c r="H13" s="7"/>
      <c r="I13" s="7"/>
      <c r="J13" s="7"/>
      <c r="K13" s="7"/>
      <c r="L13" s="7"/>
      <c r="M13" s="7"/>
      <c r="N13" s="7"/>
      <c r="O13" s="7"/>
      <c r="P13" s="7"/>
      <c r="Q13" s="7"/>
      <c r="R13" s="7"/>
      <c r="S13" s="7"/>
      <c r="T13" s="7"/>
      <c r="U13" s="7"/>
      <c r="V13" s="8"/>
    </row>
    <row r="14" hidden="1" customHeight="1" spans="1:22">
      <c r="A14" s="3"/>
      <c r="B14" s="9" t="s">
        <v>2267</v>
      </c>
      <c r="C14" s="7"/>
      <c r="D14" s="7"/>
      <c r="E14" s="7"/>
      <c r="F14" s="7"/>
      <c r="G14" s="7"/>
      <c r="H14" s="7"/>
      <c r="I14" s="7"/>
      <c r="J14" s="7"/>
      <c r="K14" s="7"/>
      <c r="L14" s="7"/>
      <c r="M14" s="7"/>
      <c r="N14" s="7"/>
      <c r="O14" s="7"/>
      <c r="P14" s="7"/>
      <c r="Q14" s="7"/>
      <c r="R14" s="7"/>
      <c r="S14" s="7"/>
      <c r="T14" s="7"/>
      <c r="U14" s="7"/>
      <c r="V14" s="8"/>
    </row>
    <row r="15" customHeight="1" spans="1:22">
      <c r="A15" s="3" t="s">
        <v>44</v>
      </c>
      <c r="B15" s="9" t="s">
        <v>46</v>
      </c>
      <c r="C15" s="7"/>
      <c r="D15" s="7"/>
      <c r="E15" s="7"/>
      <c r="F15" s="7"/>
      <c r="G15" s="7"/>
      <c r="H15" s="7"/>
      <c r="I15" s="7"/>
      <c r="J15" s="7"/>
      <c r="K15" s="7"/>
      <c r="L15" s="7"/>
      <c r="M15" s="7"/>
      <c r="N15" s="7"/>
      <c r="O15" s="7"/>
      <c r="P15" s="7"/>
      <c r="Q15" s="7"/>
      <c r="R15" s="7"/>
      <c r="S15" s="7"/>
      <c r="T15" s="7"/>
      <c r="U15" s="7"/>
      <c r="V15" s="8"/>
    </row>
    <row r="16" customHeight="1" spans="1:22">
      <c r="A16" s="3"/>
      <c r="B16" s="9" t="s">
        <v>2175</v>
      </c>
      <c r="C16" s="7"/>
      <c r="D16" s="7"/>
      <c r="E16" s="7"/>
      <c r="F16" s="7"/>
      <c r="G16" s="7"/>
      <c r="H16" s="7"/>
      <c r="I16" s="7"/>
      <c r="J16" s="7"/>
      <c r="K16" s="7"/>
      <c r="L16" s="7"/>
      <c r="M16" s="7"/>
      <c r="N16" s="7"/>
      <c r="O16" s="7"/>
      <c r="P16" s="7"/>
      <c r="Q16" s="7"/>
      <c r="R16" s="7"/>
      <c r="S16" s="7"/>
      <c r="T16" s="7"/>
      <c r="U16" s="7"/>
      <c r="V16" s="8"/>
    </row>
    <row r="17" hidden="1" customHeight="1" spans="1:22">
      <c r="A17" s="3"/>
      <c r="B17" s="10" t="s">
        <v>2236</v>
      </c>
      <c r="C17" s="7"/>
      <c r="D17" s="7"/>
      <c r="E17" s="7"/>
      <c r="F17" s="7"/>
      <c r="G17" s="7"/>
      <c r="H17" s="7"/>
      <c r="I17" s="7"/>
      <c r="J17" s="7"/>
      <c r="K17" s="7"/>
      <c r="L17" s="7"/>
      <c r="M17" s="7"/>
      <c r="N17" s="7"/>
      <c r="O17" s="7"/>
      <c r="P17" s="7"/>
      <c r="Q17" s="7"/>
      <c r="R17" s="7"/>
      <c r="S17" s="7"/>
      <c r="T17" s="7"/>
      <c r="U17" s="7"/>
      <c r="V17" s="8"/>
    </row>
    <row r="18" customHeight="1" spans="1:22">
      <c r="A18" s="3"/>
      <c r="B18" s="9" t="s">
        <v>2176</v>
      </c>
      <c r="C18" s="7"/>
      <c r="D18" s="7"/>
      <c r="E18" s="7"/>
      <c r="F18" s="7"/>
      <c r="G18" s="7"/>
      <c r="H18" s="7"/>
      <c r="I18" s="7"/>
      <c r="J18" s="7"/>
      <c r="K18" s="7"/>
      <c r="L18" s="7"/>
      <c r="M18" s="7"/>
      <c r="N18" s="7"/>
      <c r="O18" s="7"/>
      <c r="P18" s="7"/>
      <c r="Q18" s="7"/>
      <c r="R18" s="7"/>
      <c r="S18" s="7"/>
      <c r="T18" s="7"/>
      <c r="U18" s="7"/>
      <c r="V18" s="8"/>
    </row>
    <row r="19" hidden="1" customHeight="1" spans="1:22">
      <c r="A19" s="3"/>
      <c r="B19" s="10" t="s">
        <v>2245</v>
      </c>
      <c r="C19" s="7"/>
      <c r="D19" s="7"/>
      <c r="E19" s="7"/>
      <c r="F19" s="7"/>
      <c r="G19" s="7"/>
      <c r="H19" s="7"/>
      <c r="I19" s="7"/>
      <c r="J19" s="7"/>
      <c r="K19" s="7"/>
      <c r="L19" s="7"/>
      <c r="M19" s="7"/>
      <c r="N19" s="7"/>
      <c r="O19" s="7"/>
      <c r="P19" s="7"/>
      <c r="Q19" s="7"/>
      <c r="R19" s="7"/>
      <c r="S19" s="7"/>
      <c r="T19" s="7"/>
      <c r="U19" s="7"/>
      <c r="V19" s="8"/>
    </row>
    <row r="20" hidden="1" customHeight="1" spans="1:22">
      <c r="A20" s="3" t="s">
        <v>2183</v>
      </c>
      <c r="B20" s="11" t="s">
        <v>2219</v>
      </c>
      <c r="C20" s="7"/>
      <c r="D20" s="7"/>
      <c r="E20" s="7"/>
      <c r="F20" s="7"/>
      <c r="G20" s="7"/>
      <c r="H20" s="7"/>
      <c r="I20" s="7"/>
      <c r="J20" s="7"/>
      <c r="K20" s="7"/>
      <c r="L20" s="7"/>
      <c r="M20" s="7"/>
      <c r="N20" s="7"/>
      <c r="O20" s="7"/>
      <c r="P20" s="7"/>
      <c r="Q20" s="7"/>
      <c r="R20" s="7"/>
      <c r="S20" s="7"/>
      <c r="T20" s="7"/>
      <c r="U20" s="7"/>
      <c r="V20" s="8"/>
    </row>
    <row r="21" hidden="1" customHeight="1" spans="1:22">
      <c r="A21" s="3"/>
      <c r="B21" s="9" t="s">
        <v>2231</v>
      </c>
      <c r="C21" s="7"/>
      <c r="D21" s="7"/>
      <c r="E21" s="7"/>
      <c r="F21" s="7"/>
      <c r="G21" s="7"/>
      <c r="H21" s="7"/>
      <c r="I21" s="7"/>
      <c r="J21" s="7"/>
      <c r="K21" s="7"/>
      <c r="L21" s="7"/>
      <c r="M21" s="7"/>
      <c r="N21" s="7"/>
      <c r="O21" s="7"/>
      <c r="P21" s="7"/>
      <c r="Q21" s="7"/>
      <c r="R21" s="7"/>
      <c r="S21" s="7"/>
      <c r="T21" s="7"/>
      <c r="U21" s="7"/>
      <c r="V21" s="8"/>
    </row>
    <row r="22" hidden="1" customHeight="1" spans="1:22">
      <c r="A22" s="3"/>
      <c r="B22" s="9" t="s">
        <v>2238</v>
      </c>
      <c r="C22" s="7"/>
      <c r="D22" s="7"/>
      <c r="E22" s="7"/>
      <c r="F22" s="7"/>
      <c r="G22" s="7"/>
      <c r="H22" s="7"/>
      <c r="I22" s="7"/>
      <c r="J22" s="7"/>
      <c r="K22" s="7"/>
      <c r="L22" s="7"/>
      <c r="M22" s="7"/>
      <c r="N22" s="7"/>
      <c r="O22" s="7"/>
      <c r="P22" s="7"/>
      <c r="Q22" s="7"/>
      <c r="R22" s="7"/>
      <c r="S22" s="7"/>
      <c r="T22" s="7"/>
      <c r="U22" s="7"/>
      <c r="V22" s="8"/>
    </row>
    <row r="23" customHeight="1" spans="1:22">
      <c r="A23" s="3"/>
      <c r="B23" s="9" t="s">
        <v>2184</v>
      </c>
      <c r="C23" s="7"/>
      <c r="D23" s="7"/>
      <c r="E23" s="7"/>
      <c r="F23" s="7"/>
      <c r="G23" s="7"/>
      <c r="H23" s="7"/>
      <c r="I23" s="7"/>
      <c r="J23" s="7"/>
      <c r="K23" s="7"/>
      <c r="L23" s="7"/>
      <c r="M23" s="7"/>
      <c r="N23" s="7"/>
      <c r="O23" s="7"/>
      <c r="P23" s="7"/>
      <c r="Q23" s="7"/>
      <c r="R23" s="7"/>
      <c r="S23" s="7"/>
      <c r="T23" s="7"/>
      <c r="U23" s="7"/>
      <c r="V23" s="8"/>
    </row>
    <row r="24" customHeight="1" spans="1:22">
      <c r="A24" s="3"/>
      <c r="B24" s="9" t="s">
        <v>2185</v>
      </c>
      <c r="C24" s="7"/>
      <c r="D24" s="7"/>
      <c r="E24" s="7"/>
      <c r="F24" s="7"/>
      <c r="G24" s="7"/>
      <c r="H24" s="7"/>
      <c r="I24" s="7"/>
      <c r="J24" s="7"/>
      <c r="K24" s="7"/>
      <c r="L24" s="7"/>
      <c r="M24" s="7"/>
      <c r="N24" s="7"/>
      <c r="O24" s="7"/>
      <c r="P24" s="7"/>
      <c r="Q24" s="7"/>
      <c r="R24" s="7"/>
      <c r="S24" s="7"/>
      <c r="T24" s="7"/>
      <c r="U24" s="7"/>
      <c r="V24" s="8"/>
    </row>
    <row r="25" customHeight="1" spans="1:22">
      <c r="A25" s="3"/>
      <c r="B25" s="10" t="s">
        <v>2186</v>
      </c>
      <c r="C25" s="7"/>
      <c r="D25" s="7"/>
      <c r="E25" s="7"/>
      <c r="F25" s="7"/>
      <c r="G25" s="7"/>
      <c r="H25" s="7"/>
      <c r="I25" s="7"/>
      <c r="J25" s="7"/>
      <c r="K25" s="7"/>
      <c r="L25" s="7"/>
      <c r="M25" s="7"/>
      <c r="N25" s="7"/>
      <c r="O25" s="7"/>
      <c r="P25" s="7"/>
      <c r="Q25" s="7"/>
      <c r="R25" s="7"/>
      <c r="S25" s="7"/>
      <c r="T25" s="7"/>
      <c r="U25" s="7"/>
      <c r="V25" s="8"/>
    </row>
    <row r="26" hidden="1" customHeight="1" spans="1:22">
      <c r="A26" s="3"/>
      <c r="B26" s="9" t="s">
        <v>2254</v>
      </c>
      <c r="C26" s="7"/>
      <c r="D26" s="7"/>
      <c r="E26" s="7"/>
      <c r="F26" s="7"/>
      <c r="G26" s="7"/>
      <c r="H26" s="7"/>
      <c r="I26" s="7"/>
      <c r="J26" s="7"/>
      <c r="K26" s="7"/>
      <c r="L26" s="7"/>
      <c r="M26" s="7"/>
      <c r="N26" s="7"/>
      <c r="O26" s="7"/>
      <c r="P26" s="7"/>
      <c r="Q26" s="7"/>
      <c r="R26" s="7"/>
      <c r="S26" s="7"/>
      <c r="T26" s="7"/>
      <c r="U26" s="7"/>
      <c r="V26" s="8"/>
    </row>
    <row r="27" hidden="1" customHeight="1" spans="1:22">
      <c r="A27" s="3"/>
      <c r="B27" s="9" t="s">
        <v>2258</v>
      </c>
      <c r="C27" s="7"/>
      <c r="D27" s="7"/>
      <c r="E27" s="7"/>
      <c r="F27" s="7"/>
      <c r="G27" s="7"/>
      <c r="H27" s="7"/>
      <c r="I27" s="7"/>
      <c r="J27" s="7"/>
      <c r="K27" s="7"/>
      <c r="L27" s="7"/>
      <c r="M27" s="7"/>
      <c r="N27" s="7"/>
      <c r="O27" s="7"/>
      <c r="P27" s="7"/>
      <c r="Q27" s="7"/>
      <c r="R27" s="7"/>
      <c r="S27" s="7"/>
      <c r="T27" s="7"/>
      <c r="U27" s="7"/>
      <c r="V27" s="8"/>
    </row>
    <row r="28" hidden="1" customHeight="1" spans="1:22">
      <c r="A28" s="3"/>
      <c r="B28" s="9" t="s">
        <v>2262</v>
      </c>
      <c r="C28" s="7"/>
      <c r="D28" s="7"/>
      <c r="E28" s="7"/>
      <c r="F28" s="7"/>
      <c r="G28" s="7"/>
      <c r="H28" s="7"/>
      <c r="I28" s="7"/>
      <c r="J28" s="7"/>
      <c r="K28" s="7"/>
      <c r="L28" s="7"/>
      <c r="M28" s="7"/>
      <c r="N28" s="7"/>
      <c r="O28" s="7"/>
      <c r="P28" s="7"/>
      <c r="Q28" s="7"/>
      <c r="R28" s="7"/>
      <c r="S28" s="7"/>
      <c r="T28" s="7"/>
      <c r="U28" s="7"/>
      <c r="V28" s="8"/>
    </row>
    <row r="29" customHeight="1" spans="1:22">
      <c r="A29" s="3" t="s">
        <v>2190</v>
      </c>
      <c r="B29" s="10" t="s">
        <v>2191</v>
      </c>
      <c r="C29" s="7"/>
      <c r="D29" s="7"/>
      <c r="E29" s="7"/>
      <c r="F29" s="7"/>
      <c r="G29" s="7"/>
      <c r="H29" s="7"/>
      <c r="I29" s="7"/>
      <c r="J29" s="7"/>
      <c r="K29" s="7"/>
      <c r="L29" s="7"/>
      <c r="M29" s="7"/>
      <c r="N29" s="7"/>
      <c r="O29" s="7"/>
      <c r="P29" s="7"/>
      <c r="Q29" s="7"/>
      <c r="R29" s="7"/>
      <c r="S29" s="7"/>
      <c r="T29" s="7"/>
      <c r="U29" s="7"/>
      <c r="V29" s="8"/>
    </row>
    <row r="30" hidden="1" customHeight="1" spans="1:22">
      <c r="A30" s="3"/>
      <c r="B30" s="9" t="s">
        <v>2233</v>
      </c>
      <c r="C30" s="7"/>
      <c r="D30" s="7"/>
      <c r="E30" s="7"/>
      <c r="F30" s="7"/>
      <c r="G30" s="7"/>
      <c r="H30" s="7"/>
      <c r="I30" s="7"/>
      <c r="J30" s="7"/>
      <c r="K30" s="7"/>
      <c r="L30" s="7"/>
      <c r="M30" s="7"/>
      <c r="N30" s="7"/>
      <c r="O30" s="7"/>
      <c r="P30" s="7"/>
      <c r="Q30" s="7"/>
      <c r="R30" s="7"/>
      <c r="S30" s="7"/>
      <c r="T30" s="7"/>
      <c r="U30" s="7"/>
      <c r="V30" s="8"/>
    </row>
    <row r="31" hidden="1" customHeight="1" spans="1:22">
      <c r="A31" s="3"/>
      <c r="B31" s="9" t="s">
        <v>2240</v>
      </c>
      <c r="C31" s="7"/>
      <c r="D31" s="7"/>
      <c r="E31" s="7"/>
      <c r="F31" s="7"/>
      <c r="G31" s="7"/>
      <c r="H31" s="7"/>
      <c r="I31" s="7"/>
      <c r="J31" s="7"/>
      <c r="K31" s="7"/>
      <c r="L31" s="7"/>
      <c r="M31" s="7"/>
      <c r="N31" s="7"/>
      <c r="O31" s="7"/>
      <c r="P31" s="7"/>
      <c r="Q31" s="7"/>
      <c r="R31" s="7"/>
      <c r="S31" s="7"/>
      <c r="T31" s="7"/>
      <c r="U31" s="7"/>
      <c r="V31" s="8"/>
    </row>
    <row r="32" customHeight="1" spans="1:22">
      <c r="A32" s="3"/>
      <c r="B32" s="9" t="s">
        <v>2192</v>
      </c>
      <c r="C32" s="7"/>
      <c r="D32" s="7"/>
      <c r="E32" s="7"/>
      <c r="F32" s="7"/>
      <c r="G32" s="7"/>
      <c r="H32" s="7"/>
      <c r="I32" s="7"/>
      <c r="J32" s="7"/>
      <c r="K32" s="7"/>
      <c r="L32" s="7"/>
      <c r="M32" s="7"/>
      <c r="N32" s="7"/>
      <c r="O32" s="7"/>
      <c r="P32" s="7"/>
      <c r="Q32" s="7"/>
      <c r="R32" s="7"/>
      <c r="S32" s="7"/>
      <c r="T32" s="7"/>
      <c r="U32" s="7"/>
      <c r="V32" s="8"/>
    </row>
    <row r="33" customHeight="1" spans="1:22">
      <c r="A33" s="3"/>
      <c r="B33" s="9" t="s">
        <v>2193</v>
      </c>
      <c r="C33" s="7"/>
      <c r="D33" s="7"/>
      <c r="E33" s="7"/>
      <c r="F33" s="7"/>
      <c r="G33" s="7"/>
      <c r="H33" s="7"/>
      <c r="I33" s="7"/>
      <c r="J33" s="7"/>
      <c r="K33" s="7"/>
      <c r="L33" s="7"/>
      <c r="M33" s="7"/>
      <c r="N33" s="7"/>
      <c r="O33" s="7"/>
      <c r="P33" s="7"/>
      <c r="Q33" s="7"/>
      <c r="R33" s="7"/>
      <c r="S33" s="7"/>
      <c r="T33" s="7"/>
      <c r="U33" s="7"/>
      <c r="V33" s="8"/>
    </row>
    <row r="34" hidden="1" customHeight="1" spans="1:22">
      <c r="A34" s="3"/>
      <c r="B34" s="9" t="s">
        <v>2251</v>
      </c>
      <c r="C34" s="7"/>
      <c r="D34" s="7"/>
      <c r="E34" s="7"/>
      <c r="F34" s="7"/>
      <c r="G34" s="7"/>
      <c r="H34" s="7"/>
      <c r="I34" s="7"/>
      <c r="J34" s="7"/>
      <c r="K34" s="7"/>
      <c r="L34" s="7"/>
      <c r="M34" s="7"/>
      <c r="N34" s="7"/>
      <c r="O34" s="7"/>
      <c r="P34" s="7"/>
      <c r="Q34" s="7"/>
      <c r="R34" s="7"/>
      <c r="S34" s="7"/>
      <c r="T34" s="7"/>
      <c r="U34" s="7"/>
      <c r="V34" s="8"/>
    </row>
    <row r="35" customHeight="1" spans="1:22">
      <c r="A35" s="3" t="s">
        <v>2194</v>
      </c>
      <c r="B35" s="9" t="s">
        <v>2221</v>
      </c>
      <c r="C35" s="7"/>
      <c r="D35" s="7"/>
      <c r="E35" s="7"/>
      <c r="F35" s="7"/>
      <c r="G35" s="7"/>
      <c r="H35" s="7"/>
      <c r="I35" s="7"/>
      <c r="J35" s="7"/>
      <c r="K35" s="7"/>
      <c r="L35" s="7"/>
      <c r="M35" s="7"/>
      <c r="N35" s="7"/>
      <c r="O35" s="7"/>
      <c r="P35" s="7"/>
      <c r="Q35" s="7"/>
      <c r="R35" s="7"/>
      <c r="S35" s="7"/>
      <c r="T35" s="7"/>
      <c r="U35" s="7"/>
      <c r="V35" s="8"/>
    </row>
    <row r="36" customHeight="1" spans="1:22">
      <c r="A36" s="3"/>
      <c r="B36" s="9" t="s">
        <v>2234</v>
      </c>
      <c r="C36" s="7"/>
      <c r="D36" s="7"/>
      <c r="E36" s="7"/>
      <c r="F36" s="7"/>
      <c r="G36" s="7"/>
      <c r="H36" s="7"/>
      <c r="I36" s="7"/>
      <c r="J36" s="7"/>
      <c r="K36" s="7"/>
      <c r="L36" s="7"/>
      <c r="M36" s="7"/>
      <c r="N36" s="7"/>
      <c r="O36" s="7"/>
      <c r="P36" s="7"/>
      <c r="Q36" s="7"/>
      <c r="R36" s="7"/>
      <c r="S36" s="7"/>
      <c r="T36" s="7"/>
      <c r="U36" s="7"/>
      <c r="V36" s="8"/>
    </row>
    <row r="37" customHeight="1" spans="1:22">
      <c r="A37" s="3"/>
      <c r="B37" s="9" t="s">
        <v>2241</v>
      </c>
      <c r="C37" s="7"/>
      <c r="D37" s="7"/>
      <c r="E37" s="7"/>
      <c r="F37" s="7"/>
      <c r="G37" s="7"/>
      <c r="H37" s="7"/>
      <c r="I37" s="7"/>
      <c r="J37" s="7"/>
      <c r="K37" s="7"/>
      <c r="L37" s="7"/>
      <c r="M37" s="7"/>
      <c r="N37" s="7"/>
      <c r="O37" s="7"/>
      <c r="P37" s="7"/>
      <c r="Q37" s="7"/>
      <c r="R37" s="7"/>
      <c r="S37" s="7"/>
      <c r="T37" s="7"/>
      <c r="U37" s="7"/>
      <c r="V37" s="8"/>
    </row>
    <row r="38" customHeight="1" spans="1:22">
      <c r="A38" s="3"/>
      <c r="B38" s="9" t="s">
        <v>2195</v>
      </c>
      <c r="C38" s="7"/>
      <c r="D38" s="7"/>
      <c r="E38" s="7"/>
      <c r="F38" s="7"/>
      <c r="G38" s="7"/>
      <c r="H38" s="7"/>
      <c r="I38" s="7"/>
      <c r="J38" s="7"/>
      <c r="K38" s="7"/>
      <c r="L38" s="7"/>
      <c r="M38" s="7"/>
      <c r="N38" s="7"/>
      <c r="O38" s="7"/>
      <c r="P38" s="7"/>
      <c r="Q38" s="7"/>
      <c r="R38" s="7"/>
      <c r="S38" s="7"/>
      <c r="T38" s="7"/>
      <c r="U38" s="7"/>
      <c r="V38" s="8"/>
    </row>
    <row r="39" customHeight="1" spans="1:22">
      <c r="A39" s="3"/>
      <c r="B39" s="9" t="s">
        <v>2248</v>
      </c>
      <c r="C39" s="7"/>
      <c r="D39" s="7"/>
      <c r="E39" s="7"/>
      <c r="F39" s="7"/>
      <c r="G39" s="7"/>
      <c r="H39" s="7"/>
      <c r="I39" s="7"/>
      <c r="J39" s="7"/>
      <c r="K39" s="7"/>
      <c r="L39" s="7"/>
      <c r="M39" s="7"/>
      <c r="N39" s="7"/>
      <c r="O39" s="7"/>
      <c r="P39" s="7"/>
      <c r="Q39" s="7"/>
      <c r="R39" s="7"/>
      <c r="S39" s="7"/>
      <c r="T39" s="7"/>
      <c r="U39" s="7"/>
      <c r="V39" s="8"/>
    </row>
    <row r="40" customHeight="1" spans="1:22">
      <c r="A40" s="3"/>
      <c r="B40" s="9" t="s">
        <v>2196</v>
      </c>
      <c r="C40" s="7"/>
      <c r="D40" s="7"/>
      <c r="E40" s="7"/>
      <c r="F40" s="7"/>
      <c r="G40" s="7"/>
      <c r="H40" s="7"/>
      <c r="I40" s="7"/>
      <c r="J40" s="7"/>
      <c r="K40" s="7"/>
      <c r="L40" s="7"/>
      <c r="M40" s="7"/>
      <c r="N40" s="7"/>
      <c r="O40" s="7"/>
      <c r="P40" s="7"/>
      <c r="Q40" s="7"/>
      <c r="R40" s="7"/>
      <c r="S40" s="7"/>
      <c r="T40" s="7"/>
      <c r="U40" s="7"/>
      <c r="V40" s="8"/>
    </row>
    <row r="41" customHeight="1" spans="1:22">
      <c r="A41" s="3"/>
      <c r="B41" s="9" t="s">
        <v>2197</v>
      </c>
      <c r="C41" s="7"/>
      <c r="D41" s="7"/>
      <c r="E41" s="7"/>
      <c r="F41" s="7"/>
      <c r="G41" s="7"/>
      <c r="H41" s="7"/>
      <c r="I41" s="7"/>
      <c r="J41" s="7"/>
      <c r="K41" s="7"/>
      <c r="L41" s="7"/>
      <c r="M41" s="7"/>
      <c r="N41" s="7"/>
      <c r="O41" s="7"/>
      <c r="P41" s="7"/>
      <c r="Q41" s="7"/>
      <c r="R41" s="7"/>
      <c r="S41" s="7"/>
      <c r="T41" s="7"/>
      <c r="U41" s="7"/>
      <c r="V41" s="8"/>
    </row>
    <row r="42" hidden="1" customHeight="1" spans="1:22">
      <c r="A42" s="3" t="s">
        <v>2187</v>
      </c>
      <c r="B42" s="9" t="s">
        <v>2220</v>
      </c>
      <c r="C42" s="7"/>
      <c r="D42" s="7"/>
      <c r="E42" s="7"/>
      <c r="F42" s="7"/>
      <c r="G42" s="7"/>
      <c r="H42" s="7"/>
      <c r="I42" s="7"/>
      <c r="J42" s="7"/>
      <c r="K42" s="7"/>
      <c r="L42" s="7"/>
      <c r="M42" s="7"/>
      <c r="N42" s="7"/>
      <c r="O42" s="7"/>
      <c r="P42" s="7"/>
      <c r="Q42" s="7"/>
      <c r="R42" s="7"/>
      <c r="S42" s="7"/>
      <c r="T42" s="7"/>
      <c r="U42" s="7"/>
      <c r="V42" s="8"/>
    </row>
    <row r="43" hidden="1" customHeight="1" spans="1:22">
      <c r="A43" s="3"/>
      <c r="B43" s="9" t="s">
        <v>2232</v>
      </c>
      <c r="C43" s="7"/>
      <c r="D43" s="7"/>
      <c r="E43" s="7"/>
      <c r="F43" s="7"/>
      <c r="G43" s="7"/>
      <c r="H43" s="7"/>
      <c r="I43" s="7"/>
      <c r="J43" s="7"/>
      <c r="K43" s="7"/>
      <c r="L43" s="7"/>
      <c r="M43" s="7"/>
      <c r="N43" s="7"/>
      <c r="O43" s="7"/>
      <c r="P43" s="7"/>
      <c r="Q43" s="7"/>
      <c r="R43" s="7"/>
      <c r="S43" s="7"/>
      <c r="T43" s="7"/>
      <c r="U43" s="7"/>
      <c r="V43" s="8"/>
    </row>
    <row r="44" hidden="1" customHeight="1" spans="1:22">
      <c r="A44" s="3"/>
      <c r="B44" s="9" t="s">
        <v>2239</v>
      </c>
      <c r="C44" s="7"/>
      <c r="D44" s="7"/>
      <c r="E44" s="7"/>
      <c r="F44" s="7"/>
      <c r="G44" s="7"/>
      <c r="H44" s="7"/>
      <c r="I44" s="7"/>
      <c r="J44" s="7"/>
      <c r="K44" s="7"/>
      <c r="L44" s="7"/>
      <c r="M44" s="7"/>
      <c r="N44" s="7"/>
      <c r="O44" s="7"/>
      <c r="P44" s="7"/>
      <c r="Q44" s="7"/>
      <c r="R44" s="7"/>
      <c r="S44" s="7"/>
      <c r="T44" s="7"/>
      <c r="U44" s="7"/>
      <c r="V44" s="8"/>
    </row>
    <row r="45" hidden="1" customHeight="1" spans="1:22">
      <c r="A45" s="3"/>
      <c r="B45" s="9" t="s">
        <v>2189</v>
      </c>
      <c r="C45" s="7"/>
      <c r="D45" s="7"/>
      <c r="E45" s="7"/>
      <c r="F45" s="7"/>
      <c r="G45" s="7"/>
      <c r="H45" s="7"/>
      <c r="I45" s="7"/>
      <c r="J45" s="7"/>
      <c r="K45" s="7"/>
      <c r="L45" s="7"/>
      <c r="M45" s="7"/>
      <c r="N45" s="7"/>
      <c r="O45" s="7"/>
      <c r="P45" s="7"/>
      <c r="Q45" s="7"/>
      <c r="R45" s="7"/>
      <c r="S45" s="7"/>
      <c r="T45" s="7"/>
      <c r="U45" s="7"/>
      <c r="V45" s="8"/>
    </row>
    <row r="46" hidden="1" customHeight="1" spans="1:22">
      <c r="A46" s="3"/>
      <c r="B46" s="9" t="s">
        <v>2247</v>
      </c>
      <c r="C46" s="7"/>
      <c r="D46" s="7"/>
      <c r="E46" s="7"/>
      <c r="F46" s="7"/>
      <c r="G46" s="7"/>
      <c r="H46" s="7"/>
      <c r="I46" s="7"/>
      <c r="J46" s="7"/>
      <c r="K46" s="7"/>
      <c r="L46" s="7"/>
      <c r="M46" s="7"/>
      <c r="N46" s="7"/>
      <c r="O46" s="7"/>
      <c r="P46" s="7"/>
      <c r="Q46" s="7"/>
      <c r="R46" s="7"/>
      <c r="S46" s="7"/>
      <c r="T46" s="7"/>
      <c r="U46" s="7"/>
      <c r="V46" s="8"/>
    </row>
    <row r="47" customHeight="1" spans="1:22">
      <c r="A47" s="3"/>
      <c r="B47" s="9" t="s">
        <v>2188</v>
      </c>
      <c r="C47" s="7"/>
      <c r="D47" s="7"/>
      <c r="E47" s="7"/>
      <c r="F47" s="7"/>
      <c r="G47" s="7"/>
      <c r="H47" s="7"/>
      <c r="I47" s="7"/>
      <c r="J47" s="7"/>
      <c r="K47" s="7"/>
      <c r="L47" s="7"/>
      <c r="M47" s="7"/>
      <c r="N47" s="7"/>
      <c r="O47" s="7"/>
      <c r="P47" s="7"/>
      <c r="Q47" s="7"/>
      <c r="R47" s="7"/>
      <c r="S47" s="7"/>
      <c r="T47" s="7"/>
      <c r="U47" s="7"/>
      <c r="V47" s="8"/>
    </row>
    <row r="48" customHeight="1" spans="1:22">
      <c r="A48" s="3"/>
      <c r="B48" s="9" t="s">
        <v>2255</v>
      </c>
      <c r="C48" s="7"/>
      <c r="D48" s="7"/>
      <c r="E48" s="7"/>
      <c r="F48" s="7"/>
      <c r="G48" s="7"/>
      <c r="H48" s="7"/>
      <c r="I48" s="7"/>
      <c r="J48" s="7"/>
      <c r="K48" s="7"/>
      <c r="L48" s="7"/>
      <c r="M48" s="7"/>
      <c r="N48" s="7"/>
      <c r="O48" s="7"/>
      <c r="P48" s="7"/>
      <c r="Q48" s="7"/>
      <c r="R48" s="7"/>
      <c r="S48" s="7"/>
      <c r="T48" s="7"/>
      <c r="U48" s="7"/>
      <c r="V48" s="8"/>
    </row>
    <row r="49" hidden="1" customHeight="1" spans="1:22">
      <c r="A49" s="3"/>
      <c r="B49" s="9" t="s">
        <v>2259</v>
      </c>
      <c r="C49" s="7"/>
      <c r="D49" s="7"/>
      <c r="E49" s="7"/>
      <c r="F49" s="7"/>
      <c r="G49" s="7"/>
      <c r="H49" s="7"/>
      <c r="I49" s="7"/>
      <c r="J49" s="7"/>
      <c r="K49" s="7"/>
      <c r="L49" s="7"/>
      <c r="M49" s="7"/>
      <c r="N49" s="7"/>
      <c r="O49" s="7"/>
      <c r="P49" s="7"/>
      <c r="Q49" s="7"/>
      <c r="R49" s="7"/>
      <c r="S49" s="7"/>
      <c r="T49" s="7"/>
      <c r="U49" s="7"/>
      <c r="V49" s="8"/>
    </row>
    <row r="50" customHeight="1" spans="1:22">
      <c r="A50" s="3" t="s">
        <v>2198</v>
      </c>
      <c r="B50" s="9" t="s">
        <v>2199</v>
      </c>
      <c r="C50" s="7"/>
      <c r="D50" s="7"/>
      <c r="E50" s="7"/>
      <c r="F50" s="7"/>
      <c r="G50" s="7"/>
      <c r="H50" s="7"/>
      <c r="I50" s="7"/>
      <c r="J50" s="7"/>
      <c r="K50" s="7"/>
      <c r="L50" s="7"/>
      <c r="M50" s="7"/>
      <c r="N50" s="7"/>
      <c r="O50" s="7"/>
      <c r="P50" s="7"/>
      <c r="Q50" s="7"/>
      <c r="R50" s="7"/>
      <c r="S50" s="7"/>
      <c r="T50" s="7"/>
      <c r="U50" s="7"/>
      <c r="V50" s="8"/>
    </row>
    <row r="51" customHeight="1" spans="1:22">
      <c r="A51" s="3"/>
      <c r="B51" s="9" t="s">
        <v>2200</v>
      </c>
      <c r="C51" s="7"/>
      <c r="D51" s="7"/>
      <c r="E51" s="7"/>
      <c r="F51" s="7"/>
      <c r="G51" s="7"/>
      <c r="H51" s="7"/>
      <c r="I51" s="7"/>
      <c r="J51" s="7"/>
      <c r="K51" s="7"/>
      <c r="L51" s="7"/>
      <c r="M51" s="7"/>
      <c r="N51" s="7"/>
      <c r="O51" s="7"/>
      <c r="P51" s="7"/>
      <c r="Q51" s="7"/>
      <c r="R51" s="7"/>
      <c r="S51" s="7"/>
      <c r="T51" s="7"/>
      <c r="U51" s="7"/>
      <c r="V51" s="8"/>
    </row>
    <row r="52" hidden="1" customHeight="1" spans="1:22">
      <c r="A52" s="3"/>
      <c r="B52" s="9" t="s">
        <v>2242</v>
      </c>
      <c r="C52" s="7"/>
      <c r="D52" s="7"/>
      <c r="E52" s="7"/>
      <c r="F52" s="7"/>
      <c r="G52" s="7"/>
      <c r="H52" s="7"/>
      <c r="I52" s="7"/>
      <c r="J52" s="7"/>
      <c r="K52" s="7"/>
      <c r="L52" s="7"/>
      <c r="M52" s="7"/>
      <c r="N52" s="7"/>
      <c r="O52" s="7"/>
      <c r="P52" s="7"/>
      <c r="Q52" s="7"/>
      <c r="R52" s="7"/>
      <c r="S52" s="7"/>
      <c r="T52" s="7"/>
      <c r="U52" s="7"/>
      <c r="V52" s="8"/>
    </row>
    <row r="53" hidden="1" customHeight="1" spans="1:22">
      <c r="A53" s="3"/>
      <c r="B53" s="9" t="s">
        <v>2244</v>
      </c>
      <c r="C53" s="7"/>
      <c r="D53" s="7"/>
      <c r="E53" s="7"/>
      <c r="F53" s="7"/>
      <c r="G53" s="7"/>
      <c r="H53" s="7"/>
      <c r="I53" s="7"/>
      <c r="J53" s="7"/>
      <c r="K53" s="7"/>
      <c r="L53" s="7"/>
      <c r="M53" s="7"/>
      <c r="N53" s="7"/>
      <c r="O53" s="7"/>
      <c r="P53" s="7"/>
      <c r="Q53" s="7"/>
      <c r="R53" s="7"/>
      <c r="S53" s="7"/>
      <c r="T53" s="7"/>
      <c r="U53" s="7"/>
      <c r="V53" s="8"/>
    </row>
    <row r="54" hidden="1" customHeight="1" spans="1:22">
      <c r="A54" s="3"/>
      <c r="B54" s="9" t="s">
        <v>2249</v>
      </c>
      <c r="C54" s="7"/>
      <c r="D54" s="7"/>
      <c r="E54" s="7"/>
      <c r="F54" s="7"/>
      <c r="G54" s="7"/>
      <c r="H54" s="7"/>
      <c r="I54" s="7"/>
      <c r="J54" s="7"/>
      <c r="K54" s="7"/>
      <c r="L54" s="7"/>
      <c r="M54" s="7"/>
      <c r="N54" s="7"/>
      <c r="O54" s="7"/>
      <c r="P54" s="7"/>
      <c r="Q54" s="7"/>
      <c r="R54" s="7"/>
      <c r="S54" s="7"/>
      <c r="T54" s="7"/>
      <c r="U54" s="7"/>
      <c r="V54" s="8"/>
    </row>
    <row r="55" hidden="1" customHeight="1" spans="1:22">
      <c r="A55" s="3"/>
      <c r="B55" s="9" t="s">
        <v>2252</v>
      </c>
      <c r="C55" s="7"/>
      <c r="D55" s="7"/>
      <c r="E55" s="7"/>
      <c r="F55" s="7"/>
      <c r="G55" s="7"/>
      <c r="H55" s="7"/>
      <c r="I55" s="7"/>
      <c r="J55" s="7"/>
      <c r="K55" s="7"/>
      <c r="L55" s="7"/>
      <c r="M55" s="7"/>
      <c r="N55" s="7"/>
      <c r="O55" s="7"/>
      <c r="P55" s="7"/>
      <c r="Q55" s="7"/>
      <c r="R55" s="7"/>
      <c r="S55" s="7"/>
      <c r="T55" s="7"/>
      <c r="U55" s="7"/>
      <c r="V55" s="8"/>
    </row>
    <row r="56" hidden="1" customHeight="1" spans="1:22">
      <c r="A56" s="3"/>
      <c r="B56" s="9" t="s">
        <v>2256</v>
      </c>
      <c r="C56" s="7"/>
      <c r="D56" s="7"/>
      <c r="E56" s="7"/>
      <c r="F56" s="7"/>
      <c r="G56" s="7"/>
      <c r="H56" s="7"/>
      <c r="I56" s="7"/>
      <c r="J56" s="7"/>
      <c r="K56" s="7"/>
      <c r="L56" s="7"/>
      <c r="M56" s="7"/>
      <c r="N56" s="7"/>
      <c r="O56" s="7"/>
      <c r="P56" s="7"/>
      <c r="Q56" s="7"/>
      <c r="R56" s="7"/>
      <c r="S56" s="7"/>
      <c r="T56" s="7"/>
      <c r="U56" s="7"/>
      <c r="V56" s="8"/>
    </row>
    <row r="57" customHeight="1" spans="1:22">
      <c r="A57" s="3"/>
      <c r="B57" s="9" t="s">
        <v>2201</v>
      </c>
      <c r="C57" s="7"/>
      <c r="D57" s="7"/>
      <c r="E57" s="7"/>
      <c r="F57" s="7"/>
      <c r="G57" s="7"/>
      <c r="H57" s="7"/>
      <c r="I57" s="7"/>
      <c r="J57" s="7"/>
      <c r="K57" s="7"/>
      <c r="L57" s="7"/>
      <c r="M57" s="7"/>
      <c r="N57" s="7"/>
      <c r="O57" s="7"/>
      <c r="P57" s="7"/>
      <c r="Q57" s="7"/>
      <c r="R57" s="7"/>
      <c r="S57" s="7"/>
      <c r="T57" s="7"/>
      <c r="U57" s="7"/>
      <c r="V57" s="8"/>
    </row>
    <row r="58" hidden="1" customHeight="1" spans="1:22">
      <c r="A58" s="3" t="s">
        <v>2202</v>
      </c>
      <c r="B58" s="10" t="s">
        <v>2222</v>
      </c>
      <c r="C58" s="7"/>
      <c r="D58" s="7"/>
      <c r="E58" s="7"/>
      <c r="F58" s="7"/>
      <c r="G58" s="7"/>
      <c r="H58" s="7"/>
      <c r="I58" s="7"/>
      <c r="J58" s="7"/>
      <c r="K58" s="7"/>
      <c r="L58" s="7"/>
      <c r="M58" s="7"/>
      <c r="N58" s="7"/>
      <c r="O58" s="7"/>
      <c r="P58" s="7"/>
      <c r="Q58" s="7"/>
      <c r="R58" s="7"/>
      <c r="S58" s="7"/>
      <c r="T58" s="7"/>
      <c r="U58" s="7"/>
      <c r="V58" s="8"/>
    </row>
    <row r="59" hidden="1" customHeight="1" spans="1:22">
      <c r="A59" s="3"/>
      <c r="B59" s="9" t="s">
        <v>2235</v>
      </c>
      <c r="C59" s="7"/>
      <c r="D59" s="7"/>
      <c r="E59" s="7"/>
      <c r="F59" s="7"/>
      <c r="G59" s="7"/>
      <c r="H59" s="7"/>
      <c r="I59" s="7"/>
      <c r="J59" s="7"/>
      <c r="K59" s="7"/>
      <c r="L59" s="7"/>
      <c r="M59" s="7"/>
      <c r="N59" s="7"/>
      <c r="O59" s="7"/>
      <c r="P59" s="7"/>
      <c r="Q59" s="7"/>
      <c r="R59" s="7"/>
      <c r="S59" s="7"/>
      <c r="T59" s="7"/>
      <c r="U59" s="7"/>
      <c r="V59" s="8"/>
    </row>
    <row r="60" customHeight="1" spans="1:22">
      <c r="A60" s="3"/>
      <c r="B60" s="9" t="s">
        <v>2203</v>
      </c>
      <c r="C60" s="7"/>
      <c r="D60" s="7"/>
      <c r="E60" s="7"/>
      <c r="F60" s="7"/>
      <c r="G60" s="7"/>
      <c r="H60" s="7"/>
      <c r="I60" s="7"/>
      <c r="J60" s="7"/>
      <c r="K60" s="7"/>
      <c r="L60" s="7"/>
      <c r="M60" s="7"/>
      <c r="N60" s="7"/>
      <c r="O60" s="7"/>
      <c r="P60" s="7"/>
      <c r="Q60" s="7"/>
      <c r="R60" s="7"/>
      <c r="S60" s="7"/>
      <c r="T60" s="7"/>
      <c r="U60" s="7"/>
      <c r="V60" s="8"/>
    </row>
    <row r="61" customHeight="1" spans="1:22">
      <c r="A61" s="3"/>
      <c r="B61" s="9" t="s">
        <v>2204</v>
      </c>
      <c r="C61" s="7"/>
      <c r="D61" s="7"/>
      <c r="E61" s="7"/>
      <c r="F61" s="7"/>
      <c r="G61" s="7"/>
      <c r="H61" s="7"/>
      <c r="I61" s="7"/>
      <c r="J61" s="7"/>
      <c r="K61" s="7"/>
      <c r="L61" s="7"/>
      <c r="M61" s="7"/>
      <c r="N61" s="7"/>
      <c r="O61" s="7"/>
      <c r="P61" s="7"/>
      <c r="Q61" s="7"/>
      <c r="R61" s="7"/>
      <c r="S61" s="7"/>
      <c r="T61" s="7"/>
      <c r="U61" s="7"/>
      <c r="V61" s="8"/>
    </row>
    <row r="62" hidden="1" customHeight="1" spans="1:22">
      <c r="A62" s="3"/>
      <c r="B62" s="9" t="s">
        <v>2250</v>
      </c>
      <c r="C62" s="7"/>
      <c r="D62" s="7"/>
      <c r="E62" s="7"/>
      <c r="F62" s="7"/>
      <c r="G62" s="7"/>
      <c r="H62" s="7"/>
      <c r="I62" s="7"/>
      <c r="J62" s="7"/>
      <c r="K62" s="7"/>
      <c r="L62" s="7"/>
      <c r="M62" s="7"/>
      <c r="N62" s="7"/>
      <c r="O62" s="7"/>
      <c r="P62" s="7"/>
      <c r="Q62" s="7"/>
      <c r="R62" s="7"/>
      <c r="S62" s="7"/>
      <c r="T62" s="7"/>
      <c r="U62" s="7"/>
      <c r="V62" s="8"/>
    </row>
    <row r="63" hidden="1" customHeight="1" spans="1:22">
      <c r="A63" s="3"/>
      <c r="B63" s="9" t="s">
        <v>2253</v>
      </c>
      <c r="C63" s="7"/>
      <c r="D63" s="7"/>
      <c r="E63" s="7"/>
      <c r="F63" s="7"/>
      <c r="G63" s="7"/>
      <c r="H63" s="7"/>
      <c r="I63" s="7"/>
      <c r="J63" s="7"/>
      <c r="K63" s="7"/>
      <c r="L63" s="7"/>
      <c r="M63" s="7"/>
      <c r="N63" s="7"/>
      <c r="O63" s="7"/>
      <c r="P63" s="7"/>
      <c r="Q63" s="7"/>
      <c r="R63" s="7"/>
      <c r="S63" s="7"/>
      <c r="T63" s="7"/>
      <c r="U63" s="7"/>
      <c r="V63" s="8"/>
    </row>
    <row r="64" hidden="1" customHeight="1" spans="1:22">
      <c r="A64" s="3"/>
      <c r="B64" s="9" t="s">
        <v>2257</v>
      </c>
      <c r="C64" s="7"/>
      <c r="D64" s="7"/>
      <c r="E64" s="7"/>
      <c r="F64" s="7"/>
      <c r="G64" s="7"/>
      <c r="H64" s="7"/>
      <c r="I64" s="7"/>
      <c r="J64" s="7"/>
      <c r="K64" s="7"/>
      <c r="L64" s="7"/>
      <c r="M64" s="7"/>
      <c r="N64" s="7"/>
      <c r="O64" s="7"/>
      <c r="P64" s="7"/>
      <c r="Q64" s="7"/>
      <c r="R64" s="7"/>
      <c r="S64" s="7"/>
      <c r="T64" s="7"/>
      <c r="U64" s="7"/>
      <c r="V64" s="8"/>
    </row>
    <row r="65" hidden="1" customHeight="1" spans="1:22">
      <c r="A65" s="3"/>
      <c r="B65" s="9" t="s">
        <v>2260</v>
      </c>
      <c r="C65" s="7"/>
      <c r="D65" s="7"/>
      <c r="E65" s="7"/>
      <c r="F65" s="7"/>
      <c r="G65" s="7"/>
      <c r="H65" s="7"/>
      <c r="I65" s="7"/>
      <c r="J65" s="7"/>
      <c r="K65" s="7"/>
      <c r="L65" s="7"/>
      <c r="M65" s="7"/>
      <c r="N65" s="7"/>
      <c r="O65" s="7"/>
      <c r="P65" s="7"/>
      <c r="Q65" s="7"/>
      <c r="R65" s="7"/>
      <c r="S65" s="7"/>
      <c r="T65" s="7"/>
      <c r="U65" s="7"/>
      <c r="V65" s="8"/>
    </row>
    <row r="66" hidden="1" customHeight="1" spans="1:22">
      <c r="A66" s="3"/>
      <c r="B66" s="9" t="s">
        <v>2263</v>
      </c>
      <c r="C66" s="7"/>
      <c r="D66" s="7"/>
      <c r="E66" s="7"/>
      <c r="F66" s="7"/>
      <c r="G66" s="7"/>
      <c r="H66" s="7"/>
      <c r="I66" s="7"/>
      <c r="J66" s="7"/>
      <c r="K66" s="7"/>
      <c r="L66" s="7"/>
      <c r="M66" s="7"/>
      <c r="N66" s="7"/>
      <c r="O66" s="7"/>
      <c r="P66" s="7"/>
      <c r="Q66" s="7"/>
      <c r="R66" s="7"/>
      <c r="S66" s="7"/>
      <c r="T66" s="7"/>
      <c r="U66" s="7"/>
      <c r="V66" s="8"/>
    </row>
    <row r="67" hidden="1" customHeight="1" spans="1:22">
      <c r="A67" s="12"/>
      <c r="B67" s="13" t="s">
        <v>2265</v>
      </c>
      <c r="C67" s="14"/>
      <c r="D67" s="14"/>
      <c r="E67" s="14"/>
      <c r="F67" s="14"/>
      <c r="G67" s="14"/>
      <c r="H67" s="14"/>
      <c r="I67" s="14"/>
      <c r="J67" s="14"/>
      <c r="K67" s="14"/>
      <c r="L67" s="14"/>
      <c r="M67" s="14"/>
      <c r="N67" s="14"/>
      <c r="O67" s="14"/>
      <c r="P67" s="14"/>
      <c r="Q67" s="14"/>
      <c r="R67" s="14"/>
      <c r="S67" s="14"/>
      <c r="T67" s="14"/>
      <c r="U67" s="14"/>
      <c r="V67" s="15"/>
    </row>
    <row r="69" customHeight="1" spans="1:22">
      <c r="A69" s="16" t="s">
        <v>2388</v>
      </c>
      <c r="B69" s="17"/>
      <c r="C69" s="17"/>
      <c r="D69" s="17"/>
      <c r="E69" s="17"/>
      <c r="F69" s="17"/>
      <c r="G69" s="17"/>
      <c r="H69" s="17"/>
      <c r="I69" s="17"/>
      <c r="J69" s="17"/>
      <c r="K69" s="17"/>
      <c r="L69" s="17"/>
      <c r="M69" s="17"/>
      <c r="N69" s="17"/>
      <c r="O69" s="17"/>
      <c r="P69" s="17"/>
      <c r="Q69" s="17"/>
      <c r="R69" s="17"/>
      <c r="S69" s="17"/>
      <c r="T69" s="17"/>
      <c r="U69" s="17"/>
      <c r="V69" s="18"/>
    </row>
    <row r="70" customHeight="1" spans="1:22">
      <c r="A70" s="19"/>
      <c r="B70" s="20"/>
      <c r="C70" s="21" t="s">
        <v>2368</v>
      </c>
      <c r="D70" s="21" t="s">
        <v>2369</v>
      </c>
      <c r="E70" s="21" t="s">
        <v>2370</v>
      </c>
      <c r="F70" s="21" t="s">
        <v>2371</v>
      </c>
      <c r="G70" s="21" t="s">
        <v>2372</v>
      </c>
      <c r="H70" s="21" t="s">
        <v>2373</v>
      </c>
      <c r="I70" s="21" t="s">
        <v>2374</v>
      </c>
      <c r="J70" s="21" t="s">
        <v>2375</v>
      </c>
      <c r="K70" s="21" t="s">
        <v>2376</v>
      </c>
      <c r="L70" s="21" t="s">
        <v>2377</v>
      </c>
      <c r="M70" s="21" t="s">
        <v>2378</v>
      </c>
      <c r="N70" s="21" t="s">
        <v>2379</v>
      </c>
      <c r="O70" s="21" t="s">
        <v>2380</v>
      </c>
      <c r="P70" s="21" t="s">
        <v>2381</v>
      </c>
      <c r="Q70" s="21" t="s">
        <v>2382</v>
      </c>
      <c r="R70" s="21" t="s">
        <v>2383</v>
      </c>
      <c r="S70" s="21" t="s">
        <v>2384</v>
      </c>
      <c r="T70" s="21" t="s">
        <v>2385</v>
      </c>
      <c r="U70" s="21" t="s">
        <v>2386</v>
      </c>
      <c r="V70" s="22" t="s">
        <v>2387</v>
      </c>
    </row>
    <row r="71" customHeight="1" spans="1:22">
      <c r="A71" s="23" t="s">
        <v>2389</v>
      </c>
      <c r="B71" s="24" t="str">
        <f>主卡!H9</f>
        <v>冲锋手</v>
      </c>
      <c r="C71" s="25" t="str">
        <f>IF(VLOOKUP(主卡!$H9,$B$3:$V$67,C$2,0)=0,"",VLOOKUP(主卡!$H9,$B$3:$V$67,C$2,0))</f>
        <v/>
      </c>
      <c r="D71" s="7" t="str">
        <f>IF(VLOOKUP(主卡!$H9,$B$3:$V$67,D$2,0)=0,"",VLOOKUP(主卡!$H9,$B$3:$V$67,D$2,0))</f>
        <v/>
      </c>
      <c r="E71" s="7" t="str">
        <f>IF(VLOOKUP(主卡!$H9,$B$3:$V$67,E$2,0)=0,"",VLOOKUP(主卡!$H9,$B$3:$V$67,E$2,0))</f>
        <v/>
      </c>
      <c r="F71" s="7" t="str">
        <f>IF(VLOOKUP(主卡!$H9,$B$3:$V$67,F$2,0)=0,"",VLOOKUP(主卡!$H9,$B$3:$V$67,F$2,0))</f>
        <v/>
      </c>
      <c r="G71" s="7" t="str">
        <f>IF(VLOOKUP(主卡!$H9,$B$3:$V$67,G$2,0)=0,"",VLOOKUP(主卡!$H9,$B$3:$V$67,G$2,0))</f>
        <v/>
      </c>
      <c r="H71" s="7" t="str">
        <f>IF(VLOOKUP(主卡!$H9,$B$3:$V$67,H$2,0)=0,"",VLOOKUP(主卡!$H9,$B$3:$V$67,H$2,0))</f>
        <v/>
      </c>
      <c r="I71" s="7" t="str">
        <f>IF(VLOOKUP(主卡!$H9,$B$3:$V$67,I$2,0)=0,"",VLOOKUP(主卡!$H9,$B$3:$V$67,I$2,0))</f>
        <v/>
      </c>
      <c r="J71" s="7" t="str">
        <f>IF(VLOOKUP(主卡!$H9,$B$3:$V$67,J$2,0)=0,"",VLOOKUP(主卡!$H9,$B$3:$V$67,J$2,0))</f>
        <v/>
      </c>
      <c r="K71" s="7" t="str">
        <f>IF(VLOOKUP(主卡!$H9,$B$3:$V$67,K$2,0)=0,"",VLOOKUP(主卡!$H9,$B$3:$V$67,K$2,0))</f>
        <v/>
      </c>
      <c r="L71" s="7" t="str">
        <f>IF(VLOOKUP(主卡!$H9,$B$3:$V$67,L$2,0)=0,"",VLOOKUP(主卡!$H9,$B$3:$V$67,L$2,0))</f>
        <v/>
      </c>
      <c r="M71" s="7" t="str">
        <f>IF(VLOOKUP(主卡!$H9,$B$3:$V$67,M$2,0)=0,"",VLOOKUP(主卡!$H9,$B$3:$V$67,M$2,0))</f>
        <v/>
      </c>
      <c r="N71" s="7" t="str">
        <f>IF(VLOOKUP(主卡!$H9,$B$3:$V$67,N$2,0)=0,"",VLOOKUP(主卡!$H9,$B$3:$V$67,N$2,0))</f>
        <v/>
      </c>
      <c r="O71" s="7" t="str">
        <f>IF(VLOOKUP(主卡!$H9,$B$3:$V$67,O$2,0)=0,"",VLOOKUP(主卡!$H9,$B$3:$V$67,O$2,0))</f>
        <v/>
      </c>
      <c r="P71" s="7" t="str">
        <f>IF(VLOOKUP(主卡!$H9,$B$3:$V$67,P$2,0)=0,"",VLOOKUP(主卡!$H9,$B$3:$V$67,P$2,0))</f>
        <v/>
      </c>
      <c r="Q71" s="7" t="str">
        <f>IF(VLOOKUP(主卡!$H9,$B$3:$V$67,Q$2,0)=0,"",VLOOKUP(主卡!$H9,$B$3:$V$67,Q$2,0))</f>
        <v/>
      </c>
      <c r="R71" s="7" t="str">
        <f>IF(VLOOKUP(主卡!$H9,$B$3:$V$67,R$2,0)=0,"",VLOOKUP(主卡!$H9,$B$3:$V$67,R$2,0))</f>
        <v/>
      </c>
      <c r="S71" s="7" t="str">
        <f>IF(VLOOKUP(主卡!$H9,$B$3:$V$67,S$2,0)=0,"",VLOOKUP(主卡!$H9,$B$3:$V$67,S$2,0))</f>
        <v/>
      </c>
      <c r="T71" s="7" t="str">
        <f>IF(VLOOKUP(主卡!$H9,$B$3:$V$67,T$2,0)=0,"",VLOOKUP(主卡!$H9,$B$3:$V$67,T$2,0))</f>
        <v/>
      </c>
      <c r="U71" s="7" t="str">
        <f>IF(VLOOKUP(主卡!$H9,$B$3:$V$67,U$2,0)=0,"",VLOOKUP(主卡!$H9,$B$3:$V$67,U$2,0))</f>
        <v/>
      </c>
      <c r="V71" s="8" t="str">
        <f>IF(VLOOKUP(主卡!$H9,$B$3:$V$67,V$2,0)=0,"",VLOOKUP(主卡!$H9,$B$3:$V$67,V$2,0))</f>
        <v/>
      </c>
    </row>
    <row r="72" customHeight="1" spans="1:22">
      <c r="A72" s="26" t="s">
        <v>2390</v>
      </c>
      <c r="B72" s="27" t="str">
        <f>_xlfn.CONCAT(C71,D71,E71,F71,G71,H71,I71,J71,K71,L71,M71,N71,O71,P71,Q71,R71,S71,T71,U71,V71)</f>
        <v/>
      </c>
      <c r="C72" s="28"/>
      <c r="D72" s="28"/>
      <c r="E72" s="28"/>
      <c r="F72" s="28"/>
      <c r="G72" s="28"/>
      <c r="H72" s="28"/>
      <c r="I72" s="28"/>
      <c r="J72" s="28"/>
      <c r="K72" s="28"/>
      <c r="L72" s="28"/>
      <c r="M72" s="28"/>
      <c r="N72" s="28"/>
      <c r="O72" s="28"/>
      <c r="P72" s="28"/>
      <c r="Q72" s="28"/>
      <c r="R72" s="28"/>
      <c r="S72" s="28"/>
      <c r="T72" s="28"/>
      <c r="U72" s="28"/>
      <c r="V72" s="29"/>
    </row>
    <row r="73" customHeight="1" spans="1:22">
      <c r="A73" s="23" t="s">
        <v>2269</v>
      </c>
      <c r="B73" s="30">
        <f>主卡!$AS4</f>
        <v>1</v>
      </c>
      <c r="C73" s="25" t="str">
        <f>IF(B73&lt;2,"",C71)</f>
        <v/>
      </c>
      <c r="D73" s="7" t="str">
        <f>IF(B73&lt;2,"",D71)</f>
        <v/>
      </c>
      <c r="E73" s="7" t="str">
        <f>IF(B73&lt;3,"",E71)</f>
        <v/>
      </c>
      <c r="F73" s="7" t="str">
        <f>IF(B73&lt;4,"",F71)</f>
        <v/>
      </c>
      <c r="G73" s="7" t="str">
        <f>IF(B73&lt;5,"",G71)</f>
        <v/>
      </c>
      <c r="H73" s="7" t="str">
        <f>IF(B73&lt;6,"",H71)</f>
        <v/>
      </c>
      <c r="I73" s="7" t="str">
        <f>IF(B73&lt;7,"",I71)</f>
        <v/>
      </c>
      <c r="J73" s="7" t="str">
        <f>IF(B73&lt;8,"",J71)</f>
        <v/>
      </c>
      <c r="K73" s="7" t="str">
        <f>IF(B73&lt;9,"",K71)</f>
        <v/>
      </c>
      <c r="L73" s="7" t="str">
        <f>IF(B73&lt;10,"",L71)</f>
        <v/>
      </c>
      <c r="M73" s="7" t="str">
        <f>IF(B73&lt;11,"",M71)</f>
        <v/>
      </c>
      <c r="N73" s="7" t="str">
        <f>IF(B73&lt;12,"",N71)</f>
        <v/>
      </c>
      <c r="O73" s="7" t="str">
        <f>IF(B73&lt;13,"",O71)</f>
        <v/>
      </c>
      <c r="P73" s="7" t="str">
        <f>IF(B73&lt;14,"",P71)</f>
        <v/>
      </c>
      <c r="Q73" s="7" t="str">
        <f>IF(B73&lt;15,"",Q71)</f>
        <v/>
      </c>
      <c r="R73" s="7" t="str">
        <f>IF(B73&lt;16,"",R71)</f>
        <v/>
      </c>
      <c r="S73" s="7" t="str">
        <f>IF(B73&lt;17,"",S71)</f>
        <v/>
      </c>
      <c r="T73" s="7" t="str">
        <f>IF(B73&lt;18,"",T71)</f>
        <v/>
      </c>
      <c r="U73" s="7" t="str">
        <f>IF(B73&lt;19,"",U71)</f>
        <v/>
      </c>
      <c r="V73" s="8" t="str">
        <f>IF(B73&lt;20,"",V71)</f>
        <v/>
      </c>
    </row>
    <row r="74" customHeight="1" spans="1:22">
      <c r="A74" s="31"/>
      <c r="B74" s="32"/>
      <c r="C74" s="33" t="str">
        <f>IF(C73="","","、")</f>
        <v/>
      </c>
      <c r="D74" s="33" t="str">
        <f t="shared" ref="D74:V74" si="0">IF(D73="","","、")</f>
        <v/>
      </c>
      <c r="E74" s="33" t="str">
        <f t="shared" si="0"/>
        <v/>
      </c>
      <c r="F74" s="33" t="str">
        <f t="shared" si="0"/>
        <v/>
      </c>
      <c r="G74" s="33" t="str">
        <f t="shared" si="0"/>
        <v/>
      </c>
      <c r="H74" s="33" t="str">
        <f t="shared" si="0"/>
        <v/>
      </c>
      <c r="I74" s="33" t="str">
        <f t="shared" si="0"/>
        <v/>
      </c>
      <c r="J74" s="33" t="str">
        <f t="shared" si="0"/>
        <v/>
      </c>
      <c r="K74" s="33" t="str">
        <f t="shared" si="0"/>
        <v/>
      </c>
      <c r="L74" s="33" t="str">
        <f t="shared" si="0"/>
        <v/>
      </c>
      <c r="M74" s="33" t="str">
        <f t="shared" si="0"/>
        <v/>
      </c>
      <c r="N74" s="33" t="str">
        <f t="shared" si="0"/>
        <v/>
      </c>
      <c r="O74" s="33" t="str">
        <f t="shared" si="0"/>
        <v/>
      </c>
      <c r="P74" s="33" t="str">
        <f t="shared" si="0"/>
        <v/>
      </c>
      <c r="Q74" s="33" t="str">
        <f t="shared" si="0"/>
        <v/>
      </c>
      <c r="R74" s="33" t="str">
        <f t="shared" si="0"/>
        <v/>
      </c>
      <c r="S74" s="33" t="str">
        <f t="shared" si="0"/>
        <v/>
      </c>
      <c r="T74" s="33" t="str">
        <f t="shared" si="0"/>
        <v/>
      </c>
      <c r="U74" s="33" t="str">
        <f t="shared" si="0"/>
        <v/>
      </c>
      <c r="V74" s="33" t="str">
        <f t="shared" si="0"/>
        <v/>
      </c>
    </row>
    <row r="75" customHeight="1" spans="1:22">
      <c r="A75" s="34" t="s">
        <v>2391</v>
      </c>
      <c r="B75" s="35" t="str">
        <f>_xlfn.CONCAT(C73:C74,D73:D74,E73:E74,E73:F74,G73:G74,H73:H74,I73:I74,J73:J74,K73:K74,L73:L74,M73:M74,N73:N74,O73:O74,P73:P74,Q73:Q74,R73:R74,S73:S74,T73:T74,U73:U74,V73:V74)</f>
        <v/>
      </c>
      <c r="C75" s="36"/>
      <c r="D75" s="36"/>
      <c r="E75" s="36"/>
      <c r="F75" s="36"/>
      <c r="G75" s="36"/>
      <c r="H75" s="36"/>
      <c r="I75" s="36"/>
      <c r="J75" s="36"/>
      <c r="K75" s="36"/>
      <c r="L75" s="36"/>
      <c r="M75" s="36"/>
      <c r="N75" s="36"/>
      <c r="O75" s="36"/>
      <c r="P75" s="36"/>
      <c r="Q75" s="36"/>
      <c r="R75" s="36"/>
      <c r="S75" s="36"/>
      <c r="T75" s="36"/>
      <c r="U75" s="36"/>
      <c r="V75" s="37"/>
    </row>
  </sheetData>
  <sheetProtection formatCells="0" formatColumns="0" formatRows="0" insertRows="0" insertColumns="0" insertHyperlinks="0" deleteColumns="0" deleteRows="0" sort="0" autoFilter="0" pivotTables="0"/>
  <mergeCells count="11">
    <mergeCell ref="A69:V69"/>
    <mergeCell ref="B72:V72"/>
    <mergeCell ref="B75:V75"/>
    <mergeCell ref="A3:A14"/>
    <mergeCell ref="A15:A19"/>
    <mergeCell ref="A20:A28"/>
    <mergeCell ref="A29:A34"/>
    <mergeCell ref="A35:A41"/>
    <mergeCell ref="A42:A49"/>
    <mergeCell ref="A50:A57"/>
    <mergeCell ref="A58:A67"/>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arrUserId title="角色肖像" rangeCreator="" othersAccessPermission="edit"/>
    <arrUserId title="基础档案" rangeCreator="" othersAccessPermission="edit"/>
    <arrUserId title="主要特质" rangeCreator="" othersAccessPermission="edit"/>
    <arrUserId title="临床诊断分析" rangeCreator="" othersAccessPermission="edit"/>
    <arrUserId title="技能表" rangeCreator="" othersAccessPermission="edit"/>
    <arrUserId title="信誉系统" rangeCreator="" othersAccessPermission="edit"/>
    <arrUserId title="档案资料" rangeCreator="" othersAccessPermission="edit"/>
    <arrUserId title="战斗属性" rangeCreator="" othersAccessPermission="edit"/>
    <arrUserId title="武器" rangeCreator="" othersAccessPermission="edit"/>
    <arrUserId title="消耗品 投掷物 召唤物" rangeCreator="" othersAccessPermission="edit"/>
    <arrUserId title="特质查询" rangeCreator="" othersAccessPermission="edit"/>
    <arrUserId title="模组经历表" rangeCreator="" othersAccessPermission="edit"/>
    <arrUserId title="防具" rangeCreator="" othersAccessPermission="edit"/>
    <arrUserId title="成长表" rangeCreator="" othersAccessPermission="edit"/>
    <arrUserId title="综合体检测试" rangeCreator="" othersAccessPermission="edit"/>
  </rangeList>
  <rangeList sheetStid="13" master="" otherUserPermission="visible"/>
  <rangeList sheetStid="20" master="" otherUserPermission="visible"/>
  <rangeList sheetStid="16" master="" otherUserPermission="visible"/>
  <rangeList sheetStid="15" master="" otherUserPermission="visible"/>
  <rangeList sheetStid="22" master="" otherUserPermission="visible"/>
  <rangeList sheetStid="19" master="" otherUserPermission="visible"/>
  <rangeList sheetStid="6" master="" otherUserPermission="visible"/>
  <rangeList sheetStid="12" master="" otherUserPermission="visible"/>
  <rangeList sheetStid="23" master="" otherUserPermission="visible"/>
  <rangeList sheetStid="21" master="" otherUserPermission="visible"/>
  <rangeList sheetStid="18" master="" otherUserPermission="visible"/>
  <rangeList sheetStid="10" master="" otherUserPermission="visible"/>
  <rangeList sheetStid="2" master="" otherUserPermission="visible"/>
  <rangeList sheetStid="14" master="" otherUserPermission="visible"/>
  <rangeList sheetStid="4" master="" otherUserPermission="visible"/>
</allowEditUser>
</file>

<file path=customXml/item2.xml>���v�ckX�Qpenc�USMOOꁨRe�EQ01u�N҉r�aS_�SǏzO(u�N�RWPSh�<h�r	g�v�Qpe��O�Y�VGr>f:y�Qpe	���V�(u7b�S��Om�G��VGr�e�l>f:y�v�`�Q0�Y^g���SgsOO(uSO�����O(uWPSۏL�҉r�aS����0R !k��yr(�h�<h ُND�h�-N	��Syr(���T!k��yr(�sSꁨR>f:y(WdkY0�[�NSNb!j�~�S>e�v N���pyr(� �(Wyr(���9�NhkX�Q0sS�S0�Y�gyr(��iMON����S�N�Ǐ�p�Q�]�OL�R��υ	c��egU\_yr(�Rh�0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17</vt:i4>
      </vt:variant>
    </vt:vector>
  </HeadingPairs>
  <TitlesOfParts>
    <vt:vector size="17" baseType="lpstr">
      <vt:lpstr>主卡</vt:lpstr>
      <vt:lpstr>特质表</vt:lpstr>
      <vt:lpstr>战斗卡</vt:lpstr>
      <vt:lpstr>战斗信息速查表</vt:lpstr>
      <vt:lpstr>主要特质表</vt:lpstr>
      <vt:lpstr>次要特质表</vt:lpstr>
      <vt:lpstr>配件及消耗品</vt:lpstr>
      <vt:lpstr>感染系统</vt:lpstr>
      <vt:lpstr>简化卡</vt:lpstr>
      <vt:lpstr>更新日志</vt:lpstr>
      <vt:lpstr>参数</vt:lpstr>
      <vt:lpstr>天赋.特质.技能数据库</vt:lpstr>
      <vt:lpstr>下拉列表</vt:lpstr>
      <vt:lpstr>职业图标</vt:lpstr>
      <vt:lpstr>职业计算表</vt:lpstr>
      <vt:lpstr>职业天赋表</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Ashiterui</dc:creator>
  <cp:lastModifiedBy>半菇菇</cp:lastModifiedBy>
  <dcterms:created xsi:type="dcterms:W3CDTF">2023-10-19T07:52:00Z</dcterms:created>
  <dcterms:modified xsi:type="dcterms:W3CDTF">2026-01-05T14:04:04Z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56AA71DB11C640F0BA6BE6BD0E1C2575_13</vt:lpwstr>
  </property>
  <property fmtid="{D5CDD505-2E9C-101B-9397-08002B2CF9AE}" pid="4" name="CalculationRule">
    <vt:i4>0</vt:i4>
  </property>
</Properties>
</file>