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kanyildirim/github_transfer_station/Boot_Camp_Assignments/"/>
    </mc:Choice>
  </mc:AlternateContent>
  <xr:revisionPtr revIDLastSave="0" documentId="8_{E387F6E5-1C65-2A47-86CE-DD112EC58F2C}" xr6:coauthVersionLast="36" xr6:coauthVersionMax="36" xr10:uidLastSave="{00000000-0000-0000-0000-000000000000}"/>
  <bookViews>
    <workbookView xWindow="0" yWindow="460" windowWidth="28800" windowHeight="17540" firstSheet="1" activeTab="1" xr2:uid="{00000000-000D-0000-FFFF-FFFF00000000}"/>
  </bookViews>
  <sheets>
    <sheet name="Summary" sheetId="1" r:id="rId1"/>
    <sheet name="Analyzing An Expense Data" sheetId="8" r:id="rId2"/>
  </sheets>
  <definedNames>
    <definedName name="country_data">#REF!</definedName>
  </definedNames>
  <calcPr calcId="181029"/>
  <pivotCaches>
    <pivotCache cacheId="3" r:id="rId3"/>
  </pivotCaches>
</workbook>
</file>

<file path=xl/calcChain.xml><?xml version="1.0" encoding="utf-8"?>
<calcChain xmlns="http://schemas.openxmlformats.org/spreadsheetml/2006/main">
  <c r="Y106" i="8" l="1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90" i="8"/>
  <c r="X90" i="8"/>
  <c r="Y89" i="8"/>
  <c r="X89" i="8"/>
  <c r="Y88" i="8"/>
  <c r="X88" i="8"/>
  <c r="Y87" i="8"/>
  <c r="X87" i="8"/>
  <c r="Y86" i="8"/>
  <c r="X86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Y46" i="8"/>
  <c r="X46" i="8"/>
  <c r="Y45" i="8"/>
  <c r="X45" i="8"/>
  <c r="Y44" i="8"/>
  <c r="X44" i="8"/>
  <c r="Y43" i="8"/>
  <c r="X43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2" i="8"/>
  <c r="X22" i="8"/>
  <c r="K22" i="8"/>
  <c r="J22" i="8"/>
  <c r="Y21" i="8"/>
  <c r="X21" i="8"/>
  <c r="K21" i="8"/>
  <c r="J21" i="8"/>
  <c r="Y20" i="8"/>
  <c r="X20" i="8"/>
  <c r="M20" i="8"/>
  <c r="K20" i="8"/>
  <c r="J20" i="8"/>
  <c r="Y19" i="8"/>
  <c r="X19" i="8"/>
  <c r="M19" i="8"/>
  <c r="K19" i="8"/>
  <c r="J19" i="8"/>
  <c r="H19" i="8"/>
  <c r="G19" i="8"/>
  <c r="F19" i="8"/>
  <c r="E19" i="8"/>
  <c r="D19" i="8"/>
  <c r="C19" i="8"/>
  <c r="B19" i="8"/>
  <c r="Y18" i="8"/>
  <c r="X18" i="8"/>
  <c r="H18" i="8"/>
  <c r="G18" i="8"/>
  <c r="F18" i="8"/>
  <c r="E18" i="8"/>
  <c r="D18" i="8"/>
  <c r="C18" i="8"/>
  <c r="B18" i="8"/>
  <c r="Y17" i="8"/>
  <c r="X17" i="8"/>
  <c r="H17" i="8"/>
  <c r="G17" i="8"/>
  <c r="F17" i="8"/>
  <c r="E17" i="8"/>
  <c r="D17" i="8"/>
  <c r="C17" i="8"/>
  <c r="B17" i="8"/>
  <c r="Y16" i="8"/>
  <c r="X16" i="8"/>
  <c r="H16" i="8"/>
  <c r="G16" i="8"/>
  <c r="F16" i="8"/>
  <c r="E16" i="8"/>
  <c r="D16" i="8"/>
  <c r="C16" i="8"/>
  <c r="B16" i="8"/>
  <c r="Y15" i="8"/>
  <c r="X15" i="8"/>
  <c r="T15" i="8"/>
  <c r="V15" i="8" s="1"/>
  <c r="S15" i="8"/>
  <c r="R15" i="8"/>
  <c r="P15" i="8"/>
  <c r="O15" i="8"/>
  <c r="H15" i="8"/>
  <c r="G15" i="8"/>
  <c r="F15" i="8"/>
  <c r="E15" i="8"/>
  <c r="D15" i="8"/>
  <c r="C15" i="8"/>
  <c r="B15" i="8"/>
  <c r="AA14" i="8"/>
  <c r="Y14" i="8"/>
  <c r="X14" i="8"/>
  <c r="T14" i="8"/>
  <c r="V14" i="8" s="1"/>
  <c r="S14" i="8"/>
  <c r="R14" i="8"/>
  <c r="P14" i="8"/>
  <c r="O14" i="8"/>
  <c r="H14" i="8"/>
  <c r="G14" i="8"/>
  <c r="F14" i="8"/>
  <c r="E14" i="8"/>
  <c r="D14" i="8"/>
  <c r="C14" i="8"/>
  <c r="B14" i="8"/>
  <c r="AB13" i="8"/>
  <c r="AA13" i="8"/>
  <c r="Y13" i="8"/>
  <c r="X13" i="8"/>
  <c r="T13" i="8"/>
  <c r="V13" i="8" s="1"/>
  <c r="S13" i="8"/>
  <c r="R13" i="8"/>
  <c r="P13" i="8"/>
  <c r="O13" i="8"/>
  <c r="H13" i="8"/>
  <c r="G13" i="8"/>
  <c r="F13" i="8"/>
  <c r="E13" i="8"/>
  <c r="D13" i="8"/>
  <c r="C13" i="8"/>
  <c r="B13" i="8"/>
  <c r="AB12" i="8"/>
  <c r="AA12" i="8"/>
  <c r="Y12" i="8"/>
  <c r="X12" i="8"/>
  <c r="T12" i="8"/>
  <c r="S12" i="8"/>
  <c r="R12" i="8"/>
  <c r="P12" i="8"/>
  <c r="O12" i="8"/>
  <c r="H12" i="8"/>
  <c r="G12" i="8"/>
  <c r="F12" i="8"/>
  <c r="E12" i="8"/>
  <c r="D12" i="8"/>
  <c r="C12" i="8"/>
  <c r="B12" i="8"/>
  <c r="Y10" i="8"/>
  <c r="X10" i="8"/>
  <c r="Y9" i="8"/>
  <c r="X9" i="8"/>
  <c r="U13" i="8" l="1"/>
  <c r="U14" i="8"/>
  <c r="M12" i="8"/>
  <c r="U15" i="8"/>
</calcChain>
</file>

<file path=xl/sharedStrings.xml><?xml version="1.0" encoding="utf-8"?>
<sst xmlns="http://schemas.openxmlformats.org/spreadsheetml/2006/main" count="63" uniqueCount="61">
  <si>
    <t>Tab Name</t>
  </si>
  <si>
    <t>Description</t>
  </si>
  <si>
    <t>Function Tracker</t>
  </si>
  <si>
    <t>This is where you can keep track of the functions we are learning as we go along. Feel read the definitions of some of the later functions!</t>
  </si>
  <si>
    <t>Shortcuts</t>
  </si>
  <si>
    <t>This sheet will follow you to all our spreadsheet sections. This is a reference sheet in case you forget some of the many shortcuts that exist in Google sheets!</t>
  </si>
  <si>
    <r>
      <rPr>
        <b/>
        <sz val="10"/>
        <rFont val="Arial"/>
      </rPr>
      <t>Lecture One:</t>
    </r>
    <r>
      <rPr>
        <sz val="10"/>
        <color rgb="FF000000"/>
        <rFont val="Arial"/>
      </rPr>
      <t xml:space="preserve"> IMPORTRANGE</t>
    </r>
  </si>
  <si>
    <t>Learn how to connect your spreadsheets from across the internet!</t>
  </si>
  <si>
    <r>
      <rPr>
        <b/>
        <sz val="10"/>
        <rFont val="Arial"/>
      </rPr>
      <t xml:space="preserve">Lecture Two: </t>
    </r>
    <r>
      <rPr>
        <sz val="10"/>
        <color rgb="FF000000"/>
        <rFont val="Arial"/>
      </rPr>
      <t>QUERY Introduction</t>
    </r>
  </si>
  <si>
    <t>Prepare for a crash course in SQL and QUERY! It's the best kept Google Sheets secret!</t>
  </si>
  <si>
    <r>
      <rPr>
        <b/>
        <sz val="10"/>
        <rFont val="Arial"/>
      </rPr>
      <t>Lecture Three:</t>
    </r>
    <r>
      <rPr>
        <sz val="10"/>
        <color rgb="FF000000"/>
        <rFont val="Arial"/>
      </rPr>
      <t xml:space="preserve"> Query Advanced with IMPORTRANGE</t>
    </r>
  </si>
  <si>
    <t>Hone your skills using the QUERY function. Combine it with IMPORTRANGE for the ultimate data analytics machine!</t>
  </si>
  <si>
    <r>
      <rPr>
        <b/>
        <sz val="10"/>
        <rFont val="Arial"/>
      </rPr>
      <t>Activity:</t>
    </r>
    <r>
      <rPr>
        <sz val="10"/>
        <color rgb="FF000000"/>
        <rFont val="Arial"/>
      </rPr>
      <t xml:space="preserve"> Analyze a Dataset</t>
    </r>
  </si>
  <si>
    <t>The final activity for this section!</t>
  </si>
  <si>
    <t>Query Examples</t>
  </si>
  <si>
    <t>These are in order of how they must be entered in the formula!</t>
  </si>
  <si>
    <t>SELECT</t>
  </si>
  <si>
    <t>SUM/COUNT/MIN/MAX</t>
  </si>
  <si>
    <t>FROM</t>
  </si>
  <si>
    <t>WHERE</t>
  </si>
  <si>
    <t>ORDER BY</t>
  </si>
  <si>
    <t>GROUP BY</t>
  </si>
  <si>
    <t>LIMIT</t>
  </si>
  <si>
    <t>LABEL</t>
  </si>
  <si>
    <t>Copyright Sansone Partners</t>
  </si>
  <si>
    <t>Final Lecture Activity: Let's take it up a notch!</t>
  </si>
  <si>
    <t>Instructions &amp; Questions</t>
  </si>
  <si>
    <t>Information for Exercise</t>
  </si>
  <si>
    <t>1.</t>
  </si>
  <si>
    <t>Pull in the data using the info in columns I &amp; J with IMPORTRANGE &amp; QUERY</t>
  </si>
  <si>
    <t>Link to Dataset</t>
  </si>
  <si>
    <t>https://docs.google.com/spreadsheets/d/14xg1a8bxZHt1l45B9IqqMlNbBrUbm2Y__xgmMWHLvhc/edit#gid=1641919753</t>
  </si>
  <si>
    <t>2.</t>
  </si>
  <si>
    <t>Create a pivot of expenses by year.</t>
  </si>
  <si>
    <t>Tab of Interest</t>
  </si>
  <si>
    <t>Expenses</t>
  </si>
  <si>
    <t>3.</t>
  </si>
  <si>
    <t>Please answer the following questions :)
 a. How many total expenses are there ALL-TIME?
 b. What are the # expense totals by year? Create a chart to display this info.
 c. Which 3 months have the highest expenses? Create a chart to display this info.
 d. Which category was the most expensive? The cheapest?</t>
  </si>
  <si>
    <t>Range of Interest</t>
  </si>
  <si>
    <t>A:F</t>
  </si>
  <si>
    <t>4.</t>
  </si>
  <si>
    <t>Strenghten your formula by including in a dynamic Data Validation to filter based on category (use cell B8)</t>
  </si>
  <si>
    <t>4. &gt;&gt;&gt;</t>
  </si>
  <si>
    <t>Category of Interest</t>
  </si>
  <si>
    <t>Parent Category of Interest</t>
  </si>
  <si>
    <t>3D</t>
  </si>
  <si>
    <t>Most</t>
  </si>
  <si>
    <t>Least</t>
  </si>
  <si>
    <t>2</t>
  </si>
  <si>
    <t>3A</t>
  </si>
  <si>
    <t>3B</t>
  </si>
  <si>
    <t>3C</t>
  </si>
  <si>
    <t>CATEGORY</t>
  </si>
  <si>
    <t>PARENT</t>
  </si>
  <si>
    <t>Year-Month</t>
  </si>
  <si>
    <t>Total Expenses</t>
  </si>
  <si>
    <t>ALTERNATIVE</t>
  </si>
  <si>
    <t>Year</t>
  </si>
  <si>
    <t>(blank)</t>
  </si>
  <si>
    <t>Grand Total</t>
  </si>
  <si>
    <t>Professional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</si>
</sst>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6" formatCode="&quot;$&quot;#,##0.00"/>
  </numFmts>
  <fonts count="13">
    <font>
      <sz val="10"/>
      <color rgb="FF000000"/>
      <name val="Arial"/>
    </font>
    <font>
      <b/>
      <i/>
      <sz val="10"/>
      <name val="Quicksand"/>
    </font>
    <font>
      <sz val="10"/>
      <name val="Quicksand"/>
    </font>
    <font>
      <b/>
      <sz val="10"/>
      <name val="Quicksand"/>
    </font>
    <font>
      <sz val="10"/>
      <name val="Nunito"/>
    </font>
    <font>
      <b/>
      <sz val="8"/>
      <name val="Quicksand"/>
    </font>
    <font>
      <b/>
      <sz val="10"/>
      <name val="Source Sans Pro"/>
    </font>
    <font>
      <sz val="10"/>
      <name val="Source Sans Pro"/>
    </font>
    <font>
      <b/>
      <sz val="10"/>
      <color rgb="FF000000"/>
      <name val="Source Sans Pro"/>
    </font>
    <font>
      <u/>
      <sz val="10"/>
      <color rgb="FF1155CC"/>
      <name val="Source Sans Pro"/>
    </font>
    <font>
      <sz val="11"/>
      <color rgb="FF000000"/>
      <name val="Inconsolata"/>
    </font>
    <font>
      <sz val="10"/>
      <color rgb="FFFFFFFF"/>
      <name val="Source Sans Pro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6" fillId="0" borderId="0" xfId="0" applyFont="1" applyAlignment="1"/>
    <xf numFmtId="0" fontId="7" fillId="0" borderId="3" xfId="0" applyFont="1" applyBorder="1" applyAlignment="1"/>
    <xf numFmtId="0" fontId="7" fillId="0" borderId="3" xfId="0" applyFont="1" applyBorder="1" applyAlignment="1"/>
    <xf numFmtId="0" fontId="6" fillId="0" borderId="4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6" fillId="0" borderId="0" xfId="0" quotePrefix="1" applyFont="1" applyAlignment="1">
      <alignment horizontal="right"/>
    </xf>
    <xf numFmtId="0" fontId="8" fillId="3" borderId="3" xfId="0" applyFont="1" applyFill="1" applyBorder="1" applyAlignment="1"/>
    <xf numFmtId="0" fontId="9" fillId="0" borderId="3" xfId="0" applyFont="1" applyBorder="1" applyAlignment="1"/>
    <xf numFmtId="0" fontId="6" fillId="0" borderId="0" xfId="0" quotePrefix="1" applyFont="1" applyAlignment="1">
      <alignment horizontal="right"/>
    </xf>
    <xf numFmtId="0" fontId="6" fillId="0" borderId="3" xfId="0" applyFont="1" applyBorder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quotePrefix="1" applyFont="1" applyAlignment="1">
      <alignment horizontal="right"/>
    </xf>
    <xf numFmtId="0" fontId="7" fillId="0" borderId="3" xfId="0" applyFont="1" applyBorder="1" applyAlignment="1"/>
    <xf numFmtId="0" fontId="7" fillId="2" borderId="0" xfId="0" applyFont="1" applyFill="1" applyAlignment="1"/>
    <xf numFmtId="0" fontId="10" fillId="0" borderId="0" xfId="0" applyFont="1"/>
    <xf numFmtId="166" fontId="7" fillId="0" borderId="0" xfId="0" applyNumberFormat="1" applyFont="1" applyAlignment="1">
      <alignment horizontal="right"/>
    </xf>
    <xf numFmtId="0" fontId="7" fillId="0" borderId="0" xfId="0" quotePrefix="1" applyFont="1" applyAlignment="1"/>
    <xf numFmtId="0" fontId="6" fillId="2" borderId="2" xfId="0" applyFont="1" applyFill="1" applyBorder="1" applyAlignment="1"/>
    <xf numFmtId="0" fontId="6" fillId="0" borderId="2" xfId="0" applyFont="1" applyBorder="1" applyAlignment="1"/>
    <xf numFmtId="0" fontId="8" fillId="2" borderId="0" xfId="0" applyFont="1" applyFill="1" applyAlignment="1"/>
    <xf numFmtId="0" fontId="8" fillId="2" borderId="0" xfId="0" applyFont="1" applyFill="1" applyAlignment="1"/>
    <xf numFmtId="0" fontId="10" fillId="0" borderId="0" xfId="0" applyFont="1" applyAlignment="1">
      <alignment horizontal="left"/>
    </xf>
    <xf numFmtId="164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/>
    <xf numFmtId="166" fontId="7" fillId="0" borderId="0" xfId="0" applyNumberFormat="1" applyFont="1"/>
    <xf numFmtId="0" fontId="6" fillId="4" borderId="0" xfId="0" applyFont="1" applyFill="1" applyAlignment="1"/>
    <xf numFmtId="0" fontId="6" fillId="4" borderId="5" xfId="0" applyFont="1" applyFill="1" applyBorder="1" applyAlignment="1"/>
    <xf numFmtId="0" fontId="7" fillId="4" borderId="6" xfId="0" applyFont="1" applyFill="1" applyBorder="1"/>
    <xf numFmtId="0" fontId="11" fillId="5" borderId="7" xfId="0" applyFont="1" applyFill="1" applyBorder="1"/>
    <xf numFmtId="0" fontId="10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0" fillId="0" borderId="14" xfId="0" pivotButton="1" applyFont="1" applyBorder="1" applyAlignment="1"/>
    <xf numFmtId="0" fontId="0" fillId="0" borderId="15" xfId="0" applyFont="1" applyBorder="1" applyAlignment="1"/>
    <xf numFmtId="0" fontId="0" fillId="0" borderId="14" xfId="0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7" xfId="0" applyNumberFormat="1" applyFont="1" applyBorder="1" applyAlignment="1"/>
    <xf numFmtId="0" fontId="0" fillId="0" borderId="18" xfId="0" applyFont="1" applyBorder="1" applyAlignment="1"/>
    <xf numFmtId="0" fontId="0" fillId="0" borderId="1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Total Number of Expenses vs Year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'Analyzing An Expense Data'!$P$12</c:f>
              <c:strCache>
                <c:ptCount val="1"/>
                <c:pt idx="0">
                  <c:v>Total Number of Expenses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194-F84C-A3FA-81D5F3B4E7FA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B194-F84C-A3FA-81D5F3B4E7FA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B194-F84C-A3FA-81D5F3B4E7FA}"/>
              </c:ext>
            </c:extLst>
          </c:dPt>
          <c:cat>
            <c:numRef>
              <c:f>'Analyzing An Expense Data'!$O$13:$O$15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'Analyzing An Expense Data'!$P$13:$P$15</c:f>
              <c:numCache>
                <c:formatCode>General</c:formatCode>
                <c:ptCount val="3"/>
                <c:pt idx="0">
                  <c:v>145</c:v>
                </c:pt>
                <c:pt idx="1">
                  <c:v>144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94-F84C-A3FA-81D5F3B4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Top 3 Expenses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'Analyzing An Expense Data'!$V$12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'Analyzing An Expense Data'!$U$13:$U$15</c:f>
              <c:strCache>
                <c:ptCount val="3"/>
                <c:pt idx="0">
                  <c:v>2017-4</c:v>
                </c:pt>
                <c:pt idx="1">
                  <c:v>2017-6</c:v>
                </c:pt>
                <c:pt idx="2">
                  <c:v>2019-7</c:v>
                </c:pt>
              </c:strCache>
            </c:strRef>
          </c:cat>
          <c:val>
            <c:numRef>
              <c:f>'Analyzing An Expense Data'!$V$13:$V$15</c:f>
              <c:numCache>
                <c:formatCode>"$"#,##0.00</c:formatCode>
                <c:ptCount val="3"/>
                <c:pt idx="0">
                  <c:v>13881.1982850201</c:v>
                </c:pt>
                <c:pt idx="1">
                  <c:v>4718.4892288758701</c:v>
                </c:pt>
                <c:pt idx="2">
                  <c:v>4229.5541575511297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200-A84B-BD8B-96A30E2F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207956"/>
        <c:axId val="1251586706"/>
      </c:barChart>
      <c:catAx>
        <c:axId val="194620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Roboto"/>
                  </a:rPr>
                  <a:t>3C/Year-Month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251586706"/>
        <c:crosses val="autoZero"/>
        <c:auto val="1"/>
        <c:lblAlgn val="ctr"/>
        <c:lblOffset val="100"/>
        <c:noMultiLvlLbl val="1"/>
      </c:catAx>
      <c:valAx>
        <c:axId val="1251586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Roboto"/>
                  </a:rPr>
                  <a:t>3C/Total Expenses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946207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15</xdr:row>
      <xdr:rowOff>133350</xdr:rowOff>
    </xdr:from>
    <xdr:ext cx="3181350" cy="1962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438150</xdr:colOff>
      <xdr:row>15</xdr:row>
      <xdr:rowOff>152400</xdr:rowOff>
    </xdr:from>
    <xdr:ext cx="4324350" cy="2447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özkan yıldırım" refreshedDate="44129.115727199074" refreshedVersion="6" recordCount="386" xr:uid="{00000000-000A-0000-FFFF-FFFF00000000}">
  <cacheSource type="worksheet">
    <worksheetSource ref="B12:G398" sheet="Analyzing An Expense Data"/>
  </cacheSource>
  <cacheFields count="6">
    <cacheField name="Date" numFmtId="0">
      <sharedItems containsNonDate="0" containsDate="1" containsString="0" containsBlank="1" minDate="2017-01-08T00:00:00" maxDate="2019-07-12T00:00:00"/>
    </cacheField>
    <cacheField name="Year" numFmtId="0">
      <sharedItems containsString="0" containsBlank="1" containsNumber="1" containsInteger="1" minValue="2017" maxValue="2019" count="4">
        <n v="2017"/>
        <n v="2018"/>
        <n v="2019"/>
        <m/>
      </sharedItems>
    </cacheField>
    <cacheField name="Category" numFmtId="0">
      <sharedItems containsBlank="1"/>
    </cacheField>
    <cacheField name="Parent Category" numFmtId="0">
      <sharedItems containsBlank="1"/>
    </cacheField>
    <cacheField name="Cost" numFmtId="0">
      <sharedItems containsString="0" containsBlank="1" containsNumber="1" minValue="25.933333745612099" maxValue="443.67724065746398"/>
    </cacheField>
    <cacheField name="Transaction ID" numFmtId="0">
      <sharedItems containsString="0" containsBlank="1" containsNumber="1" containsInteger="1" minValue="168176" maxValue="995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">
  <r>
    <d v="2017-01-08T00:00:00"/>
    <x v="0"/>
    <s v="Reimbursed"/>
    <s v="Job expenses"/>
    <n v="443.67724065746398"/>
    <n v="390942"/>
  </r>
  <r>
    <d v="2017-05-16T00:00:00"/>
    <x v="0"/>
    <s v="Reimbursed"/>
    <s v="Job expenses"/>
    <n v="302.00641456393498"/>
    <n v="402501"/>
  </r>
  <r>
    <d v="2017-08-05T00:00:00"/>
    <x v="0"/>
    <s v="Professional dues"/>
    <s v="Job expenses"/>
    <n v="223.0177797257"/>
    <n v="168176"/>
  </r>
  <r>
    <d v="2018-10-14T00:00:00"/>
    <x v="1"/>
    <s v="Reimbursed"/>
    <s v="Job expenses"/>
    <n v="25.933333745612099"/>
    <n v="850188"/>
  </r>
  <r>
    <d v="2019-02-03T00:00:00"/>
    <x v="2"/>
    <s v="Professional dues"/>
    <s v="Job expenses"/>
    <n v="141.312945551582"/>
    <n v="555268"/>
  </r>
  <r>
    <d v="2019-03-09T00:00:00"/>
    <x v="2"/>
    <s v="Professional dues"/>
    <s v="Job expenses"/>
    <n v="232.48972527159799"/>
    <n v="349735"/>
  </r>
  <r>
    <d v="2019-07-11T00:00:00"/>
    <x v="2"/>
    <s v="Reimbursed"/>
    <s v="Job expenses"/>
    <n v="184.87422013102599"/>
    <n v="995702"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  <r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Activity Analyze An Expense Dat" cacheId="3" applyNumberFormats="0" applyBorderFormats="0" applyFontFormats="0" applyPatternFormats="0" applyAlignmentFormats="0" applyWidthHeightFormats="0" dataCaption="" updatedVersion="6" compact="0" compactData="0">
  <location ref="J12:K17" firstHeaderRow="1" firstDataRow="1" firstDataCol="1"/>
  <pivotFields count="6">
    <pivotField name="Date" compact="0" numFmtId="164" outline="0" multipleItemSelectionAllowed="1" showAll="0"/>
    <pivotField name="Year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Category" compact="0" outline="0" multipleItemSelectionAllowed="1" showAll="0"/>
    <pivotField name="Parent Category" compact="0" outline="0" multipleItemSelectionAllowed="1" showAll="0"/>
    <pivotField name="Cost" dataField="1" compact="0" numFmtId="166" outline="0" multipleItemSelectionAllowed="1" showAll="0"/>
    <pivotField name="Transaction ID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Expens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spreadsheets/d/14xg1a8bxZHt1l45B9IqqMlNbBrUbm2Y__xgmMWHLvhc/edit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F6000"/>
    <outlinePr summaryBelow="0" summaryRight="0"/>
  </sheetPr>
  <dimension ref="A1:AA20"/>
  <sheetViews>
    <sheetView workbookViewId="0"/>
  </sheetViews>
  <sheetFormatPr baseColWidth="10" defaultColWidth="14.5" defaultRowHeight="15.75" customHeight="1"/>
  <cols>
    <col min="1" max="1" width="14.5" customWidth="1"/>
    <col min="2" max="2" width="34.1640625" customWidth="1"/>
    <col min="3" max="3" width="54.83203125" customWidth="1"/>
    <col min="5" max="5" width="4.1640625" customWidth="1"/>
    <col min="6" max="6" width="59.1640625" customWidth="1"/>
  </cols>
  <sheetData>
    <row r="1" spans="1:27" ht="15.75" customHeight="1">
      <c r="A1" s="1"/>
      <c r="B1" s="2" t="s">
        <v>0</v>
      </c>
      <c r="C1" s="3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/>
      <c r="B2" s="5" t="s">
        <v>2</v>
      </c>
      <c r="C2" s="6" t="s"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5"/>
      <c r="B3" s="5" t="s">
        <v>4</v>
      </c>
      <c r="C3" s="7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8"/>
      <c r="B4" s="8" t="s">
        <v>6</v>
      </c>
      <c r="C4" s="7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8"/>
      <c r="B5" s="8" t="s">
        <v>8</v>
      </c>
      <c r="C5" s="7" t="s">
        <v>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9"/>
      <c r="B6" s="10" t="s">
        <v>10</v>
      </c>
      <c r="C6" s="7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9"/>
      <c r="B7" s="10" t="s">
        <v>12</v>
      </c>
      <c r="C7" s="7" t="s">
        <v>13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9"/>
      <c r="B9" s="5" t="s">
        <v>14</v>
      </c>
      <c r="C9" s="11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9"/>
      <c r="B10" s="12" t="s">
        <v>16</v>
      </c>
      <c r="C10" s="13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9"/>
      <c r="B11" s="12" t="s">
        <v>17</v>
      </c>
      <c r="C11" s="13">
        <v>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9"/>
      <c r="B12" s="12" t="s">
        <v>18</v>
      </c>
      <c r="C12" s="13">
        <v>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9"/>
      <c r="B13" s="12" t="s">
        <v>19</v>
      </c>
      <c r="C13" s="13">
        <v>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9"/>
      <c r="B14" s="12" t="s">
        <v>20</v>
      </c>
      <c r="C14" s="13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9"/>
      <c r="B15" s="12" t="s">
        <v>21</v>
      </c>
      <c r="C15" s="13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9"/>
      <c r="B16" s="12" t="s">
        <v>22</v>
      </c>
      <c r="C16" s="13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9"/>
      <c r="B17" s="12" t="s">
        <v>23</v>
      </c>
      <c r="C17" s="13">
        <v>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9"/>
      <c r="B18" s="9"/>
      <c r="C18" s="1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9"/>
      <c r="B19" s="9"/>
      <c r="C19" s="1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15" t="s">
        <v>24</v>
      </c>
      <c r="B20" s="9"/>
      <c r="C20" s="1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D9EEB"/>
    <outlinePr summaryBelow="0" summaryRight="0"/>
  </sheetPr>
  <dimension ref="A1:AB1000"/>
  <sheetViews>
    <sheetView tabSelected="1" topLeftCell="S4" workbookViewId="0">
      <selection activeCell="D23" sqref="D23"/>
    </sheetView>
  </sheetViews>
  <sheetFormatPr baseColWidth="10" defaultColWidth="14.5" defaultRowHeight="15.75" customHeight="1"/>
  <cols>
    <col min="1" max="1" width="8.83203125" customWidth="1"/>
    <col min="2" max="6" width="24.5" customWidth="1"/>
    <col min="7" max="7" width="8.5" customWidth="1"/>
    <col min="8" max="8" width="20.83203125" customWidth="1"/>
    <col min="24" max="24" width="27.33203125" customWidth="1"/>
  </cols>
  <sheetData>
    <row r="1" spans="1:28" ht="15.75" customHeight="1">
      <c r="A1" s="22" t="s">
        <v>25</v>
      </c>
      <c r="B1" s="23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5.75" customHeight="1">
      <c r="A2" s="24" t="s">
        <v>26</v>
      </c>
      <c r="B2" s="25"/>
      <c r="C2" s="25"/>
      <c r="D2" s="25"/>
      <c r="E2" s="25"/>
      <c r="F2" s="25"/>
      <c r="G2" s="18"/>
      <c r="H2" s="20"/>
      <c r="I2" s="26" t="s">
        <v>27</v>
      </c>
      <c r="J2" s="25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75" customHeight="1">
      <c r="A3" s="27" t="s">
        <v>28</v>
      </c>
      <c r="B3" s="28" t="s">
        <v>29</v>
      </c>
      <c r="C3" s="23"/>
      <c r="D3" s="18"/>
      <c r="E3" s="18"/>
      <c r="F3" s="18"/>
      <c r="G3" s="18"/>
      <c r="H3" s="20"/>
      <c r="I3" s="20" t="s">
        <v>30</v>
      </c>
      <c r="J3" s="29" t="s">
        <v>31</v>
      </c>
      <c r="K3" s="23"/>
      <c r="L3" s="23"/>
      <c r="M3" s="23"/>
      <c r="N3" s="23"/>
      <c r="O3" s="23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75" customHeight="1">
      <c r="A4" s="27" t="s">
        <v>32</v>
      </c>
      <c r="B4" s="22" t="s">
        <v>33</v>
      </c>
      <c r="C4" s="18"/>
      <c r="D4" s="18"/>
      <c r="E4" s="18"/>
      <c r="F4" s="18"/>
      <c r="G4" s="18"/>
      <c r="H4" s="20"/>
      <c r="I4" s="20" t="s">
        <v>34</v>
      </c>
      <c r="J4" s="18" t="s">
        <v>35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75" customHeight="1">
      <c r="A5" s="30" t="s">
        <v>36</v>
      </c>
      <c r="B5" s="31" t="s">
        <v>37</v>
      </c>
      <c r="C5" s="23"/>
      <c r="D5" s="18"/>
      <c r="E5" s="18"/>
      <c r="F5" s="18"/>
      <c r="G5" s="18"/>
      <c r="H5" s="32"/>
      <c r="I5" s="32" t="s">
        <v>38</v>
      </c>
      <c r="J5" s="33" t="s">
        <v>39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5.75" customHeight="1">
      <c r="A6" s="34" t="s">
        <v>40</v>
      </c>
      <c r="B6" s="35" t="s">
        <v>41</v>
      </c>
      <c r="C6" s="23"/>
      <c r="D6" s="2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5.75" customHeight="1">
      <c r="A7" s="19"/>
      <c r="B7" s="20"/>
      <c r="C7" s="20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5.75" customHeight="1">
      <c r="A8" s="21" t="s">
        <v>42</v>
      </c>
      <c r="B8" s="21" t="s">
        <v>43</v>
      </c>
      <c r="C8" s="21" t="s">
        <v>44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 t="s">
        <v>45</v>
      </c>
      <c r="X8" s="18"/>
      <c r="Y8" s="18"/>
      <c r="Z8" s="18"/>
      <c r="AA8" s="18"/>
      <c r="AB8" s="18"/>
    </row>
    <row r="9" spans="1:28" ht="15.75" customHeight="1">
      <c r="A9" s="18"/>
      <c r="B9" s="36" t="s">
        <v>60</v>
      </c>
      <c r="C9" s="3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21" t="s">
        <v>46</v>
      </c>
      <c r="X9" s="37" t="str">
        <f ca="1">IFERROR(__xludf.DUMMYFUNCTION("INDEX(QUERY(IMPORTRANGE(J3,""Expenses!A:F""),""SELECT Col3, SUM(Col5) WHERE Col3 IS NOT NULL GROUP BY Col3 ORDER BY SUM(Col5) DESC LIMIT 1 LABEL SUM(Col5) 'Total Expenses'"",-1),2)"),"Veterinarian")</f>
        <v>Veterinarian</v>
      </c>
      <c r="Y9" s="38">
        <f ca="1">IFERROR(__xludf.DUMMYFUNCTION("""COMPUTED_VALUE"""),11023.1965685147)</f>
        <v>11023.196568514701</v>
      </c>
      <c r="Z9" s="18"/>
      <c r="AA9" s="18"/>
      <c r="AB9" s="18"/>
    </row>
    <row r="10" spans="1:28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21" t="s">
        <v>47</v>
      </c>
      <c r="X10" s="37" t="str">
        <f ca="1">IFERROR(__xludf.DUMMYFUNCTION("INDEX(QUERY(IMPORTRANGE(J3,""Expenses!A:F""),""SELECT Col3, SUM(Col5) WHERE Col3 IS NOT NULL GROUP BY Col3 ORDER BY SUM(Col5) ASC LIMIT 1 LABEL SUM(Col5) 'Total Expenses'"",-1),2)"),"Wedding / Wedding shower")</f>
        <v>Wedding / Wedding shower</v>
      </c>
      <c r="Y10" s="38">
        <f ca="1">IFERROR(__xludf.DUMMYFUNCTION("""COMPUTED_VALUE"""),64.9556593334149)</f>
        <v>64.9556593334149</v>
      </c>
      <c r="Z10" s="18"/>
      <c r="AA10" s="18"/>
      <c r="AB10" s="18"/>
    </row>
    <row r="11" spans="1:28" ht="15.75" customHeight="1">
      <c r="A11" s="20"/>
      <c r="B11" s="18"/>
      <c r="C11" s="18"/>
      <c r="D11" s="18"/>
      <c r="E11" s="18"/>
      <c r="F11" s="18"/>
      <c r="G11" s="18"/>
      <c r="H11" s="18"/>
      <c r="I11" s="18"/>
      <c r="J11" s="39" t="s">
        <v>48</v>
      </c>
      <c r="K11" s="18"/>
      <c r="L11" s="18"/>
      <c r="M11" s="18" t="s">
        <v>49</v>
      </c>
      <c r="N11" s="18"/>
      <c r="O11" s="18" t="s">
        <v>50</v>
      </c>
      <c r="P11" s="18"/>
      <c r="Q11" s="18"/>
      <c r="R11" s="18" t="s">
        <v>51</v>
      </c>
      <c r="S11" s="18"/>
      <c r="T11" s="18"/>
      <c r="U11" s="18"/>
      <c r="V11" s="18"/>
      <c r="W11" s="18"/>
      <c r="X11" s="18"/>
      <c r="Y11" s="18"/>
      <c r="Z11" s="18"/>
      <c r="AA11" s="21" t="s">
        <v>52</v>
      </c>
      <c r="AB11" s="21" t="s">
        <v>53</v>
      </c>
    </row>
    <row r="12" spans="1:28" ht="15.75" customHeight="1">
      <c r="A12" s="20"/>
      <c r="B12" s="40" t="str">
        <f ca="1">IFERROR(__xludf.DUMMYFUNCTION("IF(AND(B9="""",C9=""""),QUERY(IMPORTRANGE(J3,""Expenses!A:F""), ""SELECT Col1, Col2, Col3, Col4, Col5, Col6, MONTH(Col1)+1 LABEL MONTH(Col1)+1 'Month'""),IF(AND(B9&lt;&gt;"""",C9=""""),QUERY(IMPORTRANGE(J3,""Expenses!A:F""), ""SELECT Col1, Col2, Col3, Col4, Col"&amp;"5, Col6, MONTH(Col1)+1 WHERE Col3 = '""&amp;B9&amp;""' LABEL MONTH(Col1)+1 'Month'""),IF(AND(B9="""",C9&lt;&gt;""""),QUERY(IMPORTRANGE(J3,""Expenses!A:F""), ""SELECT Col1, Col2, Col3, Col4, Col5, Col6, MONTH(Col1)+1 WHERE Col4 = '""&amp;C9&amp;""' LABEL MONTH(Col1)+1 'Month'"""&amp;"))))"),"Date")</f>
        <v>Date</v>
      </c>
      <c r="C12" s="41" t="str">
        <f ca="1">IFERROR(__xludf.DUMMYFUNCTION("""COMPUTED_VALUE"""),"Year")</f>
        <v>Year</v>
      </c>
      <c r="D12" s="41" t="str">
        <f ca="1">IFERROR(__xludf.DUMMYFUNCTION("""COMPUTED_VALUE"""),"Category")</f>
        <v>Category</v>
      </c>
      <c r="E12" s="41" t="str">
        <f ca="1">IFERROR(__xludf.DUMMYFUNCTION("""COMPUTED_VALUE"""),"Parent Category")</f>
        <v>Parent Category</v>
      </c>
      <c r="F12" s="41" t="str">
        <f ca="1">IFERROR(__xludf.DUMMYFUNCTION("""COMPUTED_VALUE"""),"Cost")</f>
        <v>Cost</v>
      </c>
      <c r="G12" s="41" t="str">
        <f ca="1">IFERROR(__xludf.DUMMYFUNCTION("""COMPUTED_VALUE"""),"Transaction ID")</f>
        <v>Transaction ID</v>
      </c>
      <c r="H12" s="41" t="str">
        <f ca="1">IFERROR(__xludf.DUMMYFUNCTION("""COMPUTED_VALUE"""),"Month")</f>
        <v>Month</v>
      </c>
      <c r="I12" s="18"/>
      <c r="J12" s="59" t="s">
        <v>57</v>
      </c>
      <c r="K12" s="60" t="s">
        <v>55</v>
      </c>
      <c r="L12" s="18"/>
      <c r="M12" s="42">
        <f ca="1">COUNT(F12:F398)</f>
        <v>7</v>
      </c>
      <c r="N12" s="18"/>
      <c r="O12" s="42" t="str">
        <f ca="1">IFERROR(__xludf.DUMMYFUNCTION("QUERY(IMPORTRANGE(J3,""Expenses!A:F""),""SELECT Col2, COUNT(Col6) WHERE Col2 IS NOT NULL GROUP BY Col2 ORDER BY Col2 LABEL COUNT(Col6) 'Total Number of Expenses'"",-1)"),"Year")</f>
        <v>Year</v>
      </c>
      <c r="P12" s="42" t="str">
        <f ca="1">IFERROR(__xludf.DUMMYFUNCTION("""COMPUTED_VALUE"""),"Total Number of Expenses")</f>
        <v>Total Number of Expenses</v>
      </c>
      <c r="Q12" s="18"/>
      <c r="R12" s="42" t="str">
        <f ca="1">IFERROR(__xludf.DUMMYFUNCTION("QUERY(IMPORTRANGE(J3,""Expenses!A:F""),""SELECT Col2, MONTH(Col1)+1, SUM(Col5) WHERE Col2 IS NOT NULL GROUP BY Col2,MONTH(Col1)+1 ORDER BY SUM(Col5) DESC LIMIT 3 LABEL MONTH(Col1)+1 'Month',SUM(Col5) 'Total Expenses'"",-1)"),"Year")</f>
        <v>Year</v>
      </c>
      <c r="S12" s="42" t="str">
        <f ca="1">IFERROR(__xludf.DUMMYFUNCTION("""COMPUTED_VALUE"""),"Month")</f>
        <v>Month</v>
      </c>
      <c r="T12" s="42" t="str">
        <f ca="1">IFERROR(__xludf.DUMMYFUNCTION("""COMPUTED_VALUE"""),"Total Expenses")</f>
        <v>Total Expenses</v>
      </c>
      <c r="U12" s="43" t="s">
        <v>54</v>
      </c>
      <c r="V12" s="42" t="s">
        <v>55</v>
      </c>
      <c r="W12" s="18"/>
      <c r="X12" s="44" t="str">
        <f ca="1">IFERROR(__xludf.DUMMYFUNCTION("QUERY(IMPORTRANGE(J3,""Expenses!A:F""),""SELECT Col3, SUM(Col5) WHERE Col3 IS NOT NULL GROUP BY Col3 ORDER BY SUM(Col5) DESC LABEL SUM(Col5) 'Total Expenses'"",-1)"),"Category")</f>
        <v>Category</v>
      </c>
      <c r="Y12" s="18" t="str">
        <f ca="1">IFERROR(__xludf.DUMMYFUNCTION("""COMPUTED_VALUE"""),"Total Expenses")</f>
        <v>Total Expenses</v>
      </c>
      <c r="Z12" s="18"/>
      <c r="AA12" s="18" t="str">
        <f ca="1">IFERROR(__xludf.DUMMYFUNCTION("SORT(UNIQUE($D$13:$D$398))"),"Professional dues")</f>
        <v>Professional dues</v>
      </c>
      <c r="AB12" s="18" t="str">
        <f ca="1">IFERROR(__xludf.DUMMYFUNCTION("SORT(UNIQUE($E$13:$E$398))"),"Job expenses")</f>
        <v>Job expenses</v>
      </c>
    </row>
    <row r="13" spans="1:28" ht="15.75" customHeight="1">
      <c r="A13" s="18"/>
      <c r="B13" s="45">
        <f ca="1">IFERROR(__xludf.DUMMYFUNCTION("""COMPUTED_VALUE"""),42743)</f>
        <v>42743</v>
      </c>
      <c r="C13" s="17">
        <f ca="1">IFERROR(__xludf.DUMMYFUNCTION("""COMPUTED_VALUE"""),2017)</f>
        <v>2017</v>
      </c>
      <c r="D13" s="18" t="str">
        <f ca="1">IFERROR(__xludf.DUMMYFUNCTION("""COMPUTED_VALUE"""),"Reimbursed")</f>
        <v>Reimbursed</v>
      </c>
      <c r="E13" s="18" t="str">
        <f ca="1">IFERROR(__xludf.DUMMYFUNCTION("""COMPUTED_VALUE"""),"Job expenses")</f>
        <v>Job expenses</v>
      </c>
      <c r="F13" s="46">
        <f ca="1">IFERROR(__xludf.DUMMYFUNCTION("""COMPUTED_VALUE"""),443.677240657464)</f>
        <v>443.67724065746398</v>
      </c>
      <c r="G13" s="17">
        <f ca="1">IFERROR(__xludf.DUMMYFUNCTION("""COMPUTED_VALUE"""),390942)</f>
        <v>390942</v>
      </c>
      <c r="H13" s="17">
        <f ca="1">IFERROR(__xludf.DUMMYFUNCTION("""COMPUTED_VALUE"""),1)</f>
        <v>1</v>
      </c>
      <c r="I13" s="18"/>
      <c r="J13" s="61">
        <v>2017</v>
      </c>
      <c r="K13" s="62">
        <v>968.70143494709896</v>
      </c>
      <c r="L13" s="18"/>
      <c r="M13" s="17"/>
      <c r="N13" s="18"/>
      <c r="O13" s="17">
        <f ca="1">IFERROR(__xludf.DUMMYFUNCTION("""COMPUTED_VALUE"""),2017)</f>
        <v>2017</v>
      </c>
      <c r="P13" s="17">
        <f ca="1">IFERROR(__xludf.DUMMYFUNCTION("""COMPUTED_VALUE"""),145)</f>
        <v>145</v>
      </c>
      <c r="Q13" s="18"/>
      <c r="R13" s="17">
        <f ca="1">IFERROR(__xludf.DUMMYFUNCTION("""COMPUTED_VALUE"""),2017)</f>
        <v>2017</v>
      </c>
      <c r="S13" s="17">
        <f ca="1">IFERROR(__xludf.DUMMYFUNCTION("""COMPUTED_VALUE"""),4)</f>
        <v>4</v>
      </c>
      <c r="T13" s="38">
        <f ca="1">IFERROR(__xludf.DUMMYFUNCTION("""COMPUTED_VALUE"""),13881.1982850201)</f>
        <v>13881.1982850201</v>
      </c>
      <c r="U13" s="18" t="str">
        <f t="shared" ref="U13:U15" ca="1" si="0">CONCATENATE($R13,"-",$S13)</f>
        <v>2017-4</v>
      </c>
      <c r="V13" s="38">
        <f t="shared" ref="V13:V15" ca="1" si="1">T13</f>
        <v>13881.1982850201</v>
      </c>
      <c r="W13" s="18"/>
      <c r="X13" s="18" t="str">
        <f ca="1">IFERROR(__xludf.DUMMYFUNCTION("""COMPUTED_VALUE"""),"Veterinarian")</f>
        <v>Veterinarian</v>
      </c>
      <c r="Y13" s="38">
        <f ca="1">IFERROR(__xludf.DUMMYFUNCTION("""COMPUTED_VALUE"""),11023.1965685147)</f>
        <v>11023.196568514701</v>
      </c>
      <c r="Z13" s="18"/>
      <c r="AA13" s="18" t="str">
        <f ca="1">IFERROR(__xludf.DUMMYFUNCTION("""COMPUTED_VALUE"""),"Reimbursed")</f>
        <v>Reimbursed</v>
      </c>
      <c r="AB13" s="18" t="str">
        <f ca="1">IFERROR(__xludf.DUMMYFUNCTION("""COMPUTED_VALUE"""),"")</f>
        <v/>
      </c>
    </row>
    <row r="14" spans="1:28" ht="15.75" customHeight="1">
      <c r="A14" s="16"/>
      <c r="B14" s="47">
        <f ca="1">IFERROR(__xludf.DUMMYFUNCTION("""COMPUTED_VALUE"""),42871)</f>
        <v>42871</v>
      </c>
      <c r="C14" s="16">
        <f ca="1">IFERROR(__xludf.DUMMYFUNCTION("""COMPUTED_VALUE"""),2017)</f>
        <v>2017</v>
      </c>
      <c r="D14" s="16" t="str">
        <f ca="1">IFERROR(__xludf.DUMMYFUNCTION("""COMPUTED_VALUE"""),"Reimbursed")</f>
        <v>Reimbursed</v>
      </c>
      <c r="E14" s="16" t="str">
        <f ca="1">IFERROR(__xludf.DUMMYFUNCTION("""COMPUTED_VALUE"""),"Job expenses")</f>
        <v>Job expenses</v>
      </c>
      <c r="F14" s="48">
        <f ca="1">IFERROR(__xludf.DUMMYFUNCTION("""COMPUTED_VALUE"""),302.006414563935)</f>
        <v>302.00641456393498</v>
      </c>
      <c r="G14" s="16">
        <f ca="1">IFERROR(__xludf.DUMMYFUNCTION("""COMPUTED_VALUE"""),402501)</f>
        <v>402501</v>
      </c>
      <c r="H14" s="16">
        <f ca="1">IFERROR(__xludf.DUMMYFUNCTION("""COMPUTED_VALUE"""),5)</f>
        <v>5</v>
      </c>
      <c r="I14" s="16"/>
      <c r="J14" s="63">
        <v>2018</v>
      </c>
      <c r="K14" s="64">
        <v>25.933333745612099</v>
      </c>
      <c r="L14" s="16"/>
      <c r="M14" s="16"/>
      <c r="N14" s="16"/>
      <c r="O14" s="16">
        <f ca="1">IFERROR(__xludf.DUMMYFUNCTION("""COMPUTED_VALUE"""),2018)</f>
        <v>2018</v>
      </c>
      <c r="P14" s="17">
        <f ca="1">IFERROR(__xludf.DUMMYFUNCTION("""COMPUTED_VALUE"""),144)</f>
        <v>144</v>
      </c>
      <c r="Q14" s="16"/>
      <c r="R14" s="16">
        <f ca="1">IFERROR(__xludf.DUMMYFUNCTION("""COMPUTED_VALUE"""),2017)</f>
        <v>2017</v>
      </c>
      <c r="S14" s="16">
        <f ca="1">IFERROR(__xludf.DUMMYFUNCTION("""COMPUTED_VALUE"""),6)</f>
        <v>6</v>
      </c>
      <c r="T14" s="16">
        <f ca="1">IFERROR(__xludf.DUMMYFUNCTION("""COMPUTED_VALUE"""),4718.48922887587)</f>
        <v>4718.4892288758701</v>
      </c>
      <c r="U14" s="18" t="str">
        <f t="shared" ca="1" si="0"/>
        <v>2017-6</v>
      </c>
      <c r="V14" s="38">
        <f t="shared" ca="1" si="1"/>
        <v>4718.4892288758701</v>
      </c>
      <c r="W14" s="16"/>
      <c r="X14" s="16" t="str">
        <f ca="1">IFERROR(__xludf.DUMMYFUNCTION("""COMPUTED_VALUE"""),"Late fee")</f>
        <v>Late fee</v>
      </c>
      <c r="Y14" s="16">
        <f ca="1">IFERROR(__xludf.DUMMYFUNCTION("""COMPUTED_VALUE"""),3243.46351896696)</f>
        <v>3243.4635189669598</v>
      </c>
      <c r="Z14" s="16"/>
      <c r="AA14" s="16" t="str">
        <f ca="1">IFERROR(__xludf.DUMMYFUNCTION("""COMPUTED_VALUE"""),"")</f>
        <v/>
      </c>
      <c r="AB14" s="16"/>
    </row>
    <row r="15" spans="1:28" ht="15.75" customHeight="1">
      <c r="A15" s="16"/>
      <c r="B15" s="47">
        <f ca="1">IFERROR(__xludf.DUMMYFUNCTION("""COMPUTED_VALUE"""),42952)</f>
        <v>42952</v>
      </c>
      <c r="C15" s="16">
        <f ca="1">IFERROR(__xludf.DUMMYFUNCTION("""COMPUTED_VALUE"""),2017)</f>
        <v>2017</v>
      </c>
      <c r="D15" s="16" t="str">
        <f ca="1">IFERROR(__xludf.DUMMYFUNCTION("""COMPUTED_VALUE"""),"Professional dues")</f>
        <v>Professional dues</v>
      </c>
      <c r="E15" s="16" t="str">
        <f ca="1">IFERROR(__xludf.DUMMYFUNCTION("""COMPUTED_VALUE"""),"Job expenses")</f>
        <v>Job expenses</v>
      </c>
      <c r="F15" s="48">
        <f ca="1">IFERROR(__xludf.DUMMYFUNCTION("""COMPUTED_VALUE"""),223.0177797257)</f>
        <v>223.0177797257</v>
      </c>
      <c r="G15" s="16">
        <f ca="1">IFERROR(__xludf.DUMMYFUNCTION("""COMPUTED_VALUE"""),168176)</f>
        <v>168176</v>
      </c>
      <c r="H15" s="16">
        <f ca="1">IFERROR(__xludf.DUMMYFUNCTION("""COMPUTED_VALUE"""),8)</f>
        <v>8</v>
      </c>
      <c r="I15" s="16"/>
      <c r="J15" s="63">
        <v>2019</v>
      </c>
      <c r="K15" s="64">
        <v>558.67689095420599</v>
      </c>
      <c r="L15" s="16"/>
      <c r="M15" s="16"/>
      <c r="N15" s="16"/>
      <c r="O15" s="16">
        <f ca="1">IFERROR(__xludf.DUMMYFUNCTION("""COMPUTED_VALUE"""),2019)</f>
        <v>2019</v>
      </c>
      <c r="P15" s="17">
        <f ca="1">IFERROR(__xludf.DUMMYFUNCTION("""COMPUTED_VALUE"""),97)</f>
        <v>97</v>
      </c>
      <c r="Q15" s="16"/>
      <c r="R15" s="16">
        <f ca="1">IFERROR(__xludf.DUMMYFUNCTION("""COMPUTED_VALUE"""),2019)</f>
        <v>2019</v>
      </c>
      <c r="S15" s="16">
        <f ca="1">IFERROR(__xludf.DUMMYFUNCTION("""COMPUTED_VALUE"""),7)</f>
        <v>7</v>
      </c>
      <c r="T15" s="16">
        <f ca="1">IFERROR(__xludf.DUMMYFUNCTION("""COMPUTED_VALUE"""),4229.55415755113)</f>
        <v>4229.5541575511297</v>
      </c>
      <c r="U15" s="18" t="str">
        <f t="shared" ca="1" si="0"/>
        <v>2019-7</v>
      </c>
      <c r="V15" s="38">
        <f t="shared" ca="1" si="1"/>
        <v>4229.5541575511297</v>
      </c>
      <c r="W15" s="16"/>
      <c r="X15" s="16" t="str">
        <f ca="1">IFERROR(__xludf.DUMMYFUNCTION("""COMPUTED_VALUE"""),"Maintenance")</f>
        <v>Maintenance</v>
      </c>
      <c r="Y15" s="16">
        <f ca="1">IFERROR(__xludf.DUMMYFUNCTION("""COMPUTED_VALUE"""),2602.60799705431)</f>
        <v>2602.6079970543101</v>
      </c>
      <c r="Z15" s="16"/>
      <c r="AA15" s="16"/>
      <c r="AB15" s="16"/>
    </row>
    <row r="16" spans="1:28" ht="15.75" customHeight="1">
      <c r="A16" s="16"/>
      <c r="B16" s="47">
        <f ca="1">IFERROR(__xludf.DUMMYFUNCTION("""COMPUTED_VALUE"""),43387)</f>
        <v>43387</v>
      </c>
      <c r="C16" s="16">
        <f ca="1">IFERROR(__xludf.DUMMYFUNCTION("""COMPUTED_VALUE"""),2018)</f>
        <v>2018</v>
      </c>
      <c r="D16" s="16" t="str">
        <f ca="1">IFERROR(__xludf.DUMMYFUNCTION("""COMPUTED_VALUE"""),"Reimbursed")</f>
        <v>Reimbursed</v>
      </c>
      <c r="E16" s="16" t="str">
        <f ca="1">IFERROR(__xludf.DUMMYFUNCTION("""COMPUTED_VALUE"""),"Job expenses")</f>
        <v>Job expenses</v>
      </c>
      <c r="F16" s="48">
        <f ca="1">IFERROR(__xludf.DUMMYFUNCTION("""COMPUTED_VALUE"""),25.9333337456121)</f>
        <v>25.933333745612099</v>
      </c>
      <c r="G16" s="16">
        <f ca="1">IFERROR(__xludf.DUMMYFUNCTION("""COMPUTED_VALUE"""),850188)</f>
        <v>850188</v>
      </c>
      <c r="H16" s="16">
        <f ca="1">IFERROR(__xludf.DUMMYFUNCTION("""COMPUTED_VALUE"""),10)</f>
        <v>10</v>
      </c>
      <c r="I16" s="16"/>
      <c r="J16" s="63" t="s">
        <v>58</v>
      </c>
      <c r="K16" s="64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 t="str">
        <f ca="1">IFERROR(__xludf.DUMMYFUNCTION("""COMPUTED_VALUE"""),"Decorating")</f>
        <v>Decorating</v>
      </c>
      <c r="Y16" s="16">
        <f ca="1">IFERROR(__xludf.DUMMYFUNCTION("""COMPUTED_VALUE"""),2173.12931827883)</f>
        <v>2173.1293182788299</v>
      </c>
      <c r="Z16" s="16"/>
      <c r="AA16" s="16"/>
      <c r="AB16" s="16"/>
    </row>
    <row r="17" spans="1:28" ht="15.75" customHeight="1">
      <c r="A17" s="16"/>
      <c r="B17" s="47">
        <f ca="1">IFERROR(__xludf.DUMMYFUNCTION("""COMPUTED_VALUE"""),43499)</f>
        <v>43499</v>
      </c>
      <c r="C17" s="16">
        <f ca="1">IFERROR(__xludf.DUMMYFUNCTION("""COMPUTED_VALUE"""),2019)</f>
        <v>2019</v>
      </c>
      <c r="D17" s="16" t="str">
        <f ca="1">IFERROR(__xludf.DUMMYFUNCTION("""COMPUTED_VALUE"""),"Professional dues")</f>
        <v>Professional dues</v>
      </c>
      <c r="E17" s="16" t="str">
        <f ca="1">IFERROR(__xludf.DUMMYFUNCTION("""COMPUTED_VALUE"""),"Job expenses")</f>
        <v>Job expenses</v>
      </c>
      <c r="F17" s="48">
        <f ca="1">IFERROR(__xludf.DUMMYFUNCTION("""COMPUTED_VALUE"""),141.312945551582)</f>
        <v>141.312945551582</v>
      </c>
      <c r="G17" s="16">
        <f ca="1">IFERROR(__xludf.DUMMYFUNCTION("""COMPUTED_VALUE"""),555268)</f>
        <v>555268</v>
      </c>
      <c r="H17" s="16">
        <f ca="1">IFERROR(__xludf.DUMMYFUNCTION("""COMPUTED_VALUE"""),2)</f>
        <v>2</v>
      </c>
      <c r="I17" s="16"/>
      <c r="J17" s="65" t="s">
        <v>59</v>
      </c>
      <c r="K17" s="66">
        <v>1553.3116596469172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 t="str">
        <f ca="1">IFERROR(__xludf.DUMMYFUNCTION("""COMPUTED_VALUE"""),"Cash advance fee")</f>
        <v>Cash advance fee</v>
      </c>
      <c r="Y17" s="16">
        <f ca="1">IFERROR(__xludf.DUMMYFUNCTION("""COMPUTED_VALUE"""),2094.62050437962)</f>
        <v>2094.6205043796199</v>
      </c>
      <c r="Z17" s="16"/>
      <c r="AA17" s="16"/>
      <c r="AB17" s="16"/>
    </row>
    <row r="18" spans="1:28" ht="15.75" customHeight="1">
      <c r="A18" s="16"/>
      <c r="B18" s="47">
        <f ca="1">IFERROR(__xludf.DUMMYFUNCTION("""COMPUTED_VALUE"""),43533)</f>
        <v>43533</v>
      </c>
      <c r="C18" s="16">
        <f ca="1">IFERROR(__xludf.DUMMYFUNCTION("""COMPUTED_VALUE"""),2019)</f>
        <v>2019</v>
      </c>
      <c r="D18" s="16" t="str">
        <f ca="1">IFERROR(__xludf.DUMMYFUNCTION("""COMPUTED_VALUE"""),"Professional dues")</f>
        <v>Professional dues</v>
      </c>
      <c r="E18" s="16" t="str">
        <f ca="1">IFERROR(__xludf.DUMMYFUNCTION("""COMPUTED_VALUE"""),"Job expenses")</f>
        <v>Job expenses</v>
      </c>
      <c r="F18" s="48">
        <f ca="1">IFERROR(__xludf.DUMMYFUNCTION("""COMPUTED_VALUE"""),232.489725271598)</f>
        <v>232.48972527159799</v>
      </c>
      <c r="G18" s="16">
        <f ca="1">IFERROR(__xludf.DUMMYFUNCTION("""COMPUTED_VALUE"""),349735)</f>
        <v>349735</v>
      </c>
      <c r="H18" s="16">
        <f ca="1">IFERROR(__xludf.DUMMYFUNCTION("""COMPUTED_VALUE"""),3)</f>
        <v>3</v>
      </c>
      <c r="I18" s="16"/>
      <c r="J18" s="49" t="s">
        <v>56</v>
      </c>
      <c r="K18" s="16"/>
      <c r="L18" s="16"/>
      <c r="M18" s="50" t="s">
        <v>56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 t="str">
        <f ca="1">IFERROR(__xludf.DUMMYFUNCTION("""COMPUTED_VALUE"""),"ATM fees")</f>
        <v>ATM fees</v>
      </c>
      <c r="Y18" s="16">
        <f ca="1">IFERROR(__xludf.DUMMYFUNCTION("""COMPUTED_VALUE"""),2027.53526284365)</f>
        <v>2027.5352628436499</v>
      </c>
      <c r="Z18" s="16"/>
      <c r="AA18" s="16"/>
      <c r="AB18" s="16"/>
    </row>
    <row r="19" spans="1:28" ht="15.75" customHeight="1">
      <c r="A19" s="16"/>
      <c r="B19" s="47">
        <f ca="1">IFERROR(__xludf.DUMMYFUNCTION("""COMPUTED_VALUE"""),43657)</f>
        <v>43657</v>
      </c>
      <c r="C19" s="16">
        <f ca="1">IFERROR(__xludf.DUMMYFUNCTION("""COMPUTED_VALUE"""),2019)</f>
        <v>2019</v>
      </c>
      <c r="D19" s="16" t="str">
        <f ca="1">IFERROR(__xludf.DUMMYFUNCTION("""COMPUTED_VALUE"""),"Reimbursed")</f>
        <v>Reimbursed</v>
      </c>
      <c r="E19" s="16" t="str">
        <f ca="1">IFERROR(__xludf.DUMMYFUNCTION("""COMPUTED_VALUE"""),"Job expenses")</f>
        <v>Job expenses</v>
      </c>
      <c r="F19" s="48">
        <f ca="1">IFERROR(__xludf.DUMMYFUNCTION("""COMPUTED_VALUE"""),184.874220131026)</f>
        <v>184.87422013102599</v>
      </c>
      <c r="G19" s="16">
        <f ca="1">IFERROR(__xludf.DUMMYFUNCTION("""COMPUTED_VALUE"""),995702)</f>
        <v>995702</v>
      </c>
      <c r="H19" s="16">
        <f ca="1">IFERROR(__xludf.DUMMYFUNCTION("""COMPUTED_VALUE"""),7)</f>
        <v>7</v>
      </c>
      <c r="I19" s="16"/>
      <c r="J19" s="51" t="str">
        <f ca="1">IFERROR(__xludf.DUMMYFUNCTION("QUERY(IMPORTRANGE(J3,""Expenses!A:F""),""SELECT Col2, SUM(Col5) WHERE Col2 IS NOT NULL GROUP BY Col2 ORDER BY Col2 LABEL SUM(Col5) 'Total Expenses'"",-1)"),"Year")</f>
        <v>Year</v>
      </c>
      <c r="K19" s="52" t="str">
        <f ca="1">IFERROR(__xludf.DUMMYFUNCTION("""COMPUTED_VALUE"""),"Total Expenses")</f>
        <v>Total Expenses</v>
      </c>
      <c r="L19" s="16"/>
      <c r="M19" s="53" t="str">
        <f ca="1">IFERROR(__xludf.DUMMYFUNCTION("QUERY(IMPORTRANGE(J3,""Expenses!A:F""),""SELECT COUNT(Col6) WHERE Col6 IS NOT NULL LABEL COUNT(Col6) 'Count of expenses'"",-1)"),"Count of expenses")</f>
        <v>Count of expenses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 t="str">
        <f ca="1">IFERROR(__xludf.DUMMYFUNCTION("""COMPUTED_VALUE"""),"Coffee house")</f>
        <v>Coffee house</v>
      </c>
      <c r="Y19" s="16">
        <f ca="1">IFERROR(__xludf.DUMMYFUNCTION("""COMPUTED_VALUE"""),1907.54769477509)</f>
        <v>1907.5476947750899</v>
      </c>
      <c r="Z19" s="16"/>
      <c r="AA19" s="16"/>
      <c r="AB19" s="16"/>
    </row>
    <row r="20" spans="1:28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54">
        <f ca="1">IFERROR(__xludf.DUMMYFUNCTION("""COMPUTED_VALUE"""),2017)</f>
        <v>2017</v>
      </c>
      <c r="K20" s="55">
        <f ca="1">IFERROR(__xludf.DUMMYFUNCTION("""COMPUTED_VALUE"""),46466.312071196)</f>
        <v>46466.312071196</v>
      </c>
      <c r="L20" s="16"/>
      <c r="M20" s="56">
        <f ca="1">IFERROR(__xludf.DUMMYFUNCTION("""COMPUTED_VALUE"""),386)</f>
        <v>386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 t="str">
        <f ca="1">IFERROR(__xludf.DUMMYFUNCTION("""COMPUTED_VALUE"""),"Health")</f>
        <v>Health</v>
      </c>
      <c r="Y20" s="16">
        <f ca="1">IFERROR(__xludf.DUMMYFUNCTION("""COMPUTED_VALUE"""),1794.19632497484)</f>
        <v>1794.1963249748401</v>
      </c>
      <c r="Z20" s="16"/>
      <c r="AA20" s="16"/>
      <c r="AB20" s="16"/>
    </row>
    <row r="21" spans="1:28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54">
        <f ca="1">IFERROR(__xludf.DUMMYFUNCTION("""COMPUTED_VALUE"""),2018)</f>
        <v>2018</v>
      </c>
      <c r="K21" s="55">
        <f ca="1">IFERROR(__xludf.DUMMYFUNCTION("""COMPUTED_VALUE"""),33558.3624636405)</f>
        <v>33558.3624636405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 t="str">
        <f ca="1">IFERROR(__xludf.DUMMYFUNCTION("""COMPUTED_VALUE"""),"Internet service")</f>
        <v>Internet service</v>
      </c>
      <c r="Y21" s="16">
        <f ca="1">IFERROR(__xludf.DUMMYFUNCTION("""COMPUTED_VALUE"""),1783.56410643525)</f>
        <v>1783.5641064352501</v>
      </c>
      <c r="Z21" s="16"/>
      <c r="AA21" s="16"/>
      <c r="AB21" s="16"/>
    </row>
    <row r="22" spans="1:28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57">
        <f ca="1">IFERROR(__xludf.DUMMYFUNCTION("""COMPUTED_VALUE"""),2019)</f>
        <v>2019</v>
      </c>
      <c r="K22" s="58">
        <f ca="1">IFERROR(__xludf.DUMMYFUNCTION("""COMPUTED_VALUE"""),24900.0954300587)</f>
        <v>24900.0954300587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 t="str">
        <f ca="1">IFERROR(__xludf.DUMMYFUNCTION("""COMPUTED_VALUE"""),"Life")</f>
        <v>Life</v>
      </c>
      <c r="Y22" s="16">
        <f ca="1">IFERROR(__xludf.DUMMYFUNCTION("""COMPUTED_VALUE"""),1685.79709318773)</f>
        <v>1685.7970931877301</v>
      </c>
      <c r="Z22" s="16"/>
      <c r="AA22" s="16"/>
      <c r="AB22" s="16"/>
    </row>
    <row r="23" spans="1:28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 t="str">
        <f ca="1">IFERROR(__xludf.DUMMYFUNCTION("""COMPUTED_VALUE"""),"Auto loan payment")</f>
        <v>Auto loan payment</v>
      </c>
      <c r="Y23" s="16">
        <f ca="1">IFERROR(__xludf.DUMMYFUNCTION("""COMPUTED_VALUE"""),1664.57918099481)</f>
        <v>1664.57918099481</v>
      </c>
      <c r="Z23" s="16"/>
      <c r="AA23" s="16"/>
      <c r="AB23" s="16"/>
    </row>
    <row r="24" spans="1:28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 t="str">
        <f ca="1">IFERROR(__xludf.DUMMYFUNCTION("""COMPUTED_VALUE"""),"Books")</f>
        <v>Books</v>
      </c>
      <c r="Y24" s="16">
        <f ca="1">IFERROR(__xludf.DUMMYFUNCTION("""COMPUTED_VALUE"""),1583.66643572027)</f>
        <v>1583.6664357202701</v>
      </c>
      <c r="Z24" s="16"/>
      <c r="AA24" s="16"/>
      <c r="AB24" s="16"/>
    </row>
    <row r="25" spans="1:28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 t="str">
        <f ca="1">IFERROR(__xludf.DUMMYFUNCTION("""COMPUTED_VALUE"""),"Supplies")</f>
        <v>Supplies</v>
      </c>
      <c r="Y25" s="16">
        <f ca="1">IFERROR(__xludf.DUMMYFUNCTION("""COMPUTED_VALUE"""),1561.11228875238)</f>
        <v>1561.11228875238</v>
      </c>
      <c r="Z25" s="16"/>
      <c r="AA25" s="16"/>
      <c r="AB25" s="16"/>
    </row>
    <row r="26" spans="1:28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 t="str">
        <f ca="1">IFERROR(__xludf.DUMMYFUNCTION("""COMPUTED_VALUE"""),"Long term care")</f>
        <v>Long term care</v>
      </c>
      <c r="Y26" s="16">
        <f ca="1">IFERROR(__xludf.DUMMYFUNCTION("""COMPUTED_VALUE"""),1528.03693329096)</f>
        <v>1528.03693329096</v>
      </c>
      <c r="Z26" s="16"/>
      <c r="AA26" s="16"/>
      <c r="AB26" s="16"/>
    </row>
    <row r="27" spans="1:28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 t="str">
        <f ca="1">IFERROR(__xludf.DUMMYFUNCTION("""COMPUTED_VALUE"""),"Clothing")</f>
        <v>Clothing</v>
      </c>
      <c r="Y27" s="16">
        <f ca="1">IFERROR(__xludf.DUMMYFUNCTION("""COMPUTED_VALUE"""),1460.81098404097)</f>
        <v>1460.81098404097</v>
      </c>
      <c r="Z27" s="16"/>
      <c r="AA27" s="16"/>
      <c r="AB27" s="16"/>
    </row>
    <row r="28" spans="1: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 t="str">
        <f ca="1">IFERROR(__xludf.DUMMYFUNCTION("""COMPUTED_VALUE"""),"Reserve funds (to set aside for planned expenses)")</f>
        <v>Reserve funds (to set aside for planned expenses)</v>
      </c>
      <c r="Y28" s="16">
        <f ca="1">IFERROR(__xludf.DUMMYFUNCTION("""COMPUTED_VALUE"""),1458.83095844347)</f>
        <v>1458.8309584434701</v>
      </c>
      <c r="Z28" s="16"/>
      <c r="AA28" s="16"/>
      <c r="AB28" s="16"/>
    </row>
    <row r="29" spans="1:28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 t="str">
        <f ca="1">IFERROR(__xludf.DUMMYFUNCTION("""COMPUTED_VALUE"""),"Toys")</f>
        <v>Toys</v>
      </c>
      <c r="Y29" s="16">
        <f ca="1">IFERROR(__xludf.DUMMYFUNCTION("""COMPUTED_VALUE"""),1458.64004371815)</f>
        <v>1458.6400437181501</v>
      </c>
      <c r="Z29" s="16"/>
      <c r="AA29" s="16"/>
      <c r="AB29" s="16"/>
    </row>
    <row r="30" spans="1:28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 t="str">
        <f ca="1">IFERROR(__xludf.DUMMYFUNCTION("""COMPUTED_VALUE"""),"Tuition")</f>
        <v>Tuition</v>
      </c>
      <c r="Y30" s="16">
        <f ca="1">IFERROR(__xludf.DUMMYFUNCTION("""COMPUTED_VALUE"""),1449.44278214173)</f>
        <v>1449.44278214173</v>
      </c>
      <c r="Z30" s="16"/>
      <c r="AA30" s="16"/>
      <c r="AB30" s="16"/>
    </row>
    <row r="31" spans="1:28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 t="str">
        <f ca="1">IFERROR(__xludf.DUMMYFUNCTION("""COMPUTED_VALUE"""),"Over the counter medication")</f>
        <v>Over the counter medication</v>
      </c>
      <c r="Y31" s="16">
        <f ca="1">IFERROR(__xludf.DUMMYFUNCTION("""COMPUTED_VALUE"""),1420.54512396032)</f>
        <v>1420.5451239603201</v>
      </c>
      <c r="Z31" s="16"/>
      <c r="AA31" s="16"/>
      <c r="AB31" s="16"/>
    </row>
    <row r="32" spans="1:28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 t="str">
        <f ca="1">IFERROR(__xludf.DUMMYFUNCTION("""COMPUTED_VALUE"""),"Service fees")</f>
        <v>Service fees</v>
      </c>
      <c r="Y32" s="16">
        <f ca="1">IFERROR(__xludf.DUMMYFUNCTION("""COMPUTED_VALUE"""),1408.31316853063)</f>
        <v>1408.31316853063</v>
      </c>
      <c r="Z32" s="16"/>
      <c r="AA32" s="16"/>
      <c r="AB32" s="16"/>
    </row>
    <row r="33" spans="1:28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 t="str">
        <f ca="1">IFERROR(__xludf.DUMMYFUNCTION("""COMPUTED_VALUE"""),"Homeowner’s association dues")</f>
        <v>Homeowner’s association dues</v>
      </c>
      <c r="Y33" s="16">
        <f ca="1">IFERROR(__xludf.DUMMYFUNCTION("""COMPUTED_VALUE"""),1402.42633634525)</f>
        <v>1402.4263363452501</v>
      </c>
      <c r="Z33" s="16"/>
      <c r="AA33" s="16"/>
      <c r="AB33" s="16"/>
    </row>
    <row r="34" spans="1:28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 t="str">
        <f ca="1">IFERROR(__xludf.DUMMYFUNCTION("""COMPUTED_VALUE"""),"Baby shower")</f>
        <v>Baby shower</v>
      </c>
      <c r="Y34" s="16">
        <f ca="1">IFERROR(__xludf.DUMMYFUNCTION("""COMPUTED_VALUE"""),1398.32817916257)</f>
        <v>1398.32817916257</v>
      </c>
      <c r="Z34" s="16"/>
      <c r="AA34" s="16"/>
      <c r="AB34" s="16"/>
    </row>
    <row r="35" spans="1:28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 t="str">
        <f ca="1">IFERROR(__xludf.DUMMYFUNCTION("""COMPUTED_VALUE"""),"Rent / Mortgage payment")</f>
        <v>Rent / Mortgage payment</v>
      </c>
      <c r="Y35" s="16">
        <f ca="1">IFERROR(__xludf.DUMMYFUNCTION("""COMPUTED_VALUE"""),1383.07191291302)</f>
        <v>1383.07191291302</v>
      </c>
      <c r="Z35" s="16"/>
      <c r="AA35" s="16"/>
      <c r="AB35" s="16"/>
    </row>
    <row r="36" spans="1:28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 t="str">
        <f ca="1">IFERROR(__xludf.DUMMYFUNCTION("""COMPUTED_VALUE"""),"Moving")</f>
        <v>Moving</v>
      </c>
      <c r="Y36" s="16">
        <f ca="1">IFERROR(__xludf.DUMMYFUNCTION("""COMPUTED_VALUE"""),1355.88403262866)</f>
        <v>1355.88403262866</v>
      </c>
      <c r="Z36" s="16"/>
      <c r="AA36" s="16"/>
      <c r="AB36" s="16"/>
    </row>
    <row r="37" spans="1:28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 t="str">
        <f ca="1">IFERROR(__xludf.DUMMYFUNCTION("""COMPUTED_VALUE"""),"Home improvement")</f>
        <v>Home improvement</v>
      </c>
      <c r="Y37" s="16">
        <f ca="1">IFERROR(__xludf.DUMMYFUNCTION("""COMPUTED_VALUE"""),1338.05194124929)</f>
        <v>1338.0519412492899</v>
      </c>
      <c r="Z37" s="16"/>
      <c r="AA37" s="16"/>
      <c r="AB37" s="16"/>
    </row>
    <row r="38" spans="1:2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 t="str">
        <f ca="1">IFERROR(__xludf.DUMMYFUNCTION("""COMPUTED_VALUE"""),"Federal")</f>
        <v>Federal</v>
      </c>
      <c r="Y38" s="16">
        <f ca="1">IFERROR(__xludf.DUMMYFUNCTION("""COMPUTED_VALUE"""),1266.73402251655)</f>
        <v>1266.7340225165501</v>
      </c>
      <c r="Z38" s="16"/>
      <c r="AA38" s="16"/>
      <c r="AB38" s="16"/>
    </row>
    <row r="39" spans="1:28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 t="str">
        <f ca="1">IFERROR(__xludf.DUMMYFUNCTION("""COMPUTED_VALUE"""),"Day trips")</f>
        <v>Day trips</v>
      </c>
      <c r="Y39" s="16">
        <f ca="1">IFERROR(__xludf.DUMMYFUNCTION("""COMPUTED_VALUE"""),1208.05077501519)</f>
        <v>1208.0507750151901</v>
      </c>
      <c r="Z39" s="16"/>
      <c r="AA39" s="16"/>
      <c r="AB39" s="16"/>
    </row>
    <row r="40" spans="1:28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 t="str">
        <f ca="1">IFERROR(__xludf.DUMMYFUNCTION("""COMPUTED_VALUE"""),"Food")</f>
        <v>Food</v>
      </c>
      <c r="Y40" s="16">
        <f ca="1">IFERROR(__xludf.DUMMYFUNCTION("""COMPUTED_VALUE"""),1197.26226676997)</f>
        <v>1197.26226676997</v>
      </c>
      <c r="Z40" s="16"/>
      <c r="AA40" s="16"/>
      <c r="AB40" s="16"/>
    </row>
    <row r="41" spans="1:28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 t="str">
        <f ca="1">IFERROR(__xludf.DUMMYFUNCTION("""COMPUTED_VALUE"""),"School supplies")</f>
        <v>School supplies</v>
      </c>
      <c r="Y41" s="16">
        <f ca="1">IFERROR(__xludf.DUMMYFUNCTION("""COMPUTED_VALUE"""),1189.19178909847)</f>
        <v>1189.1917890984701</v>
      </c>
      <c r="Z41" s="16"/>
      <c r="AA41" s="16"/>
      <c r="AB41" s="16"/>
    </row>
    <row r="42" spans="1:28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 t="str">
        <f ca="1">IFERROR(__xludf.DUMMYFUNCTION("""COMPUTED_VALUE"""),"Savings")</f>
        <v>Savings</v>
      </c>
      <c r="Y42" s="16">
        <f ca="1">IFERROR(__xludf.DUMMYFUNCTION("""COMPUTED_VALUE"""),1183.43005669256)</f>
        <v>1183.4300566925599</v>
      </c>
      <c r="Z42" s="16"/>
      <c r="AA42" s="16"/>
      <c r="AB42" s="16"/>
    </row>
    <row r="43" spans="1:28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 t="str">
        <f ca="1">IFERROR(__xludf.DUMMYFUNCTION("""COMPUTED_VALUE"""),"Lodging")</f>
        <v>Lodging</v>
      </c>
      <c r="Y43" s="16">
        <f ca="1">IFERROR(__xludf.DUMMYFUNCTION("""COMPUTED_VALUE"""),1180.81632838411)</f>
        <v>1180.81632838411</v>
      </c>
      <c r="Z43" s="16"/>
      <c r="AA43" s="16"/>
      <c r="AB43" s="16"/>
    </row>
    <row r="44" spans="1:28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 t="str">
        <f ca="1">IFERROR(__xludf.DUMMYFUNCTION("""COMPUTED_VALUE"""),"Babysitting")</f>
        <v>Babysitting</v>
      </c>
      <c r="Y44" s="16">
        <f ca="1">IFERROR(__xludf.DUMMYFUNCTION("""COMPUTED_VALUE"""),1154.19175472966)</f>
        <v>1154.19175472966</v>
      </c>
      <c r="Z44" s="16"/>
      <c r="AA44" s="16"/>
      <c r="AB44" s="16"/>
    </row>
    <row r="45" spans="1:28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 t="str">
        <f ca="1">IFERROR(__xludf.DUMMYFUNCTION("""COMPUTED_VALUE"""),"Minimum usage fee")</f>
        <v>Minimum usage fee</v>
      </c>
      <c r="Y45" s="16">
        <f ca="1">IFERROR(__xludf.DUMMYFUNCTION("""COMPUTED_VALUE"""),1152.84273119785)</f>
        <v>1152.8427311978501</v>
      </c>
      <c r="Z45" s="16"/>
      <c r="AA45" s="16"/>
      <c r="AB45" s="16"/>
    </row>
    <row r="46" spans="1:28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 t="str">
        <f ca="1">IFERROR(__xludf.DUMMYFUNCTION("""COMPUTED_VALUE"""),"Finance charge")</f>
        <v>Finance charge</v>
      </c>
      <c r="Y46" s="16">
        <f ca="1">IFERROR(__xludf.DUMMYFUNCTION("""COMPUTED_VALUE"""),1132.33659913762)</f>
        <v>1132.3365991376199</v>
      </c>
      <c r="Z46" s="16"/>
      <c r="AA46" s="16"/>
      <c r="AB46" s="16"/>
    </row>
    <row r="47" spans="1:28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 t="str">
        <f ca="1">IFERROR(__xludf.DUMMYFUNCTION("""COMPUTED_VALUE"""),"Just because")</f>
        <v>Just because</v>
      </c>
      <c r="Y47" s="16">
        <f ca="1">IFERROR(__xludf.DUMMYFUNCTION("""COMPUTED_VALUE"""),1121.59961721732)</f>
        <v>1121.59961721732</v>
      </c>
      <c r="Z47" s="16"/>
      <c r="AA47" s="16"/>
      <c r="AB47" s="16"/>
    </row>
    <row r="48" spans="1:2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 t="str">
        <f ca="1">IFERROR(__xludf.DUMMYFUNCTION("""COMPUTED_VALUE"""),"Movie theater")</f>
        <v>Movie theater</v>
      </c>
      <c r="Y48" s="16">
        <f ca="1">IFERROR(__xludf.DUMMYFUNCTION("""COMPUTED_VALUE"""),1114.12610161419)</f>
        <v>1114.12610161419</v>
      </c>
      <c r="Z48" s="16"/>
      <c r="AA48" s="16"/>
      <c r="AB48" s="16"/>
    </row>
    <row r="49" spans="1:28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 t="str">
        <f ca="1">IFERROR(__xludf.DUMMYFUNCTION("""COMPUTED_VALUE"""),"Water")</f>
        <v>Water</v>
      </c>
      <c r="Y49" s="16">
        <f ca="1">IFERROR(__xludf.DUMMYFUNCTION("""COMPUTED_VALUE"""),1107.04346479686)</f>
        <v>1107.04346479686</v>
      </c>
      <c r="Z49" s="16"/>
      <c r="AA49" s="16"/>
      <c r="AB49" s="16"/>
    </row>
    <row r="50" spans="1:28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 t="str">
        <f ca="1">IFERROR(__xludf.DUMMYFUNCTION("""COMPUTED_VALUE"""),"Hospital")</f>
        <v>Hospital</v>
      </c>
      <c r="Y50" s="16">
        <f ca="1">IFERROR(__xludf.DUMMYFUNCTION("""COMPUTED_VALUE"""),1100.14614987787)</f>
        <v>1100.1461498778699</v>
      </c>
      <c r="Z50" s="16"/>
      <c r="AA50" s="16"/>
      <c r="AB50" s="16"/>
    </row>
    <row r="51" spans="1:28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 t="str">
        <f ca="1">IFERROR(__xludf.DUMMYFUNCTION("""COMPUTED_VALUE"""),"Sporting events")</f>
        <v>Sporting events</v>
      </c>
      <c r="Y51" s="16">
        <f ca="1">IFERROR(__xludf.DUMMYFUNCTION("""COMPUTED_VALUE"""),1092.11763549045)</f>
        <v>1092.1176354904501</v>
      </c>
      <c r="Z51" s="16"/>
      <c r="AA51" s="16"/>
      <c r="AB51" s="16"/>
    </row>
    <row r="52" spans="1:28" ht="1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 t="str">
        <f ca="1">IFERROR(__xludf.DUMMYFUNCTION("""COMPUTED_VALUE"""),"Rewards programs")</f>
        <v>Rewards programs</v>
      </c>
      <c r="Y52" s="16">
        <f ca="1">IFERROR(__xludf.DUMMYFUNCTION("""COMPUTED_VALUE"""),1068.61268317114)</f>
        <v>1068.6126831711399</v>
      </c>
      <c r="Z52" s="16"/>
      <c r="AA52" s="16"/>
      <c r="AB52" s="16"/>
    </row>
    <row r="53" spans="1:28" ht="1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 t="str">
        <f ca="1">IFERROR(__xludf.DUMMYFUNCTION("""COMPUTED_VALUE"""),"Sporting goods")</f>
        <v>Sporting goods</v>
      </c>
      <c r="Y53" s="16">
        <f ca="1">IFERROR(__xludf.DUMMYFUNCTION("""COMPUTED_VALUE"""),1066.56288781428)</f>
        <v>1066.56288781428</v>
      </c>
      <c r="Z53" s="16"/>
      <c r="AA53" s="16"/>
      <c r="AB53" s="16"/>
    </row>
    <row r="54" spans="1:28" ht="1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 t="str">
        <f ca="1">IFERROR(__xludf.DUMMYFUNCTION("""COMPUTED_VALUE"""),"Vitamins")</f>
        <v>Vitamins</v>
      </c>
      <c r="Y54" s="16">
        <f ca="1">IFERROR(__xludf.DUMMYFUNCTION("""COMPUTED_VALUE"""),1037.40649163231)</f>
        <v>1037.40649163231</v>
      </c>
      <c r="Z54" s="16"/>
      <c r="AA54" s="16"/>
      <c r="AB54" s="16"/>
    </row>
    <row r="55" spans="1:28" ht="1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 t="str">
        <f ca="1">IFERROR(__xludf.DUMMYFUNCTION("""COMPUTED_VALUE"""),"Monthly payment")</f>
        <v>Monthly payment</v>
      </c>
      <c r="Y55" s="16">
        <f ca="1">IFERROR(__xludf.DUMMYFUNCTION("""COMPUTED_VALUE"""),1025.94049500362)</f>
        <v>1025.9404950036201</v>
      </c>
      <c r="Z55" s="16"/>
      <c r="AA55" s="16"/>
      <c r="AB55" s="16"/>
    </row>
    <row r="56" spans="1:28" ht="1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 t="str">
        <f ca="1">IFERROR(__xludf.DUMMYFUNCTION("""COMPUTED_VALUE"""),"Vision")</f>
        <v>Vision</v>
      </c>
      <c r="Y56" s="16">
        <f ca="1">IFERROR(__xludf.DUMMYFUNCTION("""COMPUTED_VALUE"""),1007.19819315561)</f>
        <v>1007.1981931556101</v>
      </c>
      <c r="Z56" s="16"/>
      <c r="AA56" s="16"/>
      <c r="AB56" s="16"/>
    </row>
    <row r="57" spans="1:28" ht="1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 t="str">
        <f ca="1">IFERROR(__xludf.DUMMYFUNCTION("""COMPUTED_VALUE"""),"Groceries")</f>
        <v>Groceries</v>
      </c>
      <c r="Y57" s="16">
        <f ca="1">IFERROR(__xludf.DUMMYFUNCTION("""COMPUTED_VALUE"""),1004.68658654171)</f>
        <v>1004.68658654171</v>
      </c>
      <c r="Z57" s="16"/>
      <c r="AA57" s="16"/>
      <c r="AB57" s="16"/>
    </row>
    <row r="58" spans="1:28" ht="1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 t="str">
        <f ca="1">IFERROR(__xludf.DUMMYFUNCTION("""COMPUTED_VALUE"""),"Prescriptions")</f>
        <v>Prescriptions</v>
      </c>
      <c r="Y58" s="16">
        <f ca="1">IFERROR(__xludf.DUMMYFUNCTION("""COMPUTED_VALUE"""),994.942189243299)</f>
        <v>994.94218924329903</v>
      </c>
      <c r="Z58" s="16"/>
      <c r="AA58" s="16"/>
      <c r="AB58" s="16"/>
    </row>
    <row r="59" spans="1:28" ht="1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 t="str">
        <f ca="1">IFERROR(__xludf.DUMMYFUNCTION("""COMPUTED_VALUE"""),"Charity")</f>
        <v>Charity</v>
      </c>
      <c r="Y59" s="16">
        <f ca="1">IFERROR(__xludf.DUMMYFUNCTION("""COMPUTED_VALUE"""),987.771812116793)</f>
        <v>987.77181211679294</v>
      </c>
      <c r="Z59" s="16"/>
      <c r="AA59" s="16"/>
      <c r="AB59" s="16"/>
    </row>
    <row r="60" spans="1:28" ht="1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 t="str">
        <f ca="1">IFERROR(__xludf.DUMMYFUNCTION("""COMPUTED_VALUE"""),"Gasoline")</f>
        <v>Gasoline</v>
      </c>
      <c r="Y60" s="16">
        <f ca="1">IFERROR(__xludf.DUMMYFUNCTION("""COMPUTED_VALUE"""),987.718138111139)</f>
        <v>987.71813811113896</v>
      </c>
      <c r="Z60" s="16"/>
      <c r="AA60" s="16"/>
      <c r="AB60" s="16"/>
    </row>
    <row r="61" spans="1:28" ht="1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 t="str">
        <f ca="1">IFERROR(__xludf.DUMMYFUNCTION("""COMPUTED_VALUE"""),"Registration fees")</f>
        <v>Registration fees</v>
      </c>
      <c r="Y61" s="16">
        <f ca="1">IFERROR(__xludf.DUMMYFUNCTION("""COMPUTED_VALUE"""),961.155737076148)</f>
        <v>961.15573707614794</v>
      </c>
      <c r="Z61" s="16"/>
      <c r="AA61" s="16"/>
      <c r="AB61" s="16"/>
    </row>
    <row r="62" spans="1:28" ht="1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 t="str">
        <f ca="1">IFERROR(__xludf.DUMMYFUNCTION("""COMPUTED_VALUE"""),"Reimbursed")</f>
        <v>Reimbursed</v>
      </c>
      <c r="Y62" s="16">
        <f ca="1">IFERROR(__xludf.DUMMYFUNCTION("""COMPUTED_VALUE"""),956.491209098039)</f>
        <v>956.49120909803901</v>
      </c>
      <c r="Z62" s="16"/>
      <c r="AA62" s="16"/>
      <c r="AB62" s="16"/>
    </row>
    <row r="63" spans="1:28" ht="1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 t="str">
        <f ca="1">IFERROR(__xludf.DUMMYFUNCTION("""COMPUTED_VALUE"""),"Transportation")</f>
        <v>Transportation</v>
      </c>
      <c r="Y63" s="16">
        <f ca="1">IFERROR(__xludf.DUMMYFUNCTION("""COMPUTED_VALUE"""),926.644366163893)</f>
        <v>926.64436616389298</v>
      </c>
      <c r="Z63" s="16"/>
      <c r="AA63" s="16"/>
      <c r="AB63" s="16"/>
    </row>
    <row r="64" spans="1:28" ht="1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 t="str">
        <f ca="1">IFERROR(__xludf.DUMMYFUNCTION("""COMPUTED_VALUE"""),"Child support")</f>
        <v>Child support</v>
      </c>
      <c r="Y64" s="16">
        <f ca="1">IFERROR(__xludf.DUMMYFUNCTION("""COMPUTED_VALUE"""),925.042917261819)</f>
        <v>925.04291726181896</v>
      </c>
      <c r="Z64" s="16"/>
      <c r="AA64" s="16"/>
      <c r="AB64" s="16"/>
    </row>
    <row r="65" spans="1:28" ht="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 t="str">
        <f ca="1">IFERROR(__xludf.DUMMYFUNCTION("""COMPUTED_VALUE"""),"Local")</f>
        <v>Local</v>
      </c>
      <c r="Y65" s="16">
        <f ca="1">IFERROR(__xludf.DUMMYFUNCTION("""COMPUTED_VALUE"""),890.079632649279)</f>
        <v>890.07963264927901</v>
      </c>
      <c r="Z65" s="16"/>
      <c r="AA65" s="16"/>
      <c r="AB65" s="16"/>
    </row>
    <row r="66" spans="1:28" ht="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 t="str">
        <f ca="1">IFERROR(__xludf.DUMMYFUNCTION("""COMPUTED_VALUE"""),"Electricity")</f>
        <v>Electricity</v>
      </c>
      <c r="Y66" s="16">
        <f ca="1">IFERROR(__xludf.DUMMYFUNCTION("""COMPUTED_VALUE"""),861.772646599887)</f>
        <v>861.77264659988703</v>
      </c>
      <c r="Z66" s="16"/>
      <c r="AA66" s="16"/>
      <c r="AB66" s="16"/>
    </row>
    <row r="67" spans="1:28" ht="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 t="str">
        <f ca="1">IFERROR(__xludf.DUMMYFUNCTION("""COMPUTED_VALUE"""),"Check orders")</f>
        <v>Check orders</v>
      </c>
      <c r="Y67" s="16">
        <f ca="1">IFERROR(__xludf.DUMMYFUNCTION("""COMPUTED_VALUE"""),859.602067942452)</f>
        <v>859.60206794245198</v>
      </c>
      <c r="Z67" s="16"/>
      <c r="AA67" s="16"/>
      <c r="AB67" s="16"/>
    </row>
    <row r="68" spans="1:28" ht="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 t="str">
        <f ca="1">IFERROR(__xludf.DUMMYFUNCTION("""COMPUTED_VALUE"""),"Birthday")</f>
        <v>Birthday</v>
      </c>
      <c r="Y68" s="16">
        <f ca="1">IFERROR(__xludf.DUMMYFUNCTION("""COMPUTED_VALUE"""),835.427157409961)</f>
        <v>835.42715740996096</v>
      </c>
      <c r="Z68" s="16"/>
      <c r="AA68" s="16"/>
      <c r="AB68" s="16"/>
    </row>
    <row r="69" spans="1:28" ht="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 t="str">
        <f ca="1">IFERROR(__xludf.DUMMYFUNCTION("""COMPUTED_VALUE"""),"Home maintenance and repair")</f>
        <v>Home maintenance and repair</v>
      </c>
      <c r="Y69" s="16">
        <f ca="1">IFERROR(__xludf.DUMMYFUNCTION("""COMPUTED_VALUE"""),823.461786091134)</f>
        <v>823.46178609113394</v>
      </c>
      <c r="Z69" s="16"/>
      <c r="AA69" s="16"/>
      <c r="AB69" s="16"/>
    </row>
    <row r="70" spans="1:28" ht="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 t="str">
        <f ca="1">IFERROR(__xludf.DUMMYFUNCTION("""COMPUTED_VALUE"""),"Garbage and recycling")</f>
        <v>Garbage and recycling</v>
      </c>
      <c r="Y70" s="16">
        <f ca="1">IFERROR(__xludf.DUMMYFUNCTION("""COMPUTED_VALUE"""),791.069095418749)</f>
        <v>791.06909541874904</v>
      </c>
      <c r="Z70" s="16"/>
      <c r="AA70" s="16"/>
      <c r="AB70" s="16"/>
    </row>
    <row r="71" spans="1:28" ht="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 t="str">
        <f ca="1">IFERROR(__xludf.DUMMYFUNCTION("""COMPUTED_VALUE"""),"Vending machines")</f>
        <v>Vending machines</v>
      </c>
      <c r="Y71" s="16">
        <f ca="1">IFERROR(__xludf.DUMMYFUNCTION("""COMPUTED_VALUE"""),782.23247074291)</f>
        <v>782.23247074290998</v>
      </c>
      <c r="Z71" s="16"/>
      <c r="AA71" s="16"/>
      <c r="AB71" s="16"/>
    </row>
    <row r="72" spans="1:28" ht="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 t="str">
        <f ca="1">IFERROR(__xludf.DUMMYFUNCTION("""COMPUTED_VALUE"""),"Magazines")</f>
        <v>Magazines</v>
      </c>
      <c r="Y72" s="16">
        <f ca="1">IFERROR(__xludf.DUMMYFUNCTION("""COMPUTED_VALUE"""),774.517559742297)</f>
        <v>774.51755974229695</v>
      </c>
      <c r="Z72" s="16"/>
      <c r="AA72" s="16"/>
      <c r="AB72" s="16"/>
    </row>
    <row r="73" spans="1:28" ht="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 t="str">
        <f ca="1">IFERROR(__xludf.DUMMYFUNCTION("""COMPUTED_VALUE"""),"Dental")</f>
        <v>Dental</v>
      </c>
      <c r="Y73" s="16">
        <f ca="1">IFERROR(__xludf.DUMMYFUNCTION("""COMPUTED_VALUE"""),751.179854205187)</f>
        <v>751.17985420518698</v>
      </c>
      <c r="Z73" s="16"/>
      <c r="AA73" s="16"/>
      <c r="AB73" s="16"/>
    </row>
    <row r="74" spans="1:28" ht="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 t="str">
        <f ca="1">IFERROR(__xludf.DUMMYFUNCTION("""COMPUTED_VALUE"""),"Loan Payment")</f>
        <v>Loan Payment</v>
      </c>
      <c r="Y74" s="16">
        <f ca="1">IFERROR(__xludf.DUMMYFUNCTION("""COMPUTED_VALUE"""),747.056621993644)</f>
        <v>747.05662199364394</v>
      </c>
      <c r="Z74" s="16"/>
      <c r="AA74" s="16"/>
      <c r="AB74" s="16"/>
    </row>
    <row r="75" spans="1:28" ht="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 t="str">
        <f ca="1">IFERROR(__xludf.DUMMYFUNCTION("""COMPUTED_VALUE"""),"Student loan payment")</f>
        <v>Student loan payment</v>
      </c>
      <c r="Y75" s="16">
        <f ca="1">IFERROR(__xludf.DUMMYFUNCTION("""COMPUTED_VALUE"""),745.759234916382)</f>
        <v>745.75923491638196</v>
      </c>
      <c r="Z75" s="16"/>
      <c r="AA75" s="16"/>
      <c r="AB75" s="16"/>
    </row>
    <row r="76" spans="1:28" ht="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 t="str">
        <f ca="1">IFERROR(__xludf.DUMMYFUNCTION("""COMPUTED_VALUE"""),"Video games")</f>
        <v>Video games</v>
      </c>
      <c r="Y76" s="16">
        <f ca="1">IFERROR(__xludf.DUMMYFUNCTION("""COMPUTED_VALUE"""),733.134255723885)</f>
        <v>733.13425572388496</v>
      </c>
      <c r="Z76" s="16"/>
      <c r="AA76" s="16"/>
      <c r="AB76" s="16"/>
    </row>
    <row r="77" spans="1:28" ht="1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 t="str">
        <f ca="1">IFERROR(__xludf.DUMMYFUNCTION("""COMPUTED_VALUE"""),"Dining out")</f>
        <v>Dining out</v>
      </c>
      <c r="Y77" s="16">
        <f ca="1">IFERROR(__xludf.DUMMYFUNCTION("""COMPUTED_VALUE"""),724.640015721482)</f>
        <v>724.64001572148197</v>
      </c>
      <c r="Z77" s="16"/>
      <c r="AA77" s="16"/>
      <c r="AB77" s="16"/>
    </row>
    <row r="78" spans="1:28" ht="1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 t="str">
        <f ca="1">IFERROR(__xludf.DUMMYFUNCTION("""COMPUTED_VALUE"""),"Automobile")</f>
        <v>Automobile</v>
      </c>
      <c r="Y78" s="16">
        <f ca="1">IFERROR(__xludf.DUMMYFUNCTION("""COMPUTED_VALUE"""),721.487500330887)</f>
        <v>721.48750033088697</v>
      </c>
      <c r="Z78" s="16"/>
      <c r="AA78" s="16"/>
      <c r="AB78" s="16"/>
    </row>
    <row r="79" spans="1:28" ht="1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 t="str">
        <f ca="1">IFERROR(__xludf.DUMMYFUNCTION("""COMPUTED_VALUE"""),"Minimum balance fee")</f>
        <v>Minimum balance fee</v>
      </c>
      <c r="Y79" s="16">
        <f ca="1">IFERROR(__xludf.DUMMYFUNCTION("""COMPUTED_VALUE"""),720.727561675237)</f>
        <v>720.72756167523698</v>
      </c>
      <c r="Z79" s="16"/>
      <c r="AA79" s="16"/>
      <c r="AB79" s="16"/>
    </row>
    <row r="80" spans="1:28" ht="1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 t="str">
        <f ca="1">IFERROR(__xludf.DUMMYFUNCTION("""COMPUTED_VALUE"""),"Gas")</f>
        <v>Gas</v>
      </c>
      <c r="Y80" s="16">
        <f ca="1">IFERROR(__xludf.DUMMYFUNCTION("""COMPUTED_VALUE"""),703.660705038426)</f>
        <v>703.66070503842604</v>
      </c>
      <c r="Z80" s="16"/>
      <c r="AA80" s="16"/>
      <c r="AB80" s="16"/>
    </row>
    <row r="81" spans="1:28" ht="1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 t="str">
        <f ca="1">IFERROR(__xludf.DUMMYFUNCTION("""COMPUTED_VALUE"""),"Entertainment")</f>
        <v>Entertainment</v>
      </c>
      <c r="Y81" s="16">
        <f ca="1">IFERROR(__xludf.DUMMYFUNCTION("""COMPUTED_VALUE"""),649.295023965275)</f>
        <v>649.29502396527505</v>
      </c>
      <c r="Z81" s="16"/>
      <c r="AA81" s="16"/>
      <c r="AB81" s="16"/>
    </row>
    <row r="82" spans="1:28" ht="1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 t="str">
        <f ca="1">IFERROR(__xludf.DUMMYFUNCTION("""COMPUTED_VALUE"""),"Cultural events (e.g. parades, carnivals, etc.)")</f>
        <v>Cultural events (e.g. parades, carnivals, etc.)</v>
      </c>
      <c r="Y82" s="16">
        <f ca="1">IFERROR(__xludf.DUMMYFUNCTION("""COMPUTED_VALUE"""),646.335497369696)</f>
        <v>646.33549736969599</v>
      </c>
      <c r="Z82" s="16"/>
      <c r="AA82" s="16"/>
      <c r="AB82" s="16"/>
    </row>
    <row r="83" spans="1:28" ht="1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 t="str">
        <f ca="1">IFERROR(__xludf.DUMMYFUNCTION("""COMPUTED_VALUE"""),"Television (e.g. cable, satellite, etc.)")</f>
        <v>Television (e.g. cable, satellite, etc.)</v>
      </c>
      <c r="Y83" s="16">
        <f ca="1">IFERROR(__xludf.DUMMYFUNCTION("""COMPUTED_VALUE"""),622.664571411224)</f>
        <v>622.66457141122396</v>
      </c>
      <c r="Z83" s="16"/>
      <c r="AA83" s="16"/>
      <c r="AB83" s="16"/>
    </row>
    <row r="84" spans="1:28" ht="1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 t="str">
        <f ca="1">IFERROR(__xludf.DUMMYFUNCTION("""COMPUTED_VALUE"""),"Professional dues")</f>
        <v>Professional dues</v>
      </c>
      <c r="Y84" s="16">
        <f ca="1">IFERROR(__xludf.DUMMYFUNCTION("""COMPUTED_VALUE"""),596.820450548882)</f>
        <v>596.82045054888204</v>
      </c>
      <c r="Z84" s="16"/>
      <c r="AA84" s="16"/>
      <c r="AB84" s="16"/>
    </row>
    <row r="85" spans="1:28" ht="1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 t="str">
        <f ca="1">IFERROR(__xludf.DUMMYFUNCTION("""COMPUTED_VALUE"""),"Physician")</f>
        <v>Physician</v>
      </c>
      <c r="Y85" s="16">
        <f ca="1">IFERROR(__xludf.DUMMYFUNCTION("""COMPUTED_VALUE"""),593.327314765698)</f>
        <v>593.32731476569802</v>
      </c>
      <c r="Z85" s="16"/>
      <c r="AA85" s="16"/>
      <c r="AB85" s="16"/>
    </row>
    <row r="86" spans="1:28" ht="1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 t="str">
        <f ca="1">IFERROR(__xludf.DUMMYFUNCTION("""COMPUTED_VALUE"""),"Anniversary")</f>
        <v>Anniversary</v>
      </c>
      <c r="Y86" s="16">
        <f ca="1">IFERROR(__xludf.DUMMYFUNCTION("""COMPUTED_VALUE"""),580.113508755181)</f>
        <v>580.11350875518099</v>
      </c>
      <c r="Z86" s="16"/>
      <c r="AA86" s="16"/>
      <c r="AB86" s="16"/>
    </row>
    <row r="87" spans="1:28" ht="1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 t="str">
        <f ca="1">IFERROR(__xludf.DUMMYFUNCTION("""COMPUTED_VALUE"""),"Tools")</f>
        <v>Tools</v>
      </c>
      <c r="Y87" s="16">
        <f ca="1">IFERROR(__xludf.DUMMYFUNCTION("""COMPUTED_VALUE"""),559.975363314898)</f>
        <v>559.975363314898</v>
      </c>
      <c r="Z87" s="16"/>
      <c r="AA87" s="16"/>
      <c r="AB87" s="16"/>
    </row>
    <row r="88" spans="1:28" ht="1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 t="str">
        <f ca="1">IFERROR(__xludf.DUMMYFUNCTION("""COMPUTED_VALUE"""),"Retirement")</f>
        <v>Retirement</v>
      </c>
      <c r="Y88" s="16">
        <f ca="1">IFERROR(__xludf.DUMMYFUNCTION("""COMPUTED_VALUE"""),554.348132719308)</f>
        <v>554.34813271930796</v>
      </c>
      <c r="Z88" s="16"/>
      <c r="AA88" s="16"/>
      <c r="AB88" s="16"/>
    </row>
    <row r="89" spans="1:28" ht="1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 t="str">
        <f ca="1">IFERROR(__xludf.DUMMYFUNCTION("""COMPUTED_VALUE"""),"Emergency fund")</f>
        <v>Emergency fund</v>
      </c>
      <c r="Y89" s="16">
        <f ca="1">IFERROR(__xludf.DUMMYFUNCTION("""COMPUTED_VALUE"""),521.54355189478)</f>
        <v>521.54355189477997</v>
      </c>
      <c r="Z89" s="16"/>
      <c r="AA89" s="16"/>
      <c r="AB89" s="16"/>
    </row>
    <row r="90" spans="1:28" ht="1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 t="str">
        <f ca="1">IFERROR(__xludf.DUMMYFUNCTION("""COMPUTED_VALUE"""),"Roadside assistance")</f>
        <v>Roadside assistance</v>
      </c>
      <c r="Y90" s="16">
        <f ca="1">IFERROR(__xludf.DUMMYFUNCTION("""COMPUTED_VALUE"""),474.262217693782)</f>
        <v>474.26221769378202</v>
      </c>
      <c r="Z90" s="16"/>
      <c r="AA90" s="16"/>
      <c r="AB90" s="16"/>
    </row>
    <row r="91" spans="1:28" ht="1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 t="str">
        <f ca="1">IFERROR(__xludf.DUMMYFUNCTION("""COMPUTED_VALUE"""),"Holiday")</f>
        <v>Holiday</v>
      </c>
      <c r="Y91" s="16">
        <f ca="1">IFERROR(__xludf.DUMMYFUNCTION("""COMPUTED_VALUE"""),472.531384058724)</f>
        <v>472.53138405872397</v>
      </c>
      <c r="Z91" s="16"/>
      <c r="AA91" s="16"/>
      <c r="AB91" s="16"/>
    </row>
    <row r="92" spans="1:28" ht="1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 t="str">
        <f ca="1">IFERROR(__xludf.DUMMYFUNCTION("""COMPUTED_VALUE"""),"Video rental / Pay per view")</f>
        <v>Video rental / Pay per view</v>
      </c>
      <c r="Y92" s="16">
        <f ca="1">IFERROR(__xludf.DUMMYFUNCTION("""COMPUTED_VALUE"""),471.176351417369)</f>
        <v>471.17635141736901</v>
      </c>
      <c r="Z92" s="16"/>
      <c r="AA92" s="16"/>
      <c r="AB92" s="16"/>
    </row>
    <row r="93" spans="1:28" ht="1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 t="str">
        <f ca="1">IFERROR(__xludf.DUMMYFUNCTION("""COMPUTED_VALUE"""),"Field trips")</f>
        <v>Field trips</v>
      </c>
      <c r="Y93" s="16">
        <f ca="1">IFERROR(__xludf.DUMMYFUNCTION("""COMPUTED_VALUE"""),457.653008604836)</f>
        <v>457.65300860483597</v>
      </c>
      <c r="Z93" s="16"/>
      <c r="AA93" s="16"/>
      <c r="AB93" s="16"/>
    </row>
    <row r="94" spans="1:28" ht="1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 t="str">
        <f ca="1">IFERROR(__xludf.DUMMYFUNCTION("""COMPUTED_VALUE"""),"Misc. fees")</f>
        <v>Misc. fees</v>
      </c>
      <c r="Y94" s="16">
        <f ca="1">IFERROR(__xludf.DUMMYFUNCTION("""COMPUTED_VALUE"""),453.44265346074)</f>
        <v>453.44265346074002</v>
      </c>
      <c r="Z94" s="16"/>
      <c r="AA94" s="16"/>
      <c r="AB94" s="16"/>
    </row>
    <row r="95" spans="1:28" ht="1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 t="str">
        <f ca="1">IFERROR(__xludf.DUMMYFUNCTION("""COMPUTED_VALUE"""),"Insufficient funds fee")</f>
        <v>Insufficient funds fee</v>
      </c>
      <c r="Y95" s="16">
        <f ca="1">IFERROR(__xludf.DUMMYFUNCTION("""COMPUTED_VALUE"""),448.755817661887)</f>
        <v>448.75581766188702</v>
      </c>
      <c r="Z95" s="16"/>
      <c r="AA95" s="16"/>
      <c r="AB95" s="16"/>
    </row>
    <row r="96" spans="1:28" ht="1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 t="str">
        <f ca="1">IFERROR(__xludf.DUMMYFUNCTION("""COMPUTED_VALUE"""),"Wedding")</f>
        <v>Wedding</v>
      </c>
      <c r="Y96" s="16">
        <f ca="1">IFERROR(__xludf.DUMMYFUNCTION("""COMPUTED_VALUE"""),440.843038870817)</f>
        <v>440.843038870817</v>
      </c>
      <c r="Z96" s="16"/>
      <c r="AA96" s="16"/>
      <c r="AB96" s="16"/>
    </row>
    <row r="97" spans="1:28" ht="1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 t="str">
        <f ca="1">IFERROR(__xludf.DUMMYFUNCTION("""COMPUTED_VALUE"""),"Over the limit fee")</f>
        <v>Over the limit fee</v>
      </c>
      <c r="Y97" s="16">
        <f ca="1">IFERROR(__xludf.DUMMYFUNCTION("""COMPUTED_VALUE"""),418.719408157758)</f>
        <v>418.71940815775798</v>
      </c>
      <c r="Z97" s="16"/>
      <c r="AA97" s="16"/>
      <c r="AB97" s="16"/>
    </row>
    <row r="98" spans="1:28" ht="1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 t="str">
        <f ca="1">IFERROR(__xludf.DUMMYFUNCTION("""COMPUTED_VALUE"""),"Sewer")</f>
        <v>Sewer</v>
      </c>
      <c r="Y98" s="16">
        <f ca="1">IFERROR(__xludf.DUMMYFUNCTION("""COMPUTED_VALUE"""),403.946852906898)</f>
        <v>403.94685290689802</v>
      </c>
      <c r="Z98" s="16"/>
      <c r="AA98" s="16"/>
      <c r="AB98" s="16"/>
    </row>
    <row r="99" spans="1:28" ht="1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 t="str">
        <f ca="1">IFERROR(__xludf.DUMMYFUNCTION("""COMPUTED_VALUE"""),"Disability")</f>
        <v>Disability</v>
      </c>
      <c r="Y99" s="16">
        <f ca="1">IFERROR(__xludf.DUMMYFUNCTION("""COMPUTED_VALUE"""),350.233894453336)</f>
        <v>350.23389445333601</v>
      </c>
      <c r="Z99" s="16"/>
      <c r="AA99" s="16"/>
      <c r="AB99" s="16"/>
    </row>
    <row r="100" spans="1:28" ht="1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 t="str">
        <f ca="1">IFERROR(__xludf.DUMMYFUNCTION("""COMPUTED_VALUE"""),"Annual fee")</f>
        <v>Annual fee</v>
      </c>
      <c r="Y100" s="16">
        <f ca="1">IFERROR(__xludf.DUMMYFUNCTION("""COMPUTED_VALUE"""),332.899025381633)</f>
        <v>332.89902538163301</v>
      </c>
      <c r="Z100" s="16"/>
      <c r="AA100" s="16"/>
      <c r="AB100" s="16"/>
    </row>
    <row r="101" spans="1:28" ht="1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 t="str">
        <f ca="1">IFERROR(__xludf.DUMMYFUNCTION("""COMPUTED_VALUE"""),"Finance charge / Interest")</f>
        <v>Finance charge / Interest</v>
      </c>
      <c r="Y101" s="16">
        <f ca="1">IFERROR(__xludf.DUMMYFUNCTION("""COMPUTED_VALUE"""),298.106792801849)</f>
        <v>298.106792801849</v>
      </c>
      <c r="Z101" s="16"/>
      <c r="AA101" s="16"/>
      <c r="AB101" s="16"/>
    </row>
    <row r="102" spans="1:28" ht="1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 t="str">
        <f ca="1">IFERROR(__xludf.DUMMYFUNCTION("""COMPUTED_VALUE"""),"Telephone / Cell phone")</f>
        <v>Telephone / Cell phone</v>
      </c>
      <c r="Y102" s="16">
        <f ca="1">IFERROR(__xludf.DUMMYFUNCTION("""COMPUTED_VALUE"""),252.084606407484)</f>
        <v>252.08460640748399</v>
      </c>
      <c r="Z102" s="16"/>
      <c r="AA102" s="16"/>
      <c r="AB102" s="16"/>
    </row>
    <row r="103" spans="1:28" ht="1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 t="str">
        <f ca="1">IFERROR(__xludf.DUMMYFUNCTION("""COMPUTED_VALUE"""),"Tourist attractions (e.g. amusement parks, museums, zoos, etc.)")</f>
        <v>Tourist attractions (e.g. amusement parks, museums, zoos, etc.)</v>
      </c>
      <c r="Y103" s="16">
        <f ca="1">IFERROR(__xludf.DUMMYFUNCTION("""COMPUTED_VALUE"""),247.327521418829)</f>
        <v>247.32752141882901</v>
      </c>
      <c r="Z103" s="16"/>
      <c r="AA103" s="16"/>
      <c r="AB103" s="16"/>
    </row>
    <row r="104" spans="1:28" ht="1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 t="str">
        <f ca="1">IFERROR(__xludf.DUMMYFUNCTION("""COMPUTED_VALUE"""),"Furniture")</f>
        <v>Furniture</v>
      </c>
      <c r="Y104" s="16">
        <f ca="1">IFERROR(__xludf.DUMMYFUNCTION("""COMPUTED_VALUE"""),103.892972155382)</f>
        <v>103.892972155382</v>
      </c>
      <c r="Z104" s="16"/>
      <c r="AA104" s="16"/>
      <c r="AB104" s="16"/>
    </row>
    <row r="105" spans="1:28" ht="1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 t="str">
        <f ca="1">IFERROR(__xludf.DUMMYFUNCTION("""COMPUTED_VALUE"""),"Investments")</f>
        <v>Investments</v>
      </c>
      <c r="Y105" s="16">
        <f ca="1">IFERROR(__xludf.DUMMYFUNCTION("""COMPUTED_VALUE"""),86.2454889318202)</f>
        <v>86.245488931820205</v>
      </c>
      <c r="Z105" s="16"/>
      <c r="AA105" s="16"/>
      <c r="AB105" s="16"/>
    </row>
    <row r="106" spans="1:28" ht="1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 t="str">
        <f ca="1">IFERROR(__xludf.DUMMYFUNCTION("""COMPUTED_VALUE"""),"Wedding / Wedding shower")</f>
        <v>Wedding / Wedding shower</v>
      </c>
      <c r="Y106" s="16">
        <f ca="1">IFERROR(__xludf.DUMMYFUNCTION("""COMPUTED_VALUE"""),64.9556593334149)</f>
        <v>64.9556593334149</v>
      </c>
      <c r="Z106" s="16"/>
      <c r="AA106" s="16"/>
      <c r="AB106" s="16"/>
    </row>
    <row r="107" spans="1:28" ht="1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dataValidations count="2">
    <dataValidation type="list" allowBlank="1" showErrorMessage="1" sqref="C9" xr:uid="{00000000-0002-0000-0700-000000000000}">
      <formula1>$AB$12:$AB$32</formula1>
    </dataValidation>
    <dataValidation type="list" allowBlank="1" showErrorMessage="1" sqref="B9" xr:uid="{00000000-0002-0000-0700-000001000000}">
      <formula1>$AA$12:$AA$105</formula1>
    </dataValidation>
  </dataValidations>
  <hyperlinks>
    <hyperlink ref="J3" r:id="rId2" location="gid=1641919753" xr:uid="{00000000-0004-0000-0700-000000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Analyzing An Expense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özkan yıldırım</cp:lastModifiedBy>
  <dcterms:created xsi:type="dcterms:W3CDTF">2020-10-25T00:52:02Z</dcterms:created>
  <dcterms:modified xsi:type="dcterms:W3CDTF">2020-10-25T00:52:03Z</dcterms:modified>
</cp:coreProperties>
</file>